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lerede\Desktop\"/>
    </mc:Choice>
  </mc:AlternateContent>
  <xr:revisionPtr revIDLastSave="0" documentId="13_ncr:1_{CE50E43D-6D66-4B63-894B-36F29E9B7297}" xr6:coauthVersionLast="47" xr6:coauthVersionMax="47" xr10:uidLastSave="{00000000-0000-0000-0000-000000000000}"/>
  <bookViews>
    <workbookView xWindow="-120" yWindow="-16320" windowWidth="29040" windowHeight="15720" activeTab="1" xr2:uid="{B272D1F0-5565-4971-930A-5D0D24BF6708}"/>
  </bookViews>
  <sheets>
    <sheet name="Fuels, properties and prices" sheetId="17" r:id="rId1"/>
    <sheet name="TRT Cars" sheetId="1" r:id="rId2"/>
    <sheet name="Fixed costs" sheetId="18" r:id="rId3"/>
    <sheet name="TRC Light Commercial vehicles" sheetId="10" r:id="rId4"/>
    <sheet name="TRM Medium trucks" sheetId="8" r:id="rId5"/>
    <sheet name="TRH Heavy trucks" sheetId="6" r:id="rId6"/>
    <sheet name="TRB Buses" sheetId="5" r:id="rId7"/>
    <sheet name="TRL Light trucks (America)" sheetId="3" r:id="rId8"/>
  </sheets>
  <externalReferences>
    <externalReference r:id="rId9"/>
  </externalReferences>
  <definedNames>
    <definedName name="RegIndex">#REF!</definedName>
    <definedName name="Region">'[1]IEA Data'!$O$1</definedName>
    <definedName name="solver_adj" localSheetId="6" hidden="1">'TRB Buses'!#REF!</definedName>
    <definedName name="solver_adj" localSheetId="3" hidden="1">'TRC Light Commercial vehicles'!$X$25</definedName>
    <definedName name="solver_adj" localSheetId="5" hidden="1">'TRH Heavy trucks'!#REF!</definedName>
    <definedName name="solver_adj" localSheetId="7" hidden="1">'TRT Cars'!$U$34</definedName>
    <definedName name="solver_adj" localSheetId="4" hidden="1">'TRM Medium trucks'!#REF!</definedName>
    <definedName name="solver_adj" localSheetId="1" hidden="1">'TRT Cars'!$U$209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6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drv" localSheetId="4" hidden="1">1</definedName>
    <definedName name="solver_drv" localSheetId="1" hidden="1">1</definedName>
    <definedName name="solver_eng" localSheetId="6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ng" localSheetId="4" hidden="1">1</definedName>
    <definedName name="solver_eng" localSheetId="1" hidden="1">1</definedName>
    <definedName name="solver_est" localSheetId="6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est" localSheetId="4" hidden="1">1</definedName>
    <definedName name="solver_est" localSheetId="1" hidden="1">1</definedName>
    <definedName name="solver_itr" localSheetId="6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itr" localSheetId="4" hidden="1">2147483647</definedName>
    <definedName name="solver_itr" localSheetId="1" hidden="1">2147483647</definedName>
    <definedName name="solver_mip" localSheetId="6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ip" localSheetId="4" hidden="1">2147483647</definedName>
    <definedName name="solver_mip" localSheetId="1" hidden="1">2147483647</definedName>
    <definedName name="solver_mni" localSheetId="6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4" hidden="1">30</definedName>
    <definedName name="solver_mni" localSheetId="1" hidden="1">30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6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msl" localSheetId="4" hidden="1">2</definedName>
    <definedName name="solver_msl" localSheetId="1" hidden="1">2</definedName>
    <definedName name="solver_neg" localSheetId="6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eg" localSheetId="4" hidden="1">1</definedName>
    <definedName name="solver_neg" localSheetId="1" hidden="1">1</definedName>
    <definedName name="solver_nod" localSheetId="6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od" localSheetId="4" hidden="1">2147483647</definedName>
    <definedName name="solver_nod" localSheetId="1" hidden="1">2147483647</definedName>
    <definedName name="solver_num" localSheetId="6" hidden="1">0</definedName>
    <definedName name="solver_num" localSheetId="3" hidden="1">0</definedName>
    <definedName name="solver_num" localSheetId="5" hidden="1">0</definedName>
    <definedName name="solver_num" localSheetId="7" hidden="1">0</definedName>
    <definedName name="solver_num" localSheetId="4" hidden="1">0</definedName>
    <definedName name="solver_num" localSheetId="1" hidden="1">0</definedName>
    <definedName name="solver_nwt" localSheetId="6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nwt" localSheetId="4" hidden="1">1</definedName>
    <definedName name="solver_nwt" localSheetId="1" hidden="1">1</definedName>
    <definedName name="solver_opt" localSheetId="6" hidden="1">'TRB Buses'!#REF!</definedName>
    <definedName name="solver_opt" localSheetId="3" hidden="1">'TRC Light Commercial vehicles'!$AA$25</definedName>
    <definedName name="solver_opt" localSheetId="5" hidden="1">'TRH Heavy trucks'!#REF!</definedName>
    <definedName name="solver_opt" localSheetId="7" hidden="1">'TRL Light trucks (America)'!#REF!</definedName>
    <definedName name="solver_opt" localSheetId="4" hidden="1">'TRM Medium trucks'!#REF!</definedName>
    <definedName name="solver_opt" localSheetId="1" hidden="1">'TRT Cars'!#REF!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6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bv" localSheetId="4" hidden="1">1</definedName>
    <definedName name="solver_rbv" localSheetId="1" hidden="1">1</definedName>
    <definedName name="solver_rlx" localSheetId="6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4" hidden="1">2</definedName>
    <definedName name="solver_rlx" localSheetId="1" hidden="1">2</definedName>
    <definedName name="solver_rsd" localSheetId="6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rsd" localSheetId="4" hidden="1">0</definedName>
    <definedName name="solver_rsd" localSheetId="1" hidden="1">0</definedName>
    <definedName name="solver_scl" localSheetId="6" hidden="1">1</definedName>
    <definedName name="solver_scl" localSheetId="3" hidden="1">1</definedName>
    <definedName name="solver_scl" localSheetId="5" hidden="1">1</definedName>
    <definedName name="solver_scl" localSheetId="7" hidden="1">1</definedName>
    <definedName name="solver_scl" localSheetId="4" hidden="1">1</definedName>
    <definedName name="solver_scl" localSheetId="1" hidden="1">1</definedName>
    <definedName name="solver_sho" localSheetId="6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4" hidden="1">2</definedName>
    <definedName name="solver_sho" localSheetId="1" hidden="1">2</definedName>
    <definedName name="solver_ssz" localSheetId="6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4" hidden="1">100</definedName>
    <definedName name="solver_ssz" localSheetId="1" hidden="1">100</definedName>
    <definedName name="solver_tim" localSheetId="6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im" localSheetId="4" hidden="1">2147483647</definedName>
    <definedName name="solver_tim" localSheetId="1" hidden="1">2147483647</definedName>
    <definedName name="solver_tol" localSheetId="6" hidden="1">1</definedName>
    <definedName name="solver_tol" localSheetId="3" hidden="1">1</definedName>
    <definedName name="solver_tol" localSheetId="5" hidden="1">1</definedName>
    <definedName name="solver_tol" localSheetId="7" hidden="1">1</definedName>
    <definedName name="solver_tol" localSheetId="4" hidden="1">1</definedName>
    <definedName name="solver_tol" localSheetId="1" hidden="1">1</definedName>
    <definedName name="solver_typ" localSheetId="6" hidden="1">3</definedName>
    <definedName name="solver_typ" localSheetId="3" hidden="1">3</definedName>
    <definedName name="solver_typ" localSheetId="5" hidden="1">3</definedName>
    <definedName name="solver_typ" localSheetId="7" hidden="1">3</definedName>
    <definedName name="solver_typ" localSheetId="4" hidden="1">3</definedName>
    <definedName name="solver_typ" localSheetId="1" hidden="1">3</definedName>
    <definedName name="solver_val" localSheetId="6" hidden="1">33000</definedName>
    <definedName name="solver_val" localSheetId="3" hidden="1">32000</definedName>
    <definedName name="solver_val" localSheetId="5" hidden="1">33000</definedName>
    <definedName name="solver_val" localSheetId="7" hidden="1">19660</definedName>
    <definedName name="solver_val" localSheetId="4" hidden="1">33000</definedName>
    <definedName name="solver_val" localSheetId="1" hidden="1">44000</definedName>
    <definedName name="solver_ver" localSheetId="6" hidden="1">3</definedName>
    <definedName name="solver_ver" localSheetId="3" hidden="1">3</definedName>
    <definedName name="solver_ver" localSheetId="5" hidden="1">3</definedName>
    <definedName name="solver_ver" localSheetId="7" hidden="1">3</definedName>
    <definedName name="solver_ver" localSheetId="4" hidden="1">3</definedName>
    <definedName name="solver_ver" localSheetId="1" hidden="1">3</definedName>
    <definedName name="Tin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8" l="1"/>
  <c r="D8" i="18" s="1"/>
  <c r="D138" i="18"/>
  <c r="D136" i="18"/>
  <c r="D135" i="18"/>
  <c r="D134" i="18"/>
  <c r="D133" i="18"/>
  <c r="D132" i="18"/>
  <c r="D131" i="18"/>
  <c r="D127" i="18"/>
  <c r="D125" i="18"/>
  <c r="D124" i="18"/>
  <c r="D123" i="18"/>
  <c r="D122" i="18"/>
  <c r="D118" i="18"/>
  <c r="D117" i="18"/>
  <c r="D116" i="18"/>
  <c r="D115" i="18"/>
  <c r="D114" i="18"/>
  <c r="D113" i="18"/>
  <c r="D109" i="18"/>
  <c r="D108" i="18"/>
  <c r="D104" i="18"/>
  <c r="D103" i="18"/>
  <c r="D102" i="18"/>
  <c r="D101" i="18"/>
  <c r="D97" i="18"/>
  <c r="D96" i="18"/>
  <c r="D94" i="18"/>
  <c r="D95" i="18"/>
  <c r="D93" i="18"/>
  <c r="D92" i="18"/>
  <c r="D88" i="18"/>
  <c r="D87" i="18"/>
  <c r="D86" i="18"/>
  <c r="D85" i="18"/>
  <c r="D84" i="18"/>
  <c r="D80" i="18"/>
  <c r="D79" i="18"/>
  <c r="D78" i="18"/>
  <c r="D77" i="18"/>
  <c r="D76" i="18"/>
  <c r="D75" i="18"/>
  <c r="D72" i="18"/>
  <c r="D71" i="18"/>
  <c r="D70" i="18"/>
  <c r="D69" i="18"/>
  <c r="D68" i="18"/>
  <c r="D67" i="18"/>
  <c r="D62" i="18"/>
  <c r="D57" i="18"/>
  <c r="D56" i="18"/>
  <c r="D53" i="18"/>
  <c r="D52" i="18"/>
  <c r="D51" i="18"/>
  <c r="D50" i="18"/>
  <c r="D48" i="18"/>
  <c r="D47" i="18"/>
  <c r="D46" i="18"/>
  <c r="D42" i="18"/>
  <c r="D41" i="18"/>
  <c r="D40" i="18"/>
  <c r="D39" i="18"/>
  <c r="D38" i="18"/>
  <c r="D37" i="18"/>
  <c r="D36" i="18"/>
  <c r="D33" i="18"/>
  <c r="D32" i="18"/>
  <c r="D31" i="18"/>
  <c r="D30" i="18"/>
  <c r="D29" i="18"/>
  <c r="D28" i="18"/>
  <c r="D25" i="18"/>
  <c r="D24" i="18"/>
  <c r="D23" i="18"/>
  <c r="D22" i="18"/>
  <c r="D21" i="18"/>
  <c r="D20" i="18"/>
  <c r="D19" i="18"/>
  <c r="D16" i="18"/>
  <c r="D15" i="18"/>
  <c r="D14" i="18"/>
  <c r="D13" i="18"/>
  <c r="D12" i="18"/>
  <c r="D11" i="18"/>
  <c r="J7" i="18"/>
  <c r="C7" i="18" s="1"/>
  <c r="D7" i="18" s="1"/>
  <c r="J6" i="18"/>
  <c r="C6" i="18" s="1"/>
  <c r="D6" i="18" s="1"/>
  <c r="J5" i="18"/>
  <c r="J4" i="18"/>
  <c r="C4" i="18" s="1"/>
  <c r="D4" i="18" s="1"/>
  <c r="W231" i="1" l="1"/>
  <c r="W3" i="1"/>
  <c r="Z4" i="10" l="1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3" i="10"/>
  <c r="W214" i="1"/>
  <c r="W74" i="1"/>
  <c r="Y4" i="10" l="1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4" i="10"/>
  <c r="Y25" i="10"/>
  <c r="Y26" i="10"/>
  <c r="Y27" i="10"/>
  <c r="Y29" i="10"/>
  <c r="Y30" i="10"/>
  <c r="Y31" i="10"/>
  <c r="Y32" i="10"/>
  <c r="Y33" i="10"/>
  <c r="Y34" i="10"/>
  <c r="Y36" i="10"/>
  <c r="Y37" i="10"/>
  <c r="Y38" i="10"/>
  <c r="Y39" i="10"/>
  <c r="Y40" i="10"/>
  <c r="Y41" i="10"/>
  <c r="Y42" i="10"/>
  <c r="Y43" i="10"/>
  <c r="Y50" i="10"/>
  <c r="Y51" i="10"/>
  <c r="Y52" i="10"/>
  <c r="Y54" i="10"/>
  <c r="Y55" i="10"/>
  <c r="Y56" i="10"/>
  <c r="Y57" i="10"/>
  <c r="Y58" i="10"/>
  <c r="Y59" i="10"/>
  <c r="Y66" i="10"/>
  <c r="Y67" i="10"/>
  <c r="Y68" i="10"/>
  <c r="Y3" i="10"/>
  <c r="V114" i="1" l="1"/>
  <c r="W114" i="1" s="1"/>
  <c r="U207" i="1"/>
  <c r="V230" i="1"/>
  <c r="W230" i="1" s="1"/>
  <c r="V227" i="1"/>
  <c r="W227" i="1" s="1"/>
  <c r="V224" i="1"/>
  <c r="W224" i="1" s="1"/>
  <c r="V223" i="1"/>
  <c r="W223" i="1" s="1"/>
  <c r="V222" i="1"/>
  <c r="W222" i="1" s="1"/>
  <c r="V216" i="1"/>
  <c r="W216" i="1" s="1"/>
  <c r="V213" i="1"/>
  <c r="W213" i="1" s="1"/>
  <c r="V210" i="1"/>
  <c r="W210" i="1" s="1"/>
  <c r="V209" i="1"/>
  <c r="W209" i="1" s="1"/>
  <c r="V206" i="1"/>
  <c r="W206" i="1" s="1"/>
  <c r="V203" i="1"/>
  <c r="W203" i="1" s="1"/>
  <c r="V202" i="1"/>
  <c r="W202" i="1" s="1"/>
  <c r="V201" i="1"/>
  <c r="W201" i="1" s="1"/>
  <c r="V198" i="1"/>
  <c r="W198" i="1" s="1"/>
  <c r="V195" i="1"/>
  <c r="W195" i="1" s="1"/>
  <c r="V194" i="1"/>
  <c r="W194" i="1" s="1"/>
  <c r="V191" i="1"/>
  <c r="W191" i="1" s="1"/>
  <c r="V190" i="1"/>
  <c r="W190" i="1" s="1"/>
  <c r="V187" i="1"/>
  <c r="W187" i="1" s="1"/>
  <c r="V186" i="1"/>
  <c r="W186" i="1" s="1"/>
  <c r="V185" i="1"/>
  <c r="W185" i="1" s="1"/>
  <c r="V182" i="1"/>
  <c r="W182" i="1" s="1"/>
  <c r="V181" i="1"/>
  <c r="W181" i="1" s="1"/>
  <c r="V178" i="1"/>
  <c r="W178" i="1" s="1"/>
  <c r="V172" i="1"/>
  <c r="W172" i="1" s="1"/>
  <c r="V171" i="1"/>
  <c r="W171" i="1" s="1"/>
  <c r="V170" i="1"/>
  <c r="W170" i="1" s="1"/>
  <c r="V167" i="1"/>
  <c r="W167" i="1" s="1"/>
  <c r="V161" i="1"/>
  <c r="W161" i="1" s="1"/>
  <c r="V158" i="1"/>
  <c r="W158" i="1" s="1"/>
  <c r="V157" i="1"/>
  <c r="W157" i="1" s="1"/>
  <c r="V156" i="1"/>
  <c r="W156" i="1" s="1"/>
  <c r="V153" i="1"/>
  <c r="W153" i="1" s="1"/>
  <c r="V150" i="1"/>
  <c r="W150" i="1" s="1"/>
  <c r="V147" i="1"/>
  <c r="W147" i="1" s="1"/>
  <c r="V146" i="1"/>
  <c r="W146" i="1" s="1"/>
  <c r="V145" i="1"/>
  <c r="W145" i="1" s="1"/>
  <c r="V142" i="1"/>
  <c r="W142" i="1" s="1"/>
  <c r="V139" i="1"/>
  <c r="W139" i="1" s="1"/>
  <c r="V136" i="1"/>
  <c r="W136" i="1" s="1"/>
  <c r="V135" i="1"/>
  <c r="W135" i="1" s="1"/>
  <c r="V134" i="1"/>
  <c r="W134" i="1" s="1"/>
  <c r="V131" i="1"/>
  <c r="W131" i="1" s="1"/>
  <c r="V130" i="1"/>
  <c r="W130" i="1" s="1"/>
  <c r="V129" i="1"/>
  <c r="W129" i="1" s="1"/>
  <c r="V126" i="1"/>
  <c r="W126" i="1" s="1"/>
  <c r="V125" i="1"/>
  <c r="W125" i="1" s="1"/>
  <c r="V124" i="1"/>
  <c r="W124" i="1" s="1"/>
  <c r="V121" i="1"/>
  <c r="W121" i="1" s="1"/>
  <c r="V118" i="1"/>
  <c r="W118" i="1" s="1"/>
  <c r="V115" i="1"/>
  <c r="W115" i="1" s="1"/>
  <c r="V111" i="1"/>
  <c r="W111" i="1" s="1"/>
  <c r="V107" i="1"/>
  <c r="W107" i="1" s="1"/>
  <c r="V106" i="1"/>
  <c r="W106" i="1" s="1"/>
  <c r="V105" i="1"/>
  <c r="W105" i="1" s="1"/>
  <c r="V104" i="1"/>
  <c r="W104" i="1" s="1"/>
  <c r="V101" i="1"/>
  <c r="W101" i="1" s="1"/>
  <c r="V100" i="1"/>
  <c r="W100" i="1" s="1"/>
  <c r="V99" i="1"/>
  <c r="W99" i="1" s="1"/>
  <c r="V95" i="1"/>
  <c r="W95" i="1" s="1"/>
  <c r="V94" i="1"/>
  <c r="W94" i="1" s="1"/>
  <c r="V93" i="1"/>
  <c r="W93" i="1" s="1"/>
  <c r="V92" i="1"/>
  <c r="W92" i="1" s="1"/>
  <c r="V91" i="1"/>
  <c r="W91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0" i="1"/>
  <c r="W80" i="1" s="1"/>
  <c r="V79" i="1"/>
  <c r="W79" i="1" s="1"/>
  <c r="V78" i="1"/>
  <c r="W78" i="1" s="1"/>
  <c r="V77" i="1"/>
  <c r="W77" i="1" s="1"/>
  <c r="V76" i="1"/>
  <c r="W76" i="1" s="1"/>
  <c r="V73" i="1"/>
  <c r="W73" i="1" s="1"/>
  <c r="V70" i="1"/>
  <c r="W70" i="1" s="1"/>
  <c r="V69" i="1"/>
  <c r="W69" i="1" s="1"/>
  <c r="V68" i="1"/>
  <c r="W68" i="1" s="1"/>
  <c r="V67" i="1"/>
  <c r="W67" i="1" s="1"/>
  <c r="V64" i="1"/>
  <c r="W64" i="1" s="1"/>
  <c r="V63" i="1"/>
  <c r="W63" i="1" s="1"/>
  <c r="V62" i="1"/>
  <c r="W62" i="1" s="1"/>
  <c r="V61" i="1"/>
  <c r="W61" i="1" s="1"/>
  <c r="V58" i="1"/>
  <c r="W58" i="1" s="1"/>
  <c r="V55" i="1"/>
  <c r="W55" i="1" s="1"/>
  <c r="V54" i="1"/>
  <c r="W54" i="1" s="1"/>
  <c r="V48" i="1"/>
  <c r="W48" i="1" s="1"/>
  <c r="V44" i="1"/>
  <c r="W44" i="1" s="1"/>
  <c r="V43" i="1"/>
  <c r="W43" i="1" s="1"/>
  <c r="V42" i="1"/>
  <c r="W42" i="1" s="1"/>
  <c r="V41" i="1"/>
  <c r="W41" i="1" s="1"/>
  <c r="V40" i="1"/>
  <c r="W40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28" i="1"/>
  <c r="W28" i="1" s="1"/>
  <c r="V27" i="1"/>
  <c r="W27" i="1" s="1"/>
  <c r="V26" i="1"/>
  <c r="W26" i="1" s="1"/>
  <c r="V23" i="1"/>
  <c r="W23" i="1" s="1"/>
  <c r="V20" i="1"/>
  <c r="W20" i="1" s="1"/>
  <c r="V19" i="1"/>
  <c r="W19" i="1" s="1"/>
  <c r="V18" i="1"/>
  <c r="W18" i="1" s="1"/>
  <c r="V17" i="1"/>
  <c r="W17" i="1" s="1"/>
  <c r="V10" i="1"/>
  <c r="W10" i="1" s="1"/>
  <c r="V11" i="1"/>
  <c r="W11" i="1" s="1"/>
  <c r="V12" i="1"/>
  <c r="W12" i="1" s="1"/>
  <c r="V13" i="1"/>
  <c r="W13" i="1" s="1"/>
  <c r="V14" i="1"/>
  <c r="W14" i="1" s="1"/>
  <c r="V9" i="1"/>
  <c r="W9" i="1" s="1"/>
  <c r="V4" i="1"/>
  <c r="W4" i="1" s="1"/>
  <c r="V5" i="1"/>
  <c r="W5" i="1" s="1"/>
  <c r="V6" i="1"/>
  <c r="W6" i="1" s="1"/>
  <c r="V3" i="1"/>
  <c r="T15" i="1" l="1"/>
  <c r="H55" i="10" l="1"/>
  <c r="U108" i="1"/>
  <c r="V108" i="1" s="1"/>
  <c r="W108" i="1" s="1"/>
  <c r="U102" i="1"/>
  <c r="V102" i="1" s="1"/>
  <c r="W102" i="1" s="1"/>
  <c r="U122" i="1"/>
  <c r="V122" i="1" s="1"/>
  <c r="W122" i="1" s="1"/>
  <c r="U143" i="1"/>
  <c r="V143" i="1" s="1"/>
  <c r="W143" i="1" s="1"/>
  <c r="U89" i="1"/>
  <c r="V89" i="1" s="1"/>
  <c r="W89" i="1" s="1"/>
  <c r="U81" i="1"/>
  <c r="V81" i="1" s="1"/>
  <c r="W81" i="1" s="1"/>
  <c r="U154" i="1"/>
  <c r="V154" i="1" s="1"/>
  <c r="W154" i="1" s="1"/>
  <c r="U65" i="1"/>
  <c r="V65" i="1" s="1"/>
  <c r="W65" i="1" s="1"/>
  <c r="U148" i="1"/>
  <c r="V148" i="1" s="1"/>
  <c r="W148" i="1" s="1"/>
  <c r="U127" i="1" l="1"/>
  <c r="V127" i="1" s="1"/>
  <c r="W127" i="1" s="1"/>
  <c r="U119" i="1"/>
  <c r="V119" i="1" s="1"/>
  <c r="W119" i="1" s="1"/>
  <c r="U112" i="1"/>
  <c r="V112" i="1" s="1"/>
  <c r="W112" i="1" s="1"/>
  <c r="U59" i="1"/>
  <c r="V59" i="1" s="1"/>
  <c r="W59" i="1" s="1"/>
  <c r="V16" i="17" l="1"/>
  <c r="U16" i="17" s="1"/>
  <c r="S9" i="17" s="1"/>
  <c r="N9" i="17" l="1"/>
  <c r="U204" i="1" l="1"/>
  <c r="V204" i="1" s="1"/>
  <c r="W204" i="1" s="1"/>
  <c r="D10" i="17"/>
  <c r="E10" i="17" s="1"/>
  <c r="F10" i="17" s="1"/>
  <c r="K180" i="1"/>
  <c r="L180" i="1"/>
  <c r="N180" i="1"/>
  <c r="O180" i="1"/>
  <c r="Q180" i="1"/>
  <c r="R180" i="1"/>
  <c r="U137" i="1"/>
  <c r="V137" i="1" s="1"/>
  <c r="W137" i="1" s="1"/>
  <c r="U71" i="1"/>
  <c r="V71" i="1" s="1"/>
  <c r="W71" i="1" s="1"/>
  <c r="U144" i="1" l="1"/>
  <c r="V144" i="1" s="1"/>
  <c r="U226" i="1"/>
  <c r="V226" i="1" s="1"/>
  <c r="N194" i="1" l="1"/>
  <c r="U199" i="1" l="1"/>
  <c r="V199" i="1" s="1"/>
  <c r="W199" i="1" s="1"/>
  <c r="U196" i="1"/>
  <c r="V196" i="1" s="1"/>
  <c r="W196" i="1" s="1"/>
  <c r="U192" i="1"/>
  <c r="V192" i="1" s="1"/>
  <c r="U188" i="1"/>
  <c r="V188" i="1" s="1"/>
  <c r="W188" i="1" s="1"/>
  <c r="U183" i="1"/>
  <c r="V183" i="1" s="1"/>
  <c r="W183" i="1" s="1"/>
  <c r="U173" i="1"/>
  <c r="V173" i="1" s="1"/>
  <c r="W173" i="1" s="1"/>
  <c r="U200" i="1" l="1"/>
  <c r="V200" i="1" s="1"/>
  <c r="T196" i="1"/>
  <c r="K196" i="1"/>
  <c r="I196" i="1"/>
  <c r="T183" i="1" l="1"/>
  <c r="I183" i="1"/>
  <c r="U17" i="17" l="1"/>
  <c r="T97" i="1" l="1"/>
  <c r="T121" i="1" s="1"/>
  <c r="N36" i="1"/>
  <c r="M4" i="8"/>
  <c r="C70" i="10"/>
  <c r="C44" i="10"/>
  <c r="M61" i="10"/>
  <c r="J61" i="10"/>
  <c r="P61" i="10" l="1"/>
  <c r="U61" i="10" s="1"/>
  <c r="O230" i="1"/>
  <c r="S230" i="1" s="1"/>
  <c r="J18" i="17" l="1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17" i="17"/>
  <c r="C83" i="17"/>
  <c r="L83" i="17" s="1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17" i="17"/>
  <c r="T9" i="17"/>
  <c r="U8" i="17"/>
  <c r="Q51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20" i="17"/>
  <c r="U53" i="17"/>
  <c r="P16" i="17" s="1"/>
  <c r="K82" i="17"/>
  <c r="H83" i="17"/>
  <c r="E83" i="17"/>
  <c r="B83" i="17"/>
  <c r="U217" i="1"/>
  <c r="V217" i="1" s="1"/>
  <c r="W217" i="1" s="1"/>
  <c r="U211" i="1"/>
  <c r="V211" i="1" s="1"/>
  <c r="W211" i="1" s="1"/>
  <c r="T211" i="1"/>
  <c r="N209" i="1"/>
  <c r="P209" i="1"/>
  <c r="R209" i="1" s="1"/>
  <c r="K211" i="1"/>
  <c r="J211" i="1"/>
  <c r="I211" i="1"/>
  <c r="U45" i="1"/>
  <c r="V45" i="1" s="1"/>
  <c r="W45" i="1" s="1"/>
  <c r="U38" i="1"/>
  <c r="V38" i="1" s="1"/>
  <c r="W38" i="1" s="1"/>
  <c r="U29" i="1"/>
  <c r="V29" i="1" s="1"/>
  <c r="W29" i="1" s="1"/>
  <c r="U15" i="1"/>
  <c r="V15" i="1" s="1"/>
  <c r="W15" i="1" s="1"/>
  <c r="U7" i="1"/>
  <c r="V7" i="1" s="1"/>
  <c r="W7" i="1" s="1"/>
  <c r="U132" i="1"/>
  <c r="V132" i="1" s="1"/>
  <c r="W132" i="1" s="1"/>
  <c r="U116" i="1"/>
  <c r="V116" i="1" s="1"/>
  <c r="W116" i="1" s="1"/>
  <c r="U96" i="1"/>
  <c r="V96" i="1" s="1"/>
  <c r="W96" i="1" s="1"/>
  <c r="U21" i="1"/>
  <c r="V21" i="1" s="1"/>
  <c r="W21" i="1" s="1"/>
  <c r="I85" i="17" l="1"/>
  <c r="W53" i="17"/>
  <c r="X53" i="17" s="1"/>
  <c r="Q16" i="17" s="1"/>
  <c r="F85" i="17"/>
  <c r="U110" i="1"/>
  <c r="V110" i="1" s="1"/>
  <c r="N211" i="1"/>
  <c r="U117" i="1"/>
  <c r="U189" i="1"/>
  <c r="C85" i="17"/>
  <c r="R7" i="17"/>
  <c r="T7" i="17" s="1"/>
  <c r="U57" i="1"/>
  <c r="V57" i="1" s="1"/>
  <c r="X70" i="10" l="1"/>
  <c r="X44" i="10"/>
  <c r="U123" i="1"/>
  <c r="V123" i="1" s="1"/>
  <c r="P145" i="1"/>
  <c r="S145" i="1" s="1"/>
  <c r="P146" i="1"/>
  <c r="S146" i="1" s="1"/>
  <c r="P147" i="1"/>
  <c r="S147" i="1" s="1"/>
  <c r="J148" i="1"/>
  <c r="M148" i="1"/>
  <c r="T148" i="1"/>
  <c r="P150" i="1"/>
  <c r="S150" i="1" s="1"/>
  <c r="J151" i="1"/>
  <c r="M151" i="1"/>
  <c r="P153" i="1"/>
  <c r="S153" i="1" s="1"/>
  <c r="J154" i="1"/>
  <c r="M154" i="1"/>
  <c r="T154" i="1"/>
  <c r="P156" i="1"/>
  <c r="S156" i="1" s="1"/>
  <c r="P157" i="1"/>
  <c r="S157" i="1" s="1"/>
  <c r="H12" i="10"/>
  <c r="X68" i="10"/>
  <c r="W68" i="10"/>
  <c r="M68" i="10"/>
  <c r="W64" i="10"/>
  <c r="W65" i="10" s="1"/>
  <c r="M64" i="10"/>
  <c r="P64" i="10" s="1"/>
  <c r="U64" i="10" s="1"/>
  <c r="J68" i="10"/>
  <c r="J64" i="10"/>
  <c r="P66" i="10"/>
  <c r="X61" i="10"/>
  <c r="Y61" i="10" s="1"/>
  <c r="W61" i="10"/>
  <c r="X55" i="10"/>
  <c r="W55" i="10"/>
  <c r="L55" i="10"/>
  <c r="X52" i="10"/>
  <c r="W52" i="10"/>
  <c r="L52" i="10"/>
  <c r="H52" i="10"/>
  <c r="X42" i="10"/>
  <c r="W42" i="10"/>
  <c r="K42" i="10"/>
  <c r="H42" i="10"/>
  <c r="X22" i="10"/>
  <c r="W22" i="10"/>
  <c r="K22" i="10"/>
  <c r="H22" i="10"/>
  <c r="X27" i="10"/>
  <c r="W27" i="10"/>
  <c r="K27" i="10"/>
  <c r="H27" i="10"/>
  <c r="X34" i="10"/>
  <c r="W34" i="10"/>
  <c r="K34" i="10"/>
  <c r="H34" i="10"/>
  <c r="X12" i="10"/>
  <c r="X9" i="10"/>
  <c r="W12" i="10"/>
  <c r="K12" i="10"/>
  <c r="N12" i="10" s="1"/>
  <c r="W9" i="10"/>
  <c r="K9" i="10"/>
  <c r="H9" i="10"/>
  <c r="N11" i="10"/>
  <c r="N21" i="10"/>
  <c r="P67" i="10"/>
  <c r="U67" i="10" s="1"/>
  <c r="P60" i="10"/>
  <c r="U60" i="10" s="1"/>
  <c r="P57" i="10"/>
  <c r="U57" i="10" s="1"/>
  <c r="P58" i="10"/>
  <c r="U58" i="10" s="1"/>
  <c r="P59" i="10"/>
  <c r="U59" i="10" s="1"/>
  <c r="P63" i="10"/>
  <c r="U63" i="10" s="1"/>
  <c r="O54" i="10"/>
  <c r="O51" i="10"/>
  <c r="O50" i="10"/>
  <c r="N3" i="10"/>
  <c r="N4" i="10"/>
  <c r="N5" i="10"/>
  <c r="N6" i="10"/>
  <c r="N7" i="10"/>
  <c r="N8" i="10"/>
  <c r="N29" i="10"/>
  <c r="N15" i="10"/>
  <c r="N16" i="10"/>
  <c r="N17" i="10"/>
  <c r="N30" i="10"/>
  <c r="N14" i="10"/>
  <c r="N24" i="10"/>
  <c r="N18" i="10"/>
  <c r="N19" i="10"/>
  <c r="N20" i="10"/>
  <c r="N25" i="10"/>
  <c r="N26" i="10"/>
  <c r="N31" i="10"/>
  <c r="N32" i="10"/>
  <c r="N33" i="10"/>
  <c r="X72" i="10" l="1"/>
  <c r="Y72" i="10" s="1"/>
  <c r="X48" i="10"/>
  <c r="Y48" i="10" s="1"/>
  <c r="X65" i="10"/>
  <c r="X73" i="10"/>
  <c r="Y73" i="10" s="1"/>
  <c r="N42" i="10"/>
  <c r="N34" i="10"/>
  <c r="H28" i="10"/>
  <c r="H10" i="10" s="1"/>
  <c r="X28" i="10"/>
  <c r="O55" i="10"/>
  <c r="X71" i="10"/>
  <c r="Y71" i="10" s="1"/>
  <c r="X47" i="10"/>
  <c r="Y47" i="10" s="1"/>
  <c r="X46" i="10"/>
  <c r="Y46" i="10" s="1"/>
  <c r="X45" i="10"/>
  <c r="Y45" i="10" s="1"/>
  <c r="N27" i="10"/>
  <c r="K28" i="10"/>
  <c r="K10" i="10" s="1"/>
  <c r="N22" i="10"/>
  <c r="W56" i="10"/>
  <c r="W28" i="10"/>
  <c r="W10" i="10" s="1"/>
  <c r="H56" i="10"/>
  <c r="X56" i="10"/>
  <c r="P148" i="1"/>
  <c r="S148" i="1" s="1"/>
  <c r="P154" i="1"/>
  <c r="S154" i="1" s="1"/>
  <c r="J65" i="10"/>
  <c r="P68" i="10"/>
  <c r="U68" i="10" s="1"/>
  <c r="M65" i="10"/>
  <c r="N9" i="10"/>
  <c r="H13" i="10"/>
  <c r="O52" i="10"/>
  <c r="L56" i="10"/>
  <c r="P151" i="1"/>
  <c r="S151" i="1"/>
  <c r="U66" i="10"/>
  <c r="X43" i="10"/>
  <c r="K43" i="10"/>
  <c r="W43" i="10"/>
  <c r="H43" i="10"/>
  <c r="K13" i="10"/>
  <c r="N13" i="10" s="1"/>
  <c r="W13" i="10"/>
  <c r="X13" i="10"/>
  <c r="N41" i="10"/>
  <c r="N40" i="10"/>
  <c r="N39" i="10"/>
  <c r="N38" i="10"/>
  <c r="N37" i="10"/>
  <c r="N36" i="10"/>
  <c r="J168" i="1"/>
  <c r="M168" i="1"/>
  <c r="T168" i="1"/>
  <c r="U168" i="1"/>
  <c r="V168" i="1" s="1"/>
  <c r="W168" i="1" s="1"/>
  <c r="Y65" i="10" l="1"/>
  <c r="X10" i="10"/>
  <c r="N43" i="10"/>
  <c r="O56" i="10"/>
  <c r="N10" i="10"/>
  <c r="P65" i="10"/>
  <c r="U65" i="10" s="1"/>
  <c r="X49" i="10"/>
  <c r="Y49" i="10" s="1"/>
  <c r="T204" i="1"/>
  <c r="P9" i="17"/>
  <c r="L7" i="17"/>
  <c r="P7" i="17" s="1"/>
  <c r="P29" i="17"/>
  <c r="P27" i="17"/>
  <c r="P22" i="17"/>
  <c r="P21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17" i="17"/>
  <c r="H8" i="17"/>
  <c r="H84" i="17"/>
  <c r="I5" i="17" s="1"/>
  <c r="Q5" i="17" s="1"/>
  <c r="E84" i="17"/>
  <c r="I4" i="17" s="1"/>
  <c r="Q4" i="17" s="1"/>
  <c r="B84" i="17"/>
  <c r="I3" i="17" s="1"/>
  <c r="I10" i="17" l="1"/>
  <c r="Q3" i="17"/>
  <c r="P51" i="17"/>
  <c r="N6" i="17" s="1"/>
  <c r="S6" i="17" s="1"/>
  <c r="W7" i="17"/>
  <c r="T226" i="1"/>
  <c r="W9" i="17"/>
  <c r="AC9" i="1"/>
  <c r="AD9" i="1"/>
  <c r="K83" i="17"/>
  <c r="L85" i="17" s="1"/>
  <c r="U231" i="1"/>
  <c r="V231" i="1" s="1"/>
  <c r="U228" i="1"/>
  <c r="V228" i="1" s="1"/>
  <c r="W228" i="1" s="1"/>
  <c r="U225" i="1"/>
  <c r="V225" i="1" s="1"/>
  <c r="W225" i="1" s="1"/>
  <c r="T207" i="1"/>
  <c r="U179" i="1"/>
  <c r="V179" i="1" s="1"/>
  <c r="W179" i="1" s="1"/>
  <c r="J175" i="1"/>
  <c r="J176" i="1" s="1"/>
  <c r="U159" i="1"/>
  <c r="V159" i="1" s="1"/>
  <c r="W159" i="1" s="1"/>
  <c r="P161" i="1"/>
  <c r="S161" i="1" s="1"/>
  <c r="H108" i="1"/>
  <c r="K108" i="1"/>
  <c r="N108" i="1" s="1"/>
  <c r="T108" i="1"/>
  <c r="U56" i="1"/>
  <c r="V56" i="1" s="1"/>
  <c r="W56" i="1" s="1"/>
  <c r="U49" i="1"/>
  <c r="T29" i="1"/>
  <c r="K29" i="1"/>
  <c r="H29" i="1"/>
  <c r="T49" i="1"/>
  <c r="K49" i="1"/>
  <c r="H49" i="1"/>
  <c r="T231" i="1"/>
  <c r="L231" i="1"/>
  <c r="O231" i="1" s="1"/>
  <c r="S231" i="1" s="1"/>
  <c r="T228" i="1"/>
  <c r="L228" i="1"/>
  <c r="T225" i="1"/>
  <c r="M225" i="1"/>
  <c r="K225" i="1"/>
  <c r="J225" i="1"/>
  <c r="T217" i="1"/>
  <c r="M217" i="1"/>
  <c r="K217" i="1"/>
  <c r="J217" i="1"/>
  <c r="T214" i="1"/>
  <c r="M214" i="1"/>
  <c r="P214" i="1" s="1"/>
  <c r="R214" i="1" s="1"/>
  <c r="K214" i="1"/>
  <c r="N214" i="1" s="1"/>
  <c r="J214" i="1"/>
  <c r="M211" i="1"/>
  <c r="M204" i="1"/>
  <c r="K204" i="1"/>
  <c r="J204" i="1"/>
  <c r="T199" i="1"/>
  <c r="K199" i="1"/>
  <c r="T173" i="1"/>
  <c r="T179" i="1"/>
  <c r="T188" i="1"/>
  <c r="T192" i="1"/>
  <c r="N196" i="1"/>
  <c r="K192" i="1"/>
  <c r="I192" i="1"/>
  <c r="K188" i="1"/>
  <c r="J188" i="1"/>
  <c r="K183" i="1"/>
  <c r="M179" i="1"/>
  <c r="M173" i="1"/>
  <c r="J173" i="1"/>
  <c r="T159" i="1"/>
  <c r="M159" i="1"/>
  <c r="M180" i="1" s="1"/>
  <c r="T143" i="1"/>
  <c r="L143" i="1"/>
  <c r="T137" i="1"/>
  <c r="L137" i="1"/>
  <c r="T132" i="1"/>
  <c r="L132" i="1"/>
  <c r="T127" i="1"/>
  <c r="L127" i="1"/>
  <c r="T119" i="1"/>
  <c r="K119" i="1"/>
  <c r="T116" i="1"/>
  <c r="K116" i="1"/>
  <c r="T112" i="1"/>
  <c r="K112" i="1"/>
  <c r="T102" i="1"/>
  <c r="K102" i="1"/>
  <c r="T96" i="1"/>
  <c r="K96" i="1"/>
  <c r="T89" i="1"/>
  <c r="K89" i="1"/>
  <c r="T81" i="1"/>
  <c r="K81" i="1"/>
  <c r="H74" i="1"/>
  <c r="T71" i="1"/>
  <c r="K71" i="1"/>
  <c r="T65" i="1"/>
  <c r="K65" i="1"/>
  <c r="T59" i="1"/>
  <c r="K59" i="1"/>
  <c r="T24" i="1"/>
  <c r="T21" i="1"/>
  <c r="T38" i="1"/>
  <c r="T45" i="1"/>
  <c r="T56" i="1"/>
  <c r="K56" i="1"/>
  <c r="K45" i="1"/>
  <c r="H45" i="1"/>
  <c r="K38" i="1"/>
  <c r="K21" i="1"/>
  <c r="H231" i="1"/>
  <c r="H7" i="1"/>
  <c r="K7" i="1"/>
  <c r="N7" i="1" s="1"/>
  <c r="T7" i="1"/>
  <c r="K15" i="1"/>
  <c r="H228" i="1"/>
  <c r="I225" i="1"/>
  <c r="I217" i="1"/>
  <c r="I214" i="1"/>
  <c r="I204" i="1"/>
  <c r="I199" i="1"/>
  <c r="I188" i="1"/>
  <c r="J179" i="1"/>
  <c r="J159" i="1"/>
  <c r="J180" i="1" s="1"/>
  <c r="H143" i="1"/>
  <c r="H137" i="1"/>
  <c r="H132" i="1"/>
  <c r="H127" i="1"/>
  <c r="H119" i="1"/>
  <c r="H116" i="1"/>
  <c r="H112" i="1"/>
  <c r="H102" i="1"/>
  <c r="H96" i="1"/>
  <c r="H89" i="1"/>
  <c r="H81" i="1"/>
  <c r="H71" i="1"/>
  <c r="H65" i="1"/>
  <c r="H59" i="1"/>
  <c r="H56" i="1"/>
  <c r="H38" i="1"/>
  <c r="H21" i="1"/>
  <c r="H15" i="1"/>
  <c r="P216" i="1"/>
  <c r="R216" i="1" s="1"/>
  <c r="P213" i="1"/>
  <c r="R213" i="1" s="1"/>
  <c r="P224" i="1"/>
  <c r="R224" i="1" s="1"/>
  <c r="P223" i="1"/>
  <c r="R223" i="1" s="1"/>
  <c r="P222" i="1"/>
  <c r="R222" i="1" s="1"/>
  <c r="N224" i="1"/>
  <c r="N223" i="1"/>
  <c r="N222" i="1"/>
  <c r="N216" i="1"/>
  <c r="N213" i="1"/>
  <c r="N198" i="1"/>
  <c r="N195" i="1"/>
  <c r="N182" i="1"/>
  <c r="N181" i="1"/>
  <c r="P178" i="1"/>
  <c r="P172" i="1"/>
  <c r="P171" i="1"/>
  <c r="S171" i="1" s="1"/>
  <c r="P170" i="1"/>
  <c r="S170" i="1" s="1"/>
  <c r="O142" i="1"/>
  <c r="O136" i="1"/>
  <c r="O135" i="1"/>
  <c r="O130" i="1"/>
  <c r="O125" i="1"/>
  <c r="N118" i="1"/>
  <c r="N107" i="1"/>
  <c r="N106" i="1"/>
  <c r="N105" i="1"/>
  <c r="N104" i="1"/>
  <c r="N101" i="1"/>
  <c r="N100" i="1"/>
  <c r="N99" i="1"/>
  <c r="N95" i="1"/>
  <c r="N94" i="1"/>
  <c r="N93" i="1"/>
  <c r="N92" i="1"/>
  <c r="N91" i="1"/>
  <c r="N88" i="1"/>
  <c r="N87" i="1"/>
  <c r="N86" i="1"/>
  <c r="N85" i="1"/>
  <c r="N84" i="1"/>
  <c r="N83" i="1"/>
  <c r="N80" i="1"/>
  <c r="N79" i="1"/>
  <c r="N69" i="1"/>
  <c r="N68" i="1"/>
  <c r="N63" i="1"/>
  <c r="N54" i="1"/>
  <c r="N44" i="1"/>
  <c r="N43" i="1"/>
  <c r="N41" i="1"/>
  <c r="N37" i="1"/>
  <c r="N35" i="1"/>
  <c r="N28" i="1"/>
  <c r="N27" i="1"/>
  <c r="N19" i="1"/>
  <c r="N18" i="1"/>
  <c r="N14" i="1"/>
  <c r="N13" i="1"/>
  <c r="N12" i="1"/>
  <c r="N6" i="1"/>
  <c r="N5" i="1"/>
  <c r="N9" i="1"/>
  <c r="N77" i="1"/>
  <c r="O124" i="1"/>
  <c r="N3" i="1"/>
  <c r="S3" i="1" s="1"/>
  <c r="N55" i="1"/>
  <c r="N48" i="1"/>
  <c r="N40" i="1"/>
  <c r="N42" i="1"/>
  <c r="N32" i="1"/>
  <c r="N33" i="1"/>
  <c r="N34" i="1"/>
  <c r="N31" i="1"/>
  <c r="T46" i="1" l="1"/>
  <c r="AG3" i="1"/>
  <c r="N102" i="1"/>
  <c r="P173" i="1"/>
  <c r="S173" i="1" s="1"/>
  <c r="AG9" i="1"/>
  <c r="N45" i="1"/>
  <c r="N225" i="1"/>
  <c r="U180" i="1"/>
  <c r="H144" i="1"/>
  <c r="N56" i="1"/>
  <c r="P179" i="1"/>
  <c r="S179" i="1" s="1"/>
  <c r="N199" i="1"/>
  <c r="P225" i="1"/>
  <c r="R225" i="1" s="1"/>
  <c r="P10" i="17"/>
  <c r="Q10" i="17"/>
  <c r="T10" i="17" s="1"/>
  <c r="N65" i="1"/>
  <c r="O127" i="1"/>
  <c r="K200" i="1"/>
  <c r="N15" i="1"/>
  <c r="N59" i="1"/>
  <c r="N119" i="1"/>
  <c r="O143" i="1"/>
  <c r="J226" i="1"/>
  <c r="P211" i="1"/>
  <c r="R211" i="1" s="1"/>
  <c r="I226" i="1"/>
  <c r="I200" i="1"/>
  <c r="N89" i="1"/>
  <c r="N183" i="1"/>
  <c r="N38" i="1"/>
  <c r="N81" i="1"/>
  <c r="N112" i="1"/>
  <c r="N192" i="1"/>
  <c r="AE8" i="1"/>
  <c r="M226" i="1"/>
  <c r="AF8" i="1"/>
  <c r="T144" i="1"/>
  <c r="K22" i="1"/>
  <c r="AA6" i="1"/>
  <c r="O137" i="1"/>
  <c r="L144" i="1"/>
  <c r="T180" i="1"/>
  <c r="T200" i="1"/>
  <c r="N71" i="1"/>
  <c r="AE6" i="1"/>
  <c r="AD8" i="1"/>
  <c r="N204" i="1"/>
  <c r="K226" i="1"/>
  <c r="AF3" i="1"/>
  <c r="AA3" i="1"/>
  <c r="AE3" i="1"/>
  <c r="AD3" i="1"/>
  <c r="AC4" i="1"/>
  <c r="AC3" i="1"/>
  <c r="AB4" i="1"/>
  <c r="AG4" i="1"/>
  <c r="AC7" i="1"/>
  <c r="AA7" i="1"/>
  <c r="AB7" i="1"/>
  <c r="AE7" i="1"/>
  <c r="AF10" i="1"/>
  <c r="AD4" i="1"/>
  <c r="AB6" i="1"/>
  <c r="AB3" i="1"/>
  <c r="AA4" i="1"/>
  <c r="AF4" i="1"/>
  <c r="AE9" i="1"/>
  <c r="AE4" i="1"/>
  <c r="AC6" i="1"/>
  <c r="AB8" i="1"/>
  <c r="AC8" i="1"/>
  <c r="AF9" i="1"/>
  <c r="AD10" i="1"/>
  <c r="N29" i="1"/>
  <c r="O132" i="1"/>
  <c r="J162" i="1"/>
  <c r="J164" i="1" s="1"/>
  <c r="J165" i="1" s="1"/>
  <c r="T117" i="1"/>
  <c r="M162" i="1"/>
  <c r="M175" i="1" s="1"/>
  <c r="M176" i="1" s="1"/>
  <c r="P176" i="1" s="1"/>
  <c r="S176" i="1" s="1"/>
  <c r="P159" i="1"/>
  <c r="N217" i="1"/>
  <c r="I189" i="1"/>
  <c r="U162" i="1"/>
  <c r="N96" i="1"/>
  <c r="N188" i="1"/>
  <c r="K189" i="1"/>
  <c r="K70" i="10" s="1"/>
  <c r="T189" i="1"/>
  <c r="W70" i="10" s="1"/>
  <c r="P217" i="1"/>
  <c r="R217" i="1" s="1"/>
  <c r="H117" i="1"/>
  <c r="N21" i="1"/>
  <c r="N116" i="1"/>
  <c r="K117" i="1"/>
  <c r="T162" i="1"/>
  <c r="T164" i="1" s="1"/>
  <c r="T165" i="1" s="1"/>
  <c r="AD7" i="1" s="1"/>
  <c r="P204" i="1"/>
  <c r="O228" i="1"/>
  <c r="K84" i="17"/>
  <c r="I8" i="17" s="1"/>
  <c r="Q8" i="17" s="1"/>
  <c r="U219" i="1"/>
  <c r="V219" i="1" s="1"/>
  <c r="W219" i="1" s="1"/>
  <c r="H232" i="1"/>
  <c r="T51" i="1"/>
  <c r="T52" i="1" s="1"/>
  <c r="T219" i="1"/>
  <c r="T220" i="1" s="1"/>
  <c r="L232" i="1"/>
  <c r="U232" i="1"/>
  <c r="V232" i="1" s="1"/>
  <c r="T232" i="1"/>
  <c r="K46" i="1"/>
  <c r="T122" i="1"/>
  <c r="H97" i="1"/>
  <c r="K97" i="1"/>
  <c r="K121" i="1" s="1"/>
  <c r="K122" i="1" s="1"/>
  <c r="H46" i="1"/>
  <c r="H109" i="1"/>
  <c r="H110" i="1"/>
  <c r="K57" i="1"/>
  <c r="T109" i="1"/>
  <c r="H57" i="1"/>
  <c r="K51" i="1"/>
  <c r="K110" i="1"/>
  <c r="T57" i="1"/>
  <c r="T110" i="1"/>
  <c r="H51" i="1"/>
  <c r="H52" i="1" s="1"/>
  <c r="U51" i="1"/>
  <c r="V51" i="1" s="1"/>
  <c r="W51" i="1" s="1"/>
  <c r="K109" i="1"/>
  <c r="N49" i="1"/>
  <c r="S178" i="1"/>
  <c r="S172" i="1"/>
  <c r="M6" i="17"/>
  <c r="M9" i="17"/>
  <c r="O9" i="17" s="1"/>
  <c r="K7" i="17"/>
  <c r="O7" i="17" s="1"/>
  <c r="V180" i="1" l="1"/>
  <c r="U52" i="1"/>
  <c r="V52" i="1" s="1"/>
  <c r="W52" i="1" s="1"/>
  <c r="O232" i="1"/>
  <c r="U220" i="1"/>
  <c r="V220" i="1" s="1"/>
  <c r="W220" i="1" s="1"/>
  <c r="H121" i="1"/>
  <c r="U175" i="1"/>
  <c r="V175" i="1" s="1"/>
  <c r="W175" i="1" s="1"/>
  <c r="I70" i="10"/>
  <c r="W71" i="10"/>
  <c r="W73" i="10"/>
  <c r="W72" i="10"/>
  <c r="K71" i="10"/>
  <c r="K73" i="10"/>
  <c r="K72" i="10"/>
  <c r="N110" i="1"/>
  <c r="T123" i="1"/>
  <c r="N226" i="1"/>
  <c r="R204" i="1"/>
  <c r="P226" i="1"/>
  <c r="H44" i="10"/>
  <c r="H123" i="1"/>
  <c r="N57" i="1"/>
  <c r="O144" i="1"/>
  <c r="K44" i="10"/>
  <c r="K48" i="10" s="1"/>
  <c r="K123" i="1"/>
  <c r="S159" i="1"/>
  <c r="P180" i="1"/>
  <c r="N200" i="1"/>
  <c r="M164" i="1"/>
  <c r="M165" i="1" s="1"/>
  <c r="P165" i="1" s="1"/>
  <c r="S165" i="1" s="1"/>
  <c r="AB5" i="1"/>
  <c r="W44" i="10"/>
  <c r="W48" i="10" s="1"/>
  <c r="AE5" i="1"/>
  <c r="AC5" i="1"/>
  <c r="AF5" i="1"/>
  <c r="AA5" i="1"/>
  <c r="T175" i="1"/>
  <c r="T176" i="1" s="1"/>
  <c r="AF7" i="1" s="1"/>
  <c r="K52" i="1"/>
  <c r="N52" i="1" s="1"/>
  <c r="N51" i="1"/>
  <c r="N122" i="1"/>
  <c r="N117" i="1"/>
  <c r="N44" i="10" s="1"/>
  <c r="N189" i="1"/>
  <c r="N70" i="10" s="1"/>
  <c r="U164" i="1"/>
  <c r="V164" i="1" s="1"/>
  <c r="W164" i="1" s="1"/>
  <c r="S228" i="1"/>
  <c r="N46" i="1"/>
  <c r="N109" i="1"/>
  <c r="N97" i="1"/>
  <c r="N121" i="1" s="1"/>
  <c r="M207" i="1"/>
  <c r="M219" i="1" s="1"/>
  <c r="K207" i="1"/>
  <c r="K219" i="1" s="1"/>
  <c r="K220" i="1" s="1"/>
  <c r="N220" i="1" s="1"/>
  <c r="J207" i="1"/>
  <c r="J219" i="1" s="1"/>
  <c r="J220" i="1" s="1"/>
  <c r="I207" i="1"/>
  <c r="O139" i="1"/>
  <c r="L140" i="1"/>
  <c r="H140" i="1"/>
  <c r="N73" i="1"/>
  <c r="K74" i="1"/>
  <c r="N23" i="1"/>
  <c r="K24" i="1"/>
  <c r="H24" i="1"/>
  <c r="G6" i="17"/>
  <c r="O227" i="1"/>
  <c r="P210" i="1"/>
  <c r="N210" i="1"/>
  <c r="P206" i="1"/>
  <c r="R206" i="1" s="1"/>
  <c r="N206" i="1"/>
  <c r="P203" i="1"/>
  <c r="R203" i="1" s="1"/>
  <c r="P202" i="1"/>
  <c r="R202" i="1" s="1"/>
  <c r="P201" i="1"/>
  <c r="N203" i="1"/>
  <c r="N202" i="1"/>
  <c r="N201" i="1"/>
  <c r="N191" i="1"/>
  <c r="N190" i="1"/>
  <c r="N187" i="1"/>
  <c r="N186" i="1"/>
  <c r="N185" i="1"/>
  <c r="P167" i="1"/>
  <c r="P168" i="1" s="1"/>
  <c r="P158" i="1"/>
  <c r="O134" i="1"/>
  <c r="O131" i="1"/>
  <c r="O126" i="1"/>
  <c r="O129" i="1"/>
  <c r="N115" i="1"/>
  <c r="N114" i="1"/>
  <c r="N111" i="1"/>
  <c r="N78" i="1"/>
  <c r="N76" i="1"/>
  <c r="N64" i="1"/>
  <c r="N70" i="1"/>
  <c r="N67" i="1"/>
  <c r="N62" i="1"/>
  <c r="N61" i="1"/>
  <c r="N58" i="1"/>
  <c r="N26" i="1"/>
  <c r="N20" i="1"/>
  <c r="N11" i="1"/>
  <c r="N17" i="1"/>
  <c r="I71" i="10" l="1"/>
  <c r="S131" i="1"/>
  <c r="I72" i="10"/>
  <c r="I73" i="10"/>
  <c r="S132" i="1"/>
  <c r="S127" i="1"/>
  <c r="S232" i="1"/>
  <c r="S137" i="1"/>
  <c r="S144" i="1" s="1"/>
  <c r="O6" i="17"/>
  <c r="U55" i="10"/>
  <c r="U52" i="10"/>
  <c r="U56" i="10"/>
  <c r="T6" i="17"/>
  <c r="U165" i="1"/>
  <c r="V165" i="1" s="1"/>
  <c r="W165" i="1" s="1"/>
  <c r="U176" i="1"/>
  <c r="V176" i="1" s="1"/>
  <c r="W176" i="1" s="1"/>
  <c r="H122" i="1"/>
  <c r="S143" i="1"/>
  <c r="N48" i="10"/>
  <c r="H48" i="10"/>
  <c r="K47" i="10"/>
  <c r="N47" i="10" s="1"/>
  <c r="K46" i="10"/>
  <c r="K45" i="10"/>
  <c r="H45" i="10"/>
  <c r="H47" i="10"/>
  <c r="H46" i="10"/>
  <c r="W47" i="10"/>
  <c r="W46" i="10"/>
  <c r="W45" i="10"/>
  <c r="N73" i="10"/>
  <c r="N72" i="10"/>
  <c r="N71" i="10"/>
  <c r="N123" i="1"/>
  <c r="S180" i="1"/>
  <c r="R226" i="1"/>
  <c r="U51" i="10"/>
  <c r="U50" i="10"/>
  <c r="U54" i="10"/>
  <c r="P6" i="17"/>
  <c r="S124" i="1"/>
  <c r="S135" i="1"/>
  <c r="S136" i="1"/>
  <c r="S142" i="1"/>
  <c r="S130" i="1"/>
  <c r="S125" i="1"/>
  <c r="P219" i="1"/>
  <c r="M220" i="1"/>
  <c r="P220" i="1" s="1"/>
  <c r="R220" i="1" s="1"/>
  <c r="I219" i="1"/>
  <c r="S167" i="1"/>
  <c r="P162" i="1"/>
  <c r="P175" i="1" s="1"/>
  <c r="S129" i="1"/>
  <c r="S134" i="1"/>
  <c r="S227" i="1"/>
  <c r="R201" i="1"/>
  <c r="N207" i="1"/>
  <c r="N219" i="1" s="1"/>
  <c r="R210" i="1"/>
  <c r="S139" i="1"/>
  <c r="P207" i="1"/>
  <c r="N24" i="1"/>
  <c r="O140" i="1"/>
  <c r="S126" i="1"/>
  <c r="S158" i="1"/>
  <c r="N74" i="1"/>
  <c r="W6" i="17" l="1"/>
  <c r="I220" i="1"/>
  <c r="N45" i="10"/>
  <c r="H49" i="10"/>
  <c r="W49" i="10"/>
  <c r="N46" i="10"/>
  <c r="K49" i="10"/>
  <c r="N49" i="10" s="1"/>
  <c r="S168" i="1"/>
  <c r="P164" i="1"/>
  <c r="R219" i="1"/>
  <c r="S140" i="1"/>
  <c r="N10" i="1"/>
  <c r="N4" i="1"/>
  <c r="D8" i="17"/>
  <c r="E8" i="17" s="1"/>
  <c r="F8" i="17" s="1"/>
  <c r="D4" i="17"/>
  <c r="E4" i="17" s="1"/>
  <c r="F4" i="17" s="1"/>
  <c r="D5" i="17"/>
  <c r="E5" i="17" s="1"/>
  <c r="F5" i="17" s="1"/>
  <c r="S123" i="1" s="1"/>
  <c r="D3" i="17"/>
  <c r="E3" i="17" s="1"/>
  <c r="F3" i="17" s="1"/>
  <c r="S110" i="1" l="1"/>
  <c r="U49" i="10"/>
  <c r="U72" i="10"/>
  <c r="T8" i="17"/>
  <c r="T5" i="17"/>
  <c r="S112" i="1"/>
  <c r="S119" i="1"/>
  <c r="S116" i="1"/>
  <c r="S122" i="1"/>
  <c r="U73" i="10"/>
  <c r="T4" i="17"/>
  <c r="U27" i="10"/>
  <c r="U34" i="10"/>
  <c r="U42" i="10"/>
  <c r="U22" i="10"/>
  <c r="U43" i="10"/>
  <c r="S65" i="1"/>
  <c r="S102" i="1"/>
  <c r="S108" i="1"/>
  <c r="S81" i="1"/>
  <c r="S59" i="1"/>
  <c r="S89" i="1"/>
  <c r="S71" i="1"/>
  <c r="S96" i="1"/>
  <c r="Q219" i="1"/>
  <c r="S219" i="1" s="1"/>
  <c r="Q206" i="1"/>
  <c r="S206" i="1" s="1"/>
  <c r="U10" i="10"/>
  <c r="S194" i="1"/>
  <c r="T4" i="8"/>
  <c r="U4" i="8" s="1"/>
  <c r="S36" i="1"/>
  <c r="Q211" i="1"/>
  <c r="S211" i="1" s="1"/>
  <c r="Q209" i="1"/>
  <c r="S209" i="1" s="1"/>
  <c r="T3" i="17"/>
  <c r="U12" i="10"/>
  <c r="U13" i="10"/>
  <c r="U9" i="10"/>
  <c r="P3" i="17"/>
  <c r="S196" i="1"/>
  <c r="S199" i="1"/>
  <c r="S192" i="1"/>
  <c r="Q214" i="1"/>
  <c r="S214" i="1" s="1"/>
  <c r="S38" i="1"/>
  <c r="Q225" i="1"/>
  <c r="S225" i="1" s="1"/>
  <c r="S183" i="1"/>
  <c r="S56" i="1"/>
  <c r="S7" i="1"/>
  <c r="S15" i="1"/>
  <c r="S45" i="1"/>
  <c r="S29" i="1"/>
  <c r="S188" i="1"/>
  <c r="Q217" i="1"/>
  <c r="S217" i="1" s="1"/>
  <c r="Q204" i="1"/>
  <c r="S21" i="1"/>
  <c r="S200" i="1"/>
  <c r="U71" i="10"/>
  <c r="S51" i="1"/>
  <c r="S52" i="1"/>
  <c r="Q220" i="1"/>
  <c r="S220" i="1" s="1"/>
  <c r="U18" i="10"/>
  <c r="U14" i="10"/>
  <c r="U19" i="10"/>
  <c r="U17" i="10"/>
  <c r="U24" i="10"/>
  <c r="U30" i="10"/>
  <c r="U16" i="10"/>
  <c r="U21" i="10"/>
  <c r="U15" i="10"/>
  <c r="U33" i="10"/>
  <c r="U26" i="10"/>
  <c r="U20" i="10"/>
  <c r="U31" i="10"/>
  <c r="U25" i="10"/>
  <c r="U32" i="10"/>
  <c r="U29" i="10"/>
  <c r="U41" i="10"/>
  <c r="U40" i="10"/>
  <c r="U36" i="10"/>
  <c r="U38" i="10"/>
  <c r="U39" i="10"/>
  <c r="O4" i="17"/>
  <c r="U37" i="10"/>
  <c r="P4" i="17"/>
  <c r="S105" i="1"/>
  <c r="S93" i="1"/>
  <c r="S77" i="1"/>
  <c r="S101" i="1"/>
  <c r="S107" i="1"/>
  <c r="S95" i="1"/>
  <c r="S87" i="1"/>
  <c r="S69" i="1"/>
  <c r="S100" i="1"/>
  <c r="S63" i="1"/>
  <c r="S99" i="1"/>
  <c r="S91" i="1"/>
  <c r="S84" i="1"/>
  <c r="S106" i="1"/>
  <c r="S79" i="1"/>
  <c r="S85" i="1"/>
  <c r="S80" i="1"/>
  <c r="S83" i="1"/>
  <c r="S104" i="1"/>
  <c r="S92" i="1"/>
  <c r="S88" i="1"/>
  <c r="S94" i="1"/>
  <c r="S86" i="1"/>
  <c r="S68" i="1"/>
  <c r="O8" i="17"/>
  <c r="P8" i="17"/>
  <c r="A12" i="17"/>
  <c r="U8" i="10"/>
  <c r="U6" i="10"/>
  <c r="U4" i="10"/>
  <c r="U5" i="10"/>
  <c r="U7" i="10"/>
  <c r="U11" i="10"/>
  <c r="U3" i="10"/>
  <c r="O3" i="17"/>
  <c r="S40" i="1"/>
  <c r="S44" i="1"/>
  <c r="S181" i="1"/>
  <c r="S37" i="1"/>
  <c r="S42" i="1"/>
  <c r="S41" i="1"/>
  <c r="S5" i="1"/>
  <c r="S198" i="1"/>
  <c r="S6" i="1"/>
  <c r="S19" i="1"/>
  <c r="S54" i="1"/>
  <c r="S182" i="1"/>
  <c r="S9" i="1"/>
  <c r="S14" i="1"/>
  <c r="S195" i="1"/>
  <c r="S43" i="1"/>
  <c r="S33" i="1"/>
  <c r="S18" i="1"/>
  <c r="Q223" i="1"/>
  <c r="S55" i="1"/>
  <c r="Q224" i="1"/>
  <c r="S13" i="1"/>
  <c r="Q216" i="1"/>
  <c r="S216" i="1" s="1"/>
  <c r="S28" i="1"/>
  <c r="Q222" i="1"/>
  <c r="S222" i="1" s="1"/>
  <c r="Q213" i="1"/>
  <c r="S213" i="1" s="1"/>
  <c r="S48" i="1"/>
  <c r="S35" i="1"/>
  <c r="S32" i="1"/>
  <c r="S12" i="1"/>
  <c r="S31" i="1"/>
  <c r="S27" i="1"/>
  <c r="S34" i="1"/>
  <c r="Q202" i="1"/>
  <c r="Q201" i="1"/>
  <c r="S201" i="1" s="1"/>
  <c r="S20" i="1"/>
  <c r="Q210" i="1"/>
  <c r="S210" i="1" s="1"/>
  <c r="S11" i="1"/>
  <c r="Q203" i="1"/>
  <c r="O5" i="17"/>
  <c r="P5" i="17"/>
  <c r="S118" i="1"/>
  <c r="S111" i="1"/>
  <c r="S162" i="1"/>
  <c r="S175" i="1" s="1"/>
  <c r="S4" i="1"/>
  <c r="S10" i="1"/>
  <c r="S185" i="1"/>
  <c r="S23" i="1"/>
  <c r="S73" i="1"/>
  <c r="S186" i="1"/>
  <c r="S187" i="1"/>
  <c r="S17" i="1"/>
  <c r="S191" i="1"/>
  <c r="S190" i="1"/>
  <c r="S26" i="1"/>
  <c r="S58" i="1"/>
  <c r="S76" i="1"/>
  <c r="S64" i="1"/>
  <c r="S78" i="1"/>
  <c r="S70" i="1"/>
  <c r="S61" i="1"/>
  <c r="S62" i="1"/>
  <c r="S67" i="1"/>
  <c r="S115" i="1"/>
  <c r="S114" i="1"/>
  <c r="W5" i="17" l="1"/>
  <c r="W8" i="17"/>
  <c r="W3" i="17"/>
  <c r="W4" i="17"/>
  <c r="U28" i="10"/>
  <c r="S223" i="1"/>
  <c r="S204" i="1"/>
  <c r="Q226" i="1"/>
  <c r="S117" i="1"/>
  <c r="U44" i="10" s="1"/>
  <c r="U46" i="10" s="1"/>
  <c r="S224" i="1"/>
  <c r="S189" i="1"/>
  <c r="U70" i="10" s="1"/>
  <c r="S202" i="1"/>
  <c r="S203" i="1"/>
  <c r="S49" i="1"/>
  <c r="S164" i="1"/>
  <c r="S57" i="1"/>
  <c r="S74" i="1"/>
  <c r="S24" i="1"/>
  <c r="U47" i="10" l="1"/>
  <c r="U48" i="10"/>
  <c r="U45" i="10"/>
  <c r="S226" i="1"/>
  <c r="S46" i="1"/>
  <c r="S109" i="1"/>
  <c r="S97" i="1"/>
  <c r="S121" i="1" s="1"/>
  <c r="S207" i="1" l="1"/>
</calcChain>
</file>

<file path=xl/sharedStrings.xml><?xml version="1.0" encoding="utf-8"?>
<sst xmlns="http://schemas.openxmlformats.org/spreadsheetml/2006/main" count="1893" uniqueCount="582">
  <si>
    <t>Gasoline</t>
  </si>
  <si>
    <t>Diesel</t>
  </si>
  <si>
    <t>LPG</t>
  </si>
  <si>
    <t>Technology</t>
  </si>
  <si>
    <t>Fuel</t>
  </si>
  <si>
    <t>Start</t>
  </si>
  <si>
    <t>Efficiency</t>
  </si>
  <si>
    <t>TRTGAS017</t>
  </si>
  <si>
    <t>TRTDST017</t>
  </si>
  <si>
    <t>TRTLPG017</t>
  </si>
  <si>
    <t>TRTNGA017</t>
  </si>
  <si>
    <t>TRTBEL017</t>
  </si>
  <si>
    <t>TRTFLF017</t>
  </si>
  <si>
    <t>TRTHEL017</t>
  </si>
  <si>
    <t>TRTPEL017</t>
  </si>
  <si>
    <t>TRAGSL</t>
  </si>
  <si>
    <t>TRADST</t>
  </si>
  <si>
    <t>TRALPG</t>
  </si>
  <si>
    <t>TRANGA</t>
  </si>
  <si>
    <t>TRAELC</t>
  </si>
  <si>
    <t>Model</t>
  </si>
  <si>
    <t>Hybrid</t>
  </si>
  <si>
    <t>Plug-in Hybrid</t>
  </si>
  <si>
    <t>TRAGSL/TRAELC</t>
  </si>
  <si>
    <t>TRAGSL/TRAMET</t>
  </si>
  <si>
    <t>TRTFCE017</t>
  </si>
  <si>
    <t>TRAHH2</t>
  </si>
  <si>
    <t>-</t>
  </si>
  <si>
    <t>CNG/LNG</t>
  </si>
  <si>
    <t>Battery electric</t>
  </si>
  <si>
    <t>Flex-fuel</t>
  </si>
  <si>
    <t>Fuel cell</t>
  </si>
  <si>
    <t>Maker</t>
  </si>
  <si>
    <t>Volkswagen</t>
  </si>
  <si>
    <t>Golf</t>
  </si>
  <si>
    <t>CO2 emissions</t>
  </si>
  <si>
    <t>Version</t>
  </si>
  <si>
    <t>Fuel economy</t>
  </si>
  <si>
    <t>Power</t>
  </si>
  <si>
    <t>1.5 TSI EVO BlueMotion</t>
  </si>
  <si>
    <t>Dimensions</t>
  </si>
  <si>
    <t>Mirai</t>
  </si>
  <si>
    <t>kg/100 km</t>
  </si>
  <si>
    <t>GTE 1.4 TSI DSG 5p. Plug-in Hybrid</t>
  </si>
  <si>
    <t>3.0 TDI e-tron quattro Rad 19''</t>
  </si>
  <si>
    <t>Audi</t>
  </si>
  <si>
    <t>Q7</t>
  </si>
  <si>
    <t>3.0 TDI ultra quattro** RAD 18'' H0Q</t>
  </si>
  <si>
    <t>FIAT</t>
  </si>
  <si>
    <t>Panda</t>
  </si>
  <si>
    <t>1.2 8V</t>
  </si>
  <si>
    <t>CO2 emission class</t>
  </si>
  <si>
    <t>1.3 16V MJ S&amp;S 4x2</t>
  </si>
  <si>
    <t>1.2 8V LPG</t>
  </si>
  <si>
    <t>0.9 8V TA Natural Power 4x2</t>
  </si>
  <si>
    <t>1.4 TGI BlueMotion</t>
  </si>
  <si>
    <t>1.6 TDI BlueMotion</t>
  </si>
  <si>
    <t>Nexo</t>
  </si>
  <si>
    <t>Segment</t>
  </si>
  <si>
    <t>Medium/Standard</t>
  </si>
  <si>
    <t>Small/Standard</t>
  </si>
  <si>
    <t>Large/Standard</t>
  </si>
  <si>
    <t>Purchase price</t>
  </si>
  <si>
    <t>Investment cost</t>
  </si>
  <si>
    <t>Auris/Corolla</t>
  </si>
  <si>
    <t>1.6 D-4D</t>
  </si>
  <si>
    <t>kW el</t>
  </si>
  <si>
    <t>Italy</t>
  </si>
  <si>
    <t>Germany</t>
  </si>
  <si>
    <t>Nissan</t>
  </si>
  <si>
    <t>Toyota</t>
  </si>
  <si>
    <t>Hyundai</t>
  </si>
  <si>
    <t>Ford</t>
  </si>
  <si>
    <t>Fiat</t>
  </si>
  <si>
    <t>LEAF</t>
  </si>
  <si>
    <t>Business 40 kWh</t>
  </si>
  <si>
    <t>kWh/100 km</t>
  </si>
  <si>
    <t>Tesla</t>
  </si>
  <si>
    <t>Model S</t>
  </si>
  <si>
    <t>Large/Premium</t>
  </si>
  <si>
    <t>Model X</t>
  </si>
  <si>
    <t>IONIQ</t>
  </si>
  <si>
    <t xml:space="preserve">kW </t>
  </si>
  <si>
    <t>1.6 PLUG-IN 141 CV Comfort</t>
  </si>
  <si>
    <t>MY19 1.6 Hybrid Classic</t>
  </si>
  <si>
    <t>kW comb*</t>
  </si>
  <si>
    <t>* comb = th + el</t>
  </si>
  <si>
    <t>KONA</t>
  </si>
  <si>
    <t>EV 64KWH XPrime</t>
  </si>
  <si>
    <r>
      <t xml:space="preserve">g/km </t>
    </r>
    <r>
      <rPr>
        <b/>
        <i/>
        <sz val="11"/>
        <color rgb="FFFF0000"/>
        <rFont val="Calibri"/>
        <family val="2"/>
        <scheme val="minor"/>
      </rPr>
      <t>(Conversion from EPA)</t>
    </r>
  </si>
  <si>
    <t>Chevrolet</t>
  </si>
  <si>
    <t>Silverado</t>
  </si>
  <si>
    <t>F-150</t>
  </si>
  <si>
    <r>
      <t xml:space="preserve">l/100 km </t>
    </r>
    <r>
      <rPr>
        <b/>
        <i/>
        <sz val="11"/>
        <color rgb="FFFF0000"/>
        <rFont val="Calibri"/>
        <family val="2"/>
        <scheme val="minor"/>
      </rPr>
      <t>(Conversion from MPG)</t>
    </r>
  </si>
  <si>
    <t>A3 Sportback</t>
  </si>
  <si>
    <t>MY19 1.0T-GDI Classic</t>
  </si>
  <si>
    <t>MY19 1.6 CRDi Classic</t>
  </si>
  <si>
    <t>2019 3.3L Ti-VCT V6 E85</t>
  </si>
  <si>
    <t>1.5 TFSI g-tron</t>
  </si>
  <si>
    <t>1.5 TFSI</t>
  </si>
  <si>
    <t>Medium/Premium</t>
  </si>
  <si>
    <t>2.0 TDI</t>
  </si>
  <si>
    <t>Jeep</t>
  </si>
  <si>
    <t>Renegade</t>
  </si>
  <si>
    <t>All new 2019 5.3L C10</t>
  </si>
  <si>
    <t>Kia</t>
  </si>
  <si>
    <t>Niro</t>
  </si>
  <si>
    <t>1.6 GDi HEV 141 CV 6DCT</t>
  </si>
  <si>
    <t>e-Niro</t>
  </si>
  <si>
    <t>Edition 7 64 kWh</t>
  </si>
  <si>
    <t>1.4 TFSI e-tron S tronic</t>
  </si>
  <si>
    <t>BMW</t>
  </si>
  <si>
    <t>i3</t>
  </si>
  <si>
    <t>Polo</t>
  </si>
  <si>
    <t>1.0 TSI BlueMotion Technology</t>
  </si>
  <si>
    <t>1.3 Dual-VVT-i</t>
  </si>
  <si>
    <t>120 Ah BEV</t>
  </si>
  <si>
    <t>1.0 TGI</t>
  </si>
  <si>
    <t>Renault</t>
  </si>
  <si>
    <t>ZOE</t>
  </si>
  <si>
    <t>Clio</t>
  </si>
  <si>
    <t>TCe 90</t>
  </si>
  <si>
    <t>dCi 90</t>
  </si>
  <si>
    <t>RAV4</t>
  </si>
  <si>
    <t>2.0 Valvematic</t>
  </si>
  <si>
    <t>2.0 D-4D</t>
  </si>
  <si>
    <t xml:space="preserve">2.5 Hybrid </t>
  </si>
  <si>
    <t>Prius</t>
  </si>
  <si>
    <t>Mitsubishi</t>
  </si>
  <si>
    <t>Outlander</t>
  </si>
  <si>
    <t>2.0 MIVEC 2WD Plus</t>
  </si>
  <si>
    <t>16-V Plug-in Hybrid Plus</t>
  </si>
  <si>
    <t>2.0 DI-D</t>
  </si>
  <si>
    <t>Caddy</t>
  </si>
  <si>
    <t>2.0 TDI SCR BlueMotion Technology</t>
  </si>
  <si>
    <t>1.4 TGI BlueMotion Technology</t>
  </si>
  <si>
    <t>e-Crafter</t>
  </si>
  <si>
    <t>35 L3H3</t>
  </si>
  <si>
    <t>Crafter</t>
  </si>
  <si>
    <t>Transporter</t>
  </si>
  <si>
    <t>Opel</t>
  </si>
  <si>
    <t>Combo Cargo</t>
  </si>
  <si>
    <t>Peugeot</t>
  </si>
  <si>
    <t>Partner</t>
  </si>
  <si>
    <t>Kangoo</t>
  </si>
  <si>
    <t>Doblò</t>
  </si>
  <si>
    <t>Master</t>
  </si>
  <si>
    <t>Movano</t>
  </si>
  <si>
    <t>Passat</t>
  </si>
  <si>
    <t>1.5 TSI OPT</t>
  </si>
  <si>
    <t>2.0 TDI SCR</t>
  </si>
  <si>
    <t>Punto</t>
  </si>
  <si>
    <t>1.4 GPL</t>
  </si>
  <si>
    <t>1.4 Metano</t>
  </si>
  <si>
    <t>1.3 16V MultiJet</t>
  </si>
  <si>
    <t>2.0 TDI EU6 SCR BMT L2</t>
  </si>
  <si>
    <t>Start 2020</t>
  </si>
  <si>
    <t>2.3 CdTI E6 L3H3 R45 HD</t>
  </si>
  <si>
    <t>2.0 35 L3H3 2.0 TDI</t>
  </si>
  <si>
    <t>1.6 S&amp;S MT5</t>
  </si>
  <si>
    <t>GTE 1.4 TSI Plug-in Hybrid</t>
  </si>
  <si>
    <t>BlueHDi 100</t>
  </si>
  <si>
    <t>130CV 2.0 TDCi 350 L3H2</t>
  </si>
  <si>
    <t>Full electric</t>
  </si>
  <si>
    <t>Transit Connect</t>
  </si>
  <si>
    <t>1.0 Ecoboost 100CV M6 Start &amp; Stop</t>
  </si>
  <si>
    <t>1.5 TDCi 100CV M6 Start &amp; Stop</t>
  </si>
  <si>
    <t>Transit Van</t>
  </si>
  <si>
    <t>Transit Custom</t>
  </si>
  <si>
    <t>2.0TDCi 130CV Euro 6.2 M6</t>
  </si>
  <si>
    <t>EcoBoost 1.0 Plug-in Hybrid</t>
  </si>
  <si>
    <t>Ducato</t>
  </si>
  <si>
    <t>3.0 Natural Power L4H2</t>
  </si>
  <si>
    <t>2.3 MJT 16 V 150 CV L4H2</t>
  </si>
  <si>
    <t xml:space="preserve">Fiat </t>
  </si>
  <si>
    <t>Z.E. 33</t>
  </si>
  <si>
    <t>dCi 90 S&amp;S</t>
  </si>
  <si>
    <t>TCe 115 S&amp;S</t>
  </si>
  <si>
    <t>NV200</t>
  </si>
  <si>
    <t>1.5 dCi</t>
  </si>
  <si>
    <t>e-NV200</t>
  </si>
  <si>
    <t>Van Business 4P</t>
  </si>
  <si>
    <t>Small Van/Standard</t>
  </si>
  <si>
    <t>Land Rover</t>
  </si>
  <si>
    <t>Range Rover</t>
  </si>
  <si>
    <t>Large Van/Standard</t>
  </si>
  <si>
    <t>Medium Van/Standard</t>
  </si>
  <si>
    <r>
      <t xml:space="preserve">Max capacity (m^3) or </t>
    </r>
    <r>
      <rPr>
        <b/>
        <i/>
        <sz val="11"/>
        <color rgb="FFFF0000"/>
        <rFont val="Calibri"/>
        <family val="2"/>
        <scheme val="minor"/>
      </rPr>
      <t>Weight</t>
    </r>
  </si>
  <si>
    <t>Land Cruiser</t>
  </si>
  <si>
    <t>2.8 D-4D</t>
  </si>
  <si>
    <t>Pick-up/Standard</t>
  </si>
  <si>
    <t>Compact SUV/Standard</t>
  </si>
  <si>
    <t>Mercedes-Benz</t>
  </si>
  <si>
    <t>GLC</t>
  </si>
  <si>
    <t>250 d 4MATIC</t>
  </si>
  <si>
    <t>250 4MATIC</t>
  </si>
  <si>
    <t>350e 4MATIC</t>
  </si>
  <si>
    <t>Captur</t>
  </si>
  <si>
    <t>TCE 120</t>
  </si>
  <si>
    <r>
      <t xml:space="preserve">l/100 km </t>
    </r>
    <r>
      <rPr>
        <b/>
        <i/>
        <sz val="11"/>
        <color rgb="FFFF0000"/>
        <rFont val="Calibri"/>
        <family val="2"/>
        <scheme val="minor"/>
      </rPr>
      <t xml:space="preserve">(Conversion from MPG) </t>
    </r>
    <r>
      <rPr>
        <b/>
        <i/>
        <sz val="11"/>
        <color rgb="FF00B050"/>
        <rFont val="Calibri"/>
        <family val="2"/>
        <scheme val="minor"/>
      </rPr>
      <t>(Petrobras)</t>
    </r>
  </si>
  <si>
    <t>dCi 110</t>
  </si>
  <si>
    <t>Atego</t>
  </si>
  <si>
    <t>Passenger cars</t>
  </si>
  <si>
    <t>Light trucks</t>
  </si>
  <si>
    <t>Buses</t>
  </si>
  <si>
    <t>Pick-up/Premium</t>
  </si>
  <si>
    <t>Strada</t>
  </si>
  <si>
    <t>Pick-up/Low cost</t>
  </si>
  <si>
    <t>1.4 EVO FLEX</t>
  </si>
  <si>
    <t>TRAETH</t>
  </si>
  <si>
    <t>1.4 16V</t>
  </si>
  <si>
    <t>1.4 16V T-Jet Natural Power</t>
  </si>
  <si>
    <t>1.6 16V Multijet</t>
  </si>
  <si>
    <t>Pick-up</t>
  </si>
  <si>
    <t>Nikola</t>
  </si>
  <si>
    <t>One</t>
  </si>
  <si>
    <t>Semi</t>
  </si>
  <si>
    <t>250 kWh</t>
  </si>
  <si>
    <t>RAM</t>
  </si>
  <si>
    <t>4WD 3.6L HFE Mild Hybrid</t>
  </si>
  <si>
    <t>Classic 2WD</t>
  </si>
  <si>
    <t>TRAGLS/TRAE85</t>
  </si>
  <si>
    <t>4WD XL</t>
  </si>
  <si>
    <t>Colorado</t>
  </si>
  <si>
    <t>5.3L C10 2WD</t>
  </si>
  <si>
    <t>3.3L Ti-VCT V6 Regular gasoline</t>
  </si>
  <si>
    <t>Actros</t>
  </si>
  <si>
    <t>Sprinter</t>
  </si>
  <si>
    <t>216 CDI</t>
  </si>
  <si>
    <t>Scania</t>
  </si>
  <si>
    <t>G280</t>
  </si>
  <si>
    <t>P250</t>
  </si>
  <si>
    <t>Iveco</t>
  </si>
  <si>
    <t>Stralis</t>
  </si>
  <si>
    <t>Eurocargo</t>
  </si>
  <si>
    <t>Citywide</t>
  </si>
  <si>
    <t>10.9 m</t>
  </si>
  <si>
    <t>Transit bus</t>
  </si>
  <si>
    <t>Articulated bus</t>
  </si>
  <si>
    <t>18 m</t>
  </si>
  <si>
    <t>Interlink</t>
  </si>
  <si>
    <t>Coach</t>
  </si>
  <si>
    <t>10.9 - 15 m</t>
  </si>
  <si>
    <t>Citaro G</t>
  </si>
  <si>
    <t>Citaro K</t>
  </si>
  <si>
    <t>Weight (kg)</t>
  </si>
  <si>
    <t>Citaro NGT</t>
  </si>
  <si>
    <t>Citaro G NGT</t>
  </si>
  <si>
    <t>eCitaro</t>
  </si>
  <si>
    <t>TRADST/TRAELC</t>
  </si>
  <si>
    <t>Van Hool</t>
  </si>
  <si>
    <t>A330</t>
  </si>
  <si>
    <t>AG330 T</t>
  </si>
  <si>
    <t>A330 T</t>
  </si>
  <si>
    <r>
      <t xml:space="preserve">€/vehicle or </t>
    </r>
    <r>
      <rPr>
        <b/>
        <i/>
        <sz val="11"/>
        <color rgb="FFFF0000"/>
        <rFont val="Calibri"/>
        <family val="2"/>
        <scheme val="minor"/>
      </rPr>
      <t xml:space="preserve">$/vehicle or </t>
    </r>
    <r>
      <rPr>
        <b/>
        <i/>
        <sz val="11"/>
        <color rgb="FF00B050"/>
        <rFont val="Calibri"/>
        <family val="2"/>
        <scheme val="minor"/>
      </rPr>
      <t>R$/vehicle</t>
    </r>
  </si>
  <si>
    <t>Camry</t>
  </si>
  <si>
    <t>Juke</t>
  </si>
  <si>
    <t>DCI 110 MANUALE 6 2WD</t>
  </si>
  <si>
    <t>1.6 GPL MANUALE 5 2WD</t>
  </si>
  <si>
    <t>1.6 CVT 2WD</t>
  </si>
  <si>
    <t>TRAE85</t>
  </si>
  <si>
    <t>LHV</t>
  </si>
  <si>
    <t>kJ/kg</t>
  </si>
  <si>
    <t>TRANGA (CNG)</t>
  </si>
  <si>
    <t>Density</t>
  </si>
  <si>
    <t>kg/m^3</t>
  </si>
  <si>
    <t>kg/l</t>
  </si>
  <si>
    <t>Average</t>
  </si>
  <si>
    <t>km/l</t>
  </si>
  <si>
    <t>kJ/l</t>
  </si>
  <si>
    <t>MJ/l</t>
  </si>
  <si>
    <t>km/kg</t>
  </si>
  <si>
    <t>km/kWh</t>
  </si>
  <si>
    <t>Premium/Standard</t>
  </si>
  <si>
    <t>Mondeo</t>
  </si>
  <si>
    <t>2.0 EcoBlue 150CV euro 6d-temp Manuale</t>
  </si>
  <si>
    <t>2.0 187CV Hybrid Automatico eCVT</t>
  </si>
  <si>
    <t>km/MJ</t>
  </si>
  <si>
    <t>MJ/kg</t>
  </si>
  <si>
    <t>e-Golf 35.8 kWh</t>
  </si>
  <si>
    <t>Electric 28 kWh</t>
  </si>
  <si>
    <t>Price</t>
  </si>
  <si>
    <t>$/l</t>
  </si>
  <si>
    <t>$/MMBTU</t>
  </si>
  <si>
    <t>$/MJ</t>
  </si>
  <si>
    <t>$/kWh</t>
  </si>
  <si>
    <t>$/kg</t>
  </si>
  <si>
    <t>R90 Z.E. 41 kWh</t>
  </si>
  <si>
    <t>TRAHH2 (700 bar)</t>
  </si>
  <si>
    <t>km/MJ th</t>
  </si>
  <si>
    <t>km/MJ el</t>
  </si>
  <si>
    <t>% th</t>
  </si>
  <si>
    <t>% el</t>
  </si>
  <si>
    <t>Small Pick-up/Standard</t>
  </si>
  <si>
    <t>2.0 BI-FUEL GPL 2WD</t>
  </si>
  <si>
    <t xml:space="preserve">1.4L MultiAir 2WD </t>
  </si>
  <si>
    <t>1.6 MultiJet 2WD</t>
  </si>
  <si>
    <t>up!</t>
  </si>
  <si>
    <t>Mini/Standard</t>
  </si>
  <si>
    <t>1.0</t>
  </si>
  <si>
    <r>
      <t xml:space="preserve">g/kmv (NEDC) </t>
    </r>
    <r>
      <rPr>
        <b/>
        <i/>
        <sz val="11"/>
        <color rgb="FFFF0000"/>
        <rFont val="Calibri"/>
        <family val="2"/>
        <scheme val="minor"/>
      </rPr>
      <t xml:space="preserve">(Conversion from EPA) </t>
    </r>
    <r>
      <rPr>
        <b/>
        <i/>
        <sz val="11"/>
        <color rgb="FF00B050"/>
        <rFont val="Calibri"/>
        <family val="2"/>
        <scheme val="minor"/>
      </rPr>
      <t>(Petrobras)</t>
    </r>
  </si>
  <si>
    <t>eco up!</t>
  </si>
  <si>
    <t>e-up!</t>
  </si>
  <si>
    <t>18.7 kWh</t>
  </si>
  <si>
    <t>Mazda</t>
  </si>
  <si>
    <t>SKYACTIV-G 165</t>
  </si>
  <si>
    <t>SKYACTIV-D 150</t>
  </si>
  <si>
    <t>Smart</t>
  </si>
  <si>
    <t>Fortwo</t>
  </si>
  <si>
    <t>45 kW</t>
  </si>
  <si>
    <t>EQ Fortwo</t>
  </si>
  <si>
    <t>17.6 kWh</t>
  </si>
  <si>
    <t>Astra</t>
  </si>
  <si>
    <t>1.4 Turbo</t>
  </si>
  <si>
    <t>1.6 CDTI</t>
  </si>
  <si>
    <t>1.4 ECOTEC CNG</t>
  </si>
  <si>
    <t>Insignia</t>
  </si>
  <si>
    <t>Grand Sport 2.0L CDTI</t>
  </si>
  <si>
    <t>Talisman</t>
  </si>
  <si>
    <t>Blue dCi160 EDC</t>
  </si>
  <si>
    <t>TCe 150 EDC FAP</t>
  </si>
  <si>
    <t>Kuga</t>
  </si>
  <si>
    <t>1.5 EcoBoost 120 CV Start&amp;Stop 2WD</t>
  </si>
  <si>
    <t>1.5 TDCi 120 CV Start&amp;Stop 2WD</t>
  </si>
  <si>
    <t>Midsize SUV/Standard</t>
  </si>
  <si>
    <t>Edge</t>
  </si>
  <si>
    <t>2.0 EcoBlue 190CV Start&amp;Stop AWD</t>
  </si>
  <si>
    <t>Cherokee</t>
  </si>
  <si>
    <t>2.2 MULTIJET II 195CV FWD AUTO9</t>
  </si>
  <si>
    <t>PureTech Turbo 130</t>
  </si>
  <si>
    <t>BlueHDi 130</t>
  </si>
  <si>
    <t>SEAT</t>
  </si>
  <si>
    <t>Tarraco</t>
  </si>
  <si>
    <t>1.5 TSI</t>
  </si>
  <si>
    <t>Volvo</t>
  </si>
  <si>
    <t>XC90</t>
  </si>
  <si>
    <t>T6 AWD GearTronic</t>
  </si>
  <si>
    <t>B5 AWD GearTronic</t>
  </si>
  <si>
    <t>Range Rover Sport</t>
  </si>
  <si>
    <t>T8 Twin Engine + AWD GearTronic 7p.</t>
  </si>
  <si>
    <t>Compact SUV/Luxury</t>
  </si>
  <si>
    <t>2.0 Si4</t>
  </si>
  <si>
    <t>3.0 SDV6</t>
  </si>
  <si>
    <t>Mii</t>
  </si>
  <si>
    <t>1.0 Ecofuel CNG</t>
  </si>
  <si>
    <t>Ibiza</t>
  </si>
  <si>
    <t>1.0 EcoTSI</t>
  </si>
  <si>
    <t>1.6 TDI</t>
  </si>
  <si>
    <t>Arona</t>
  </si>
  <si>
    <t>Leon</t>
  </si>
  <si>
    <t>1.5 TGI</t>
  </si>
  <si>
    <t>1.5 EcoTSI</t>
  </si>
  <si>
    <r>
      <t>Citro</t>
    </r>
    <r>
      <rPr>
        <sz val="11"/>
        <color theme="1"/>
        <rFont val="Calibri"/>
        <family val="2"/>
      </rPr>
      <t>ën</t>
    </r>
  </si>
  <si>
    <t>C-Zero</t>
  </si>
  <si>
    <t>30 kWh</t>
  </si>
  <si>
    <t>Soul ECO-Electric</t>
  </si>
  <si>
    <t>Soul</t>
  </si>
  <si>
    <t>1.6 CRDi</t>
  </si>
  <si>
    <t>1.6 GDI</t>
  </si>
  <si>
    <t>C-HR</t>
  </si>
  <si>
    <t>1.8 Hybrid E-CVT</t>
  </si>
  <si>
    <t>1.2 Turbo</t>
  </si>
  <si>
    <t>Suzuki</t>
  </si>
  <si>
    <t>Baleno</t>
  </si>
  <si>
    <t>1.2 DualJet Hybrid </t>
  </si>
  <si>
    <t>1.2 DualJet</t>
  </si>
  <si>
    <t>Yaris</t>
  </si>
  <si>
    <t>1.5 HSD</t>
  </si>
  <si>
    <t>1.0 VVT-i</t>
  </si>
  <si>
    <t>2.5L VVT-i</t>
  </si>
  <si>
    <t>World</t>
  </si>
  <si>
    <t>Europe</t>
  </si>
  <si>
    <t>Ranger</t>
  </si>
  <si>
    <t>2.0 EcoBlue 170 CV XL</t>
  </si>
  <si>
    <t>Midsize Pick-up/Standard</t>
  </si>
  <si>
    <t>Amarok</t>
  </si>
  <si>
    <t>3.0 V6 TDI 204 CV</t>
  </si>
  <si>
    <t>2.4 150 CV S&amp;S</t>
  </si>
  <si>
    <t>Fullback</t>
  </si>
  <si>
    <t>Hilux</t>
  </si>
  <si>
    <t>2.4 D-4D Lounge 4x2</t>
  </si>
  <si>
    <t>Navara</t>
  </si>
  <si>
    <t>2.3 dCi 160 CV Visia 4WD</t>
  </si>
  <si>
    <t xml:space="preserve">Renault </t>
  </si>
  <si>
    <t>Alaskan</t>
  </si>
  <si>
    <t>2.3 dCi 160 CV Life 4WD</t>
  </si>
  <si>
    <t>Belgium</t>
  </si>
  <si>
    <t>Bulgaria</t>
  </si>
  <si>
    <t>Czech Republic</t>
  </si>
  <si>
    <t>:</t>
  </si>
  <si>
    <t>Estonia</t>
  </si>
  <si>
    <t>Ireland</t>
  </si>
  <si>
    <t>Greece</t>
  </si>
  <si>
    <t>Spain</t>
  </si>
  <si>
    <t>France</t>
  </si>
  <si>
    <t>Cyprus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</si>
  <si>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</si>
  <si>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</si>
  <si>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</si>
  <si>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</si>
  <si>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</si>
  <si>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</si>
  <si>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</si>
  <si>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</si>
  <si>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</si>
  <si>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</si>
  <si>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</si>
  <si>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Sweden</t>
  </si>
  <si>
    <t>Liechtenstein</t>
  </si>
  <si>
    <t>Norway</t>
  </si>
  <si>
    <t>EUR</t>
  </si>
  <si>
    <t>Latvia</t>
  </si>
  <si>
    <t>United Kingdom</t>
  </si>
  <si>
    <t>Denmark</t>
  </si>
  <si>
    <t xml:space="preserve">Austria </t>
  </si>
  <si>
    <t>Finland</t>
  </si>
  <si>
    <t>Romania (¹)</t>
  </si>
  <si>
    <t>Switzerland</t>
  </si>
  <si>
    <t>Iceland</t>
  </si>
  <si>
    <t>EUR Average</t>
  </si>
  <si>
    <t>MJ/km</t>
  </si>
  <si>
    <t>Energy cons.</t>
  </si>
  <si>
    <t>Compact SUV/Premium</t>
  </si>
  <si>
    <t>NEW</t>
  </si>
  <si>
    <t>Average TRTDST2019</t>
  </si>
  <si>
    <t>Average TRTGAS2019</t>
  </si>
  <si>
    <t>Compact SUV/Mini SUV</t>
  </si>
  <si>
    <t>Average TRTNGA2019</t>
  </si>
  <si>
    <t>Average TRTBEL2019</t>
  </si>
  <si>
    <t>Model 3</t>
  </si>
  <si>
    <t>Long Range AWD</t>
  </si>
  <si>
    <t>Long Range 75 kWh</t>
  </si>
  <si>
    <t>Standard 75 kWh</t>
  </si>
  <si>
    <t>LHV TRAE85/LHV TRAGSL</t>
  </si>
  <si>
    <t>Average TRTHEL2019</t>
  </si>
  <si>
    <t>Average TRTFCE2019</t>
  </si>
  <si>
    <t>Vehicles in use</t>
  </si>
  <si>
    <t>Date</t>
  </si>
  <si>
    <t>* https://ec.europa.eu/energy/en/data-analysis/weekly-oil-bulletin</t>
  </si>
  <si>
    <t>Average €/l</t>
  </si>
  <si>
    <t>Taxes</t>
  </si>
  <si>
    <t>https://ec.europa.eu/eurostat/statistics-explained/index.php/Electricity_price_statistics</t>
  </si>
  <si>
    <t>Gasoline Super 95 (€/1000 l)</t>
  </si>
  <si>
    <t>Gas Oil (€/1000 l)</t>
  </si>
  <si>
    <t>LPG (€/1000 l)</t>
  </si>
  <si>
    <t>E85 (€/1000 l)</t>
  </si>
  <si>
    <t>Electricity for household consumers (€/kWh), 1 Half 2018, Taxes incl.</t>
  </si>
  <si>
    <t>NG for transport price (€/kg), Taxes incl.</t>
  </si>
  <si>
    <t>http://cngeurope.com/</t>
  </si>
  <si>
    <t>https://www.shell.de/energie-und-innovation/mobilitaet/wasserstoff.html</t>
  </si>
  <si>
    <t>H2 700 price (€/kg), 2019</t>
  </si>
  <si>
    <t>€/l</t>
  </si>
  <si>
    <t>€/kWh</t>
  </si>
  <si>
    <t>€/kg</t>
  </si>
  <si>
    <t>€/MJ</t>
  </si>
  <si>
    <t>Bolzano</t>
  </si>
  <si>
    <t>Mini</t>
  </si>
  <si>
    <t>Medium</t>
  </si>
  <si>
    <t>Small</t>
  </si>
  <si>
    <t>Compact SUV</t>
  </si>
  <si>
    <t>Large</t>
  </si>
  <si>
    <t>Small SUV/Standard</t>
  </si>
  <si>
    <t>Small SUV</t>
  </si>
  <si>
    <t>SUV</t>
  </si>
  <si>
    <t>Commercial vehicles up to 3.5 full charge weight</t>
  </si>
  <si>
    <t>Gross Vehicle Weight (kg)</t>
  </si>
  <si>
    <t>Kerb Weight (kg)</t>
  </si>
  <si>
    <t>Berlingo</t>
  </si>
  <si>
    <t>1.2 Puretech 100 CV</t>
  </si>
  <si>
    <t>1.5 BlueHDi 100 CV</t>
  </si>
  <si>
    <t>1.2 TSI BlueMotion Technology</t>
  </si>
  <si>
    <t>Kerb Weight</t>
  </si>
  <si>
    <t>Talento</t>
  </si>
  <si>
    <t>1.6 Ecojet 125 CV</t>
  </si>
  <si>
    <t>Evalia NV200</t>
  </si>
  <si>
    <t>74.6 kWh</t>
  </si>
  <si>
    <t>37.3 kWh</t>
  </si>
  <si>
    <t>2.0 TSI</t>
  </si>
  <si>
    <t>e-Transporter</t>
  </si>
  <si>
    <t>e-Caddy</t>
  </si>
  <si>
    <t>Average TRCGAS2019</t>
  </si>
  <si>
    <t>Average TRCDST2019</t>
  </si>
  <si>
    <t>Z.E. R75 33 kWh</t>
  </si>
  <si>
    <t>516 CDI</t>
  </si>
  <si>
    <t xml:space="preserve">Iveco </t>
  </si>
  <si>
    <t>DB</t>
  </si>
  <si>
    <t>P360</t>
  </si>
  <si>
    <t>R450</t>
  </si>
  <si>
    <t>LA</t>
  </si>
  <si>
    <t>Autocarro</t>
  </si>
  <si>
    <t>Autotreno</t>
  </si>
  <si>
    <t xml:space="preserve">Tesla </t>
  </si>
  <si>
    <t>Cummins</t>
  </si>
  <si>
    <t>Aeos</t>
  </si>
  <si>
    <t>140 kWh</t>
  </si>
  <si>
    <t>Long range</t>
  </si>
  <si>
    <t>480 km</t>
  </si>
  <si>
    <t>Trucks from 3.5 to 12 full charge weight (Class 2b to 6)</t>
  </si>
  <si>
    <t>Trucks from 12 t full charge weight (Class 7-8)</t>
  </si>
  <si>
    <t>CO2 content</t>
  </si>
  <si>
    <t>g/l</t>
  </si>
  <si>
    <t>http://ecoscore.be/en/info/ecoscore/co2</t>
  </si>
  <si>
    <t>g/kg</t>
  </si>
  <si>
    <t>l/100 km</t>
  </si>
  <si>
    <t>Average TRTPEL2019</t>
  </si>
  <si>
    <t>Optima</t>
  </si>
  <si>
    <t>2.0 GDI PHEV 205 CV 6AT 9.8 kWh</t>
  </si>
  <si>
    <t>Tax %</t>
  </si>
  <si>
    <t>include taxes</t>
  </si>
  <si>
    <t>Without taxes</t>
  </si>
  <si>
    <t>Czechia</t>
  </si>
  <si>
    <t>Serbia</t>
  </si>
  <si>
    <t>Albania</t>
  </si>
  <si>
    <t>Bosnia and Herzegovina</t>
  </si>
  <si>
    <t>% Taxes</t>
  </si>
  <si>
    <t>% taxes</t>
  </si>
  <si>
    <t>SUV/Standard</t>
  </si>
  <si>
    <t>SUV/Premium</t>
  </si>
  <si>
    <t>LPG/Gasoline</t>
  </si>
  <si>
    <t>Hybrid/Gasoline</t>
  </si>
  <si>
    <t>Plug-in hybrid</t>
  </si>
  <si>
    <t>Category factor</t>
  </si>
  <si>
    <t>€/vehicle</t>
  </si>
  <si>
    <t>Average TRCCNG2019 (Medium Van)</t>
  </si>
  <si>
    <t>Average TRCBEL2019 (Medium Van)</t>
  </si>
  <si>
    <t>Average TRCHEL2019 (Medium Van)</t>
  </si>
  <si>
    <t>1.6 GDi PHEV 141 CV 6DCT</t>
  </si>
  <si>
    <t>Average TRTLPG2019 (Medium car)</t>
  </si>
  <si>
    <t>Medium to Small</t>
  </si>
  <si>
    <t>Average TRCLPG2019 (Medium Van)</t>
  </si>
  <si>
    <t>Natural gas</t>
  </si>
  <si>
    <t>Small/Premium</t>
  </si>
  <si>
    <t>Average TRCLPG2019 (Small Van)</t>
  </si>
  <si>
    <t>Average TRCHEL2019 (Small Van)</t>
  </si>
  <si>
    <t>Average TRCHEL2019 (Large Van)</t>
  </si>
  <si>
    <t>Average TRCLPG2019 (Large Van)</t>
  </si>
  <si>
    <t>Average TRCLPG2019 (Pick-up)</t>
  </si>
  <si>
    <t>Average TRCDPH2019</t>
  </si>
  <si>
    <t>NOT EXISTING</t>
  </si>
  <si>
    <t>Gasoline hybrid-electric</t>
  </si>
  <si>
    <t>Battery-electric</t>
  </si>
  <si>
    <t>Notes</t>
  </si>
  <si>
    <t>Full-hybrid</t>
  </si>
  <si>
    <t>€/vehicle + V.A.T.</t>
  </si>
  <si>
    <t>M€/Bvkm</t>
  </si>
  <si>
    <t>Average driven distance</t>
  </si>
  <si>
    <t>km/year</t>
  </si>
  <si>
    <t>Diesel hybrid</t>
  </si>
  <si>
    <t>Diesel plug-in hybrid</t>
  </si>
  <si>
    <t>.</t>
  </si>
  <si>
    <t>Lifetime</t>
  </si>
  <si>
    <t>12 years</t>
  </si>
  <si>
    <t>10 years</t>
  </si>
  <si>
    <t>Gasoline Plug-in hybrid</t>
  </si>
  <si>
    <t>Passenger Cars</t>
  </si>
  <si>
    <t>Size category</t>
  </si>
  <si>
    <t>O&amp;M</t>
  </si>
  <si>
    <t>€/vkm</t>
  </si>
  <si>
    <t>A</t>
  </si>
  <si>
    <t>B</t>
  </si>
  <si>
    <t>C</t>
  </si>
  <si>
    <t>D</t>
  </si>
  <si>
    <t>BS</t>
  </si>
  <si>
    <t>CS</t>
  </si>
  <si>
    <t>DS</t>
  </si>
  <si>
    <t>Light Commercial Vehicles</t>
  </si>
  <si>
    <t>S</t>
  </si>
  <si>
    <t>M</t>
  </si>
  <si>
    <t>L</t>
  </si>
  <si>
    <t>Light Trucks</t>
  </si>
  <si>
    <t>P</t>
  </si>
  <si>
    <t>Two-Wheelers</t>
  </si>
  <si>
    <t>Three-Wheelers</t>
  </si>
  <si>
    <t>MT</t>
  </si>
  <si>
    <t>Medium Trucks</t>
  </si>
  <si>
    <t>Heavy Trucks</t>
  </si>
  <si>
    <t>Values from literature</t>
  </si>
  <si>
    <t>Gasoline hybrid</t>
  </si>
  <si>
    <t>M$/Bvkm</t>
  </si>
  <si>
    <t>Diesel Plug-in hybrid</t>
  </si>
  <si>
    <t>Driven distance</t>
  </si>
  <si>
    <t>Category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</si>
</sst>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0.000"/>
    <numFmt numFmtId="165" formatCode="0.0"/>
    <numFmt numFmtId="166" formatCode="0.0000"/>
    <numFmt numFmtId="167" formatCode="#,##0.0_i"/>
    <numFmt numFmtId="168" formatCode="dd/mm/yy"/>
    <numFmt numFmtId="169" formatCode="#,##0.0000"/>
    <numFmt numFmtId="170" formatCode="#,###,##0"/>
    <numFmt numFmtId="171" formatCode="&quot;DM&quot;#,##0.00;[Red]\-&quot;DM&quot;#,##0.00"/>
    <numFmt numFmtId="172" formatCode="_-* #,##0.00\ _€_-;\-* #,##0.00\ _€_-;_-* &quot;-&quot;??\ _€_-;_-@_-"/>
    <numFmt numFmtId="173" formatCode="???,???.0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9"/>
      <color rgb="FF595959"/>
      <name val="Calibri"/>
      <family val="2"/>
      <scheme val="minor"/>
    </font>
    <font>
      <sz val="10"/>
      <color indexed="8"/>
      <name val="Arial"/>
      <family val="2"/>
    </font>
    <font>
      <sz val="10"/>
      <name val="MS Sans"/>
    </font>
    <font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i/>
      <sz val="12"/>
      <color indexed="10"/>
      <name val="Arial"/>
      <family val="2"/>
    </font>
    <font>
      <b/>
      <sz val="9"/>
      <color indexed="8"/>
      <name val="Arial"/>
      <family val="2"/>
    </font>
    <font>
      <b/>
      <i/>
      <sz val="10"/>
      <color indexed="8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C0C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lightGray">
        <fgColor indexed="9"/>
      </patternFill>
    </fill>
    <fill>
      <patternFill patternType="gray0625">
        <fgColor indexed="9"/>
        <bgColor indexed="9"/>
      </patternFill>
    </fill>
    <fill>
      <patternFill patternType="lightGray">
        <fgColor indexed="9"/>
        <bgColor indexed="9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gray0625">
        <fgColor indexed="22"/>
      </patternFill>
    </fill>
    <fill>
      <patternFill patternType="lightGray">
        <fgColor indexed="22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</borders>
  <cellStyleXfs count="35">
    <xf numFmtId="0" fontId="0" fillId="0" borderId="0"/>
    <xf numFmtId="0" fontId="6" fillId="0" borderId="0" applyNumberFormat="0" applyFill="0" applyBorder="0" applyAlignment="0" applyProtection="0"/>
    <xf numFmtId="167" fontId="10" fillId="0" borderId="0" applyFill="0" applyBorder="0" applyProtection="0">
      <alignment horizontal="right"/>
    </xf>
    <xf numFmtId="0" fontId="13" fillId="0" borderId="0"/>
    <xf numFmtId="9" fontId="15" fillId="0" borderId="0" applyFont="0" applyFill="0" applyBorder="0" applyAlignment="0" applyProtection="0"/>
    <xf numFmtId="0" fontId="17" fillId="0" borderId="0"/>
    <xf numFmtId="0" fontId="17" fillId="15" borderId="0" applyNumberFormat="0" applyFont="0" applyBorder="0" applyAlignment="0"/>
    <xf numFmtId="0" fontId="15" fillId="0" borderId="0"/>
    <xf numFmtId="0" fontId="11" fillId="0" borderId="0"/>
    <xf numFmtId="167" fontId="16" fillId="0" borderId="0" applyFill="0" applyBorder="0" applyProtection="0">
      <alignment horizontal="right"/>
    </xf>
    <xf numFmtId="9" fontId="17" fillId="0" borderId="0" applyFont="0" applyFill="0" applyBorder="0" applyAlignment="0" applyProtection="0"/>
    <xf numFmtId="0" fontId="17" fillId="0" borderId="0"/>
    <xf numFmtId="170" fontId="19" fillId="17" borderId="0" applyNumberFormat="0" applyBorder="0">
      <alignment vertical="top"/>
      <protection locked="0"/>
    </xf>
    <xf numFmtId="4" fontId="20" fillId="0" borderId="0" applyFont="0" applyFill="0" applyBorder="0" applyAlignment="0" applyProtection="0"/>
    <xf numFmtId="170" fontId="19" fillId="18" borderId="0" applyNumberFormat="0" applyBorder="0">
      <alignment horizontal="right"/>
      <protection locked="0"/>
    </xf>
    <xf numFmtId="9" fontId="17" fillId="0" borderId="0" applyFont="0" applyFill="0" applyBorder="0" applyAlignment="0" applyProtection="0"/>
    <xf numFmtId="0" fontId="20" fillId="0" borderId="0"/>
    <xf numFmtId="170" fontId="21" fillId="19" borderId="0" applyNumberFormat="0" applyBorder="0">
      <alignment horizontal="left"/>
      <protection locked="0"/>
    </xf>
    <xf numFmtId="170" fontId="19" fillId="18" borderId="0" applyNumberFormat="0" applyBorder="0">
      <alignment horizontal="center"/>
      <protection locked="0"/>
    </xf>
    <xf numFmtId="170" fontId="22" fillId="17" borderId="0" applyNumberFormat="0" applyBorder="0">
      <alignment horizontal="center"/>
      <protection locked="0"/>
    </xf>
    <xf numFmtId="170" fontId="22" fillId="18" borderId="0" applyNumberFormat="0" applyBorder="0">
      <alignment horizontal="center"/>
      <protection locked="0"/>
    </xf>
    <xf numFmtId="170" fontId="21" fillId="19" borderId="0" applyNumberFormat="0" applyBorder="0">
      <protection locked="0"/>
    </xf>
    <xf numFmtId="170" fontId="23" fillId="20" borderId="0" applyNumberFormat="0" applyBorder="0">
      <alignment horizontal="left"/>
      <protection locked="0"/>
    </xf>
    <xf numFmtId="170" fontId="24" fillId="17" borderId="0" applyNumberFormat="0" applyBorder="0">
      <protection locked="0"/>
    </xf>
    <xf numFmtId="170" fontId="23" fillId="21" borderId="0" applyNumberFormat="0" applyBorder="0">
      <alignment horizontal="right"/>
      <protection locked="0"/>
    </xf>
    <xf numFmtId="170" fontId="23" fillId="22" borderId="0" applyNumberFormat="0" applyBorder="0">
      <alignment vertical="top"/>
      <protection locked="0"/>
    </xf>
    <xf numFmtId="170" fontId="23" fillId="18" borderId="0" applyNumberFormat="0" applyBorder="0">
      <protection locked="0"/>
    </xf>
    <xf numFmtId="170" fontId="25" fillId="20" borderId="0" applyNumberFormat="0" applyBorder="0">
      <protection locked="0"/>
    </xf>
    <xf numFmtId="170" fontId="26" fillId="23" borderId="0" applyNumberFormat="0" applyBorder="0">
      <protection locked="0"/>
    </xf>
    <xf numFmtId="171" fontId="20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17" fillId="0" borderId="0"/>
    <xf numFmtId="173" fontId="16" fillId="0" borderId="0" applyNumberFormat="0" applyProtection="0">
      <alignment horizontal="center" vertical="center"/>
    </xf>
  </cellStyleXfs>
  <cellXfs count="376">
    <xf numFmtId="0" fontId="0" fillId="0" borderId="0" xfId="0"/>
    <xf numFmtId="10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0" xfId="0" applyFill="1"/>
    <xf numFmtId="0" fontId="0" fillId="0" borderId="4" xfId="0" applyBorder="1"/>
    <xf numFmtId="0" fontId="0" fillId="0" borderId="5" xfId="0" applyBorder="1"/>
    <xf numFmtId="0" fontId="2" fillId="0" borderId="7" xfId="0" applyFont="1" applyBorder="1" applyAlignment="1">
      <alignment horizontal="center"/>
    </xf>
    <xf numFmtId="0" fontId="0" fillId="0" borderId="7" xfId="0" applyBorder="1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0" xfId="1"/>
    <xf numFmtId="0" fontId="0" fillId="0" borderId="4" xfId="0" quotePrefix="1" applyBorder="1"/>
    <xf numFmtId="0" fontId="0" fillId="0" borderId="5" xfId="0" quotePrefix="1" applyBorder="1"/>
    <xf numFmtId="0" fontId="0" fillId="0" borderId="0" xfId="0" quotePrefix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quotePrefix="1" applyBorder="1"/>
    <xf numFmtId="0" fontId="4" fillId="0" borderId="0" xfId="0" applyFont="1"/>
    <xf numFmtId="0" fontId="4" fillId="0" borderId="4" xfId="0" applyFont="1" applyBorder="1"/>
    <xf numFmtId="0" fontId="0" fillId="0" borderId="0" xfId="0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0" xfId="0" quotePrefix="1" applyFont="1"/>
    <xf numFmtId="0" fontId="0" fillId="0" borderId="0" xfId="0" quotePrefix="1" applyAlignment="1">
      <alignment horizontal="left"/>
    </xf>
    <xf numFmtId="0" fontId="0" fillId="0" borderId="5" xfId="0" quotePrefix="1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4" fillId="0" borderId="7" xfId="0" applyFont="1" applyBorder="1"/>
    <xf numFmtId="2" fontId="0" fillId="0" borderId="0" xfId="0" applyNumberFormat="1"/>
    <xf numFmtId="0" fontId="6" fillId="0" borderId="0" xfId="1" applyFill="1"/>
    <xf numFmtId="0" fontId="3" fillId="0" borderId="4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right"/>
    </xf>
    <xf numFmtId="0" fontId="0" fillId="7" borderId="0" xfId="0" applyFill="1"/>
    <xf numFmtId="0" fontId="1" fillId="0" borderId="0" xfId="0" applyFont="1"/>
    <xf numFmtId="0" fontId="1" fillId="0" borderId="0" xfId="0" quotePrefix="1" applyFont="1"/>
    <xf numFmtId="0" fontId="1" fillId="4" borderId="4" xfId="0" quotePrefix="1" applyFont="1" applyFill="1" applyBorder="1"/>
    <xf numFmtId="0" fontId="1" fillId="4" borderId="0" xfId="0" quotePrefix="1" applyFont="1" applyFill="1"/>
    <xf numFmtId="0" fontId="1" fillId="4" borderId="0" xfId="0" applyFont="1" applyFill="1"/>
    <xf numFmtId="0" fontId="1" fillId="4" borderId="5" xfId="0" applyFont="1" applyFill="1" applyBorder="1"/>
    <xf numFmtId="10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/>
    <xf numFmtId="165" fontId="0" fillId="0" borderId="0" xfId="0" quotePrefix="1" applyNumberFormat="1"/>
    <xf numFmtId="165" fontId="1" fillId="4" borderId="0" xfId="0" applyNumberFormat="1" applyFont="1" applyFill="1"/>
    <xf numFmtId="2" fontId="1" fillId="4" borderId="0" xfId="0" applyNumberFormat="1" applyFont="1" applyFill="1"/>
    <xf numFmtId="165" fontId="1" fillId="0" borderId="0" xfId="0" applyNumberFormat="1" applyFont="1"/>
    <xf numFmtId="2" fontId="0" fillId="0" borderId="0" xfId="0" quotePrefix="1" applyNumberFormat="1"/>
    <xf numFmtId="2" fontId="1" fillId="0" borderId="0" xfId="0" applyNumberFormat="1" applyFont="1"/>
    <xf numFmtId="0" fontId="0" fillId="8" borderId="0" xfId="0" applyFill="1"/>
    <xf numFmtId="2" fontId="0" fillId="8" borderId="0" xfId="0" applyNumberFormat="1" applyFill="1"/>
    <xf numFmtId="0" fontId="0" fillId="0" borderId="7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11" xfId="0" applyBorder="1"/>
    <xf numFmtId="0" fontId="1" fillId="0" borderId="11" xfId="0" applyFont="1" applyBorder="1"/>
    <xf numFmtId="0" fontId="0" fillId="0" borderId="14" xfId="0" applyBorder="1"/>
    <xf numFmtId="0" fontId="1" fillId="4" borderId="12" xfId="0" applyFont="1" applyFill="1" applyBorder="1"/>
    <xf numFmtId="0" fontId="2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8" borderId="12" xfId="0" applyFill="1" applyBorder="1"/>
    <xf numFmtId="0" fontId="2" fillId="0" borderId="11" xfId="0" applyFont="1" applyBorder="1" applyAlignment="1">
      <alignment horizontal="center"/>
    </xf>
    <xf numFmtId="0" fontId="1" fillId="4" borderId="11" xfId="0" applyFont="1" applyFill="1" applyBorder="1"/>
    <xf numFmtId="0" fontId="0" fillId="0" borderId="11" xfId="0" quotePrefix="1" applyBorder="1"/>
    <xf numFmtId="0" fontId="0" fillId="8" borderId="11" xfId="0" applyFill="1" applyBorder="1"/>
    <xf numFmtId="0" fontId="0" fillId="0" borderId="11" xfId="0" applyBorder="1" applyAlignment="1">
      <alignment horizontal="right"/>
    </xf>
    <xf numFmtId="0" fontId="0" fillId="0" borderId="13" xfId="0" applyBorder="1"/>
    <xf numFmtId="0" fontId="0" fillId="0" borderId="12" xfId="0" applyBorder="1"/>
    <xf numFmtId="0" fontId="1" fillId="0" borderId="12" xfId="0" applyFont="1" applyBorder="1"/>
    <xf numFmtId="0" fontId="0" fillId="0" borderId="12" xfId="0" quotePrefix="1" applyBorder="1"/>
    <xf numFmtId="0" fontId="0" fillId="0" borderId="12" xfId="0" quotePrefix="1" applyBorder="1" applyAlignment="1">
      <alignment horizontal="right"/>
    </xf>
    <xf numFmtId="0" fontId="0" fillId="0" borderId="15" xfId="0" applyBorder="1"/>
    <xf numFmtId="2" fontId="0" fillId="0" borderId="12" xfId="0" quotePrefix="1" applyNumberFormat="1" applyBorder="1"/>
    <xf numFmtId="0" fontId="2" fillId="0" borderId="16" xfId="0" applyFont="1" applyBorder="1" applyAlignment="1">
      <alignment horizontal="center"/>
    </xf>
    <xf numFmtId="0" fontId="0" fillId="0" borderId="16" xfId="0" applyBorder="1"/>
    <xf numFmtId="165" fontId="0" fillId="0" borderId="0" xfId="0" applyNumberFormat="1" applyAlignment="1">
      <alignment horizontal="right"/>
    </xf>
    <xf numFmtId="0" fontId="0" fillId="0" borderId="17" xfId="0" applyBorder="1"/>
    <xf numFmtId="0" fontId="10" fillId="0" borderId="0" xfId="0" applyFont="1"/>
    <xf numFmtId="0" fontId="12" fillId="1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164" fontId="0" fillId="0" borderId="0" xfId="0" applyNumberFormat="1"/>
    <xf numFmtId="2" fontId="0" fillId="0" borderId="11" xfId="0" applyNumberFormat="1" applyBorder="1"/>
    <xf numFmtId="2" fontId="0" fillId="8" borderId="11" xfId="0" applyNumberFormat="1" applyFill="1" applyBorder="1"/>
    <xf numFmtId="2" fontId="0" fillId="0" borderId="11" xfId="0" quotePrefix="1" applyNumberFormat="1" applyBorder="1"/>
    <xf numFmtId="0" fontId="0" fillId="6" borderId="12" xfId="0" applyFill="1" applyBorder="1"/>
    <xf numFmtId="0" fontId="0" fillId="2" borderId="12" xfId="0" applyFill="1" applyBorder="1"/>
    <xf numFmtId="0" fontId="1" fillId="6" borderId="0" xfId="0" quotePrefix="1" applyFont="1" applyFill="1"/>
    <xf numFmtId="0" fontId="1" fillId="6" borderId="11" xfId="0" applyFont="1" applyFill="1" applyBorder="1"/>
    <xf numFmtId="0" fontId="1" fillId="6" borderId="0" xfId="0" applyFont="1" applyFill="1"/>
    <xf numFmtId="0" fontId="1" fillId="6" borderId="12" xfId="0" applyFont="1" applyFill="1" applyBorder="1"/>
    <xf numFmtId="0" fontId="1" fillId="7" borderId="0" xfId="0" quotePrefix="1" applyFont="1" applyFill="1"/>
    <xf numFmtId="0" fontId="0" fillId="7" borderId="11" xfId="0" applyFill="1" applyBorder="1"/>
    <xf numFmtId="0" fontId="1" fillId="7" borderId="0" xfId="0" applyFont="1" applyFill="1"/>
    <xf numFmtId="0" fontId="1" fillId="7" borderId="12" xfId="0" applyFont="1" applyFill="1" applyBorder="1"/>
    <xf numFmtId="2" fontId="1" fillId="6" borderId="0" xfId="0" applyNumberFormat="1" applyFont="1" applyFill="1"/>
    <xf numFmtId="2" fontId="1" fillId="6" borderId="11" xfId="0" applyNumberFormat="1" applyFont="1" applyFill="1" applyBorder="1"/>
    <xf numFmtId="0" fontId="1" fillId="0" borderId="1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8" fontId="14" fillId="13" borderId="19" xfId="0" applyNumberFormat="1" applyFont="1" applyFill="1" applyBorder="1" applyAlignment="1">
      <alignment horizontal="right" vertical="center"/>
    </xf>
    <xf numFmtId="0" fontId="14" fillId="14" borderId="19" xfId="0" applyFont="1" applyFill="1" applyBorder="1" applyAlignment="1">
      <alignment horizontal="center" vertical="center" wrapText="1"/>
    </xf>
    <xf numFmtId="0" fontId="10" fillId="0" borderId="20" xfId="0" applyFont="1" applyBorder="1"/>
    <xf numFmtId="166" fontId="0" fillId="0" borderId="0" xfId="0" applyNumberFormat="1"/>
    <xf numFmtId="0" fontId="1" fillId="0" borderId="9" xfId="0" applyFont="1" applyBorder="1" applyAlignment="1">
      <alignment horizontal="center"/>
    </xf>
    <xf numFmtId="0" fontId="0" fillId="5" borderId="12" xfId="0" applyFill="1" applyBorder="1"/>
    <xf numFmtId="0" fontId="0" fillId="5" borderId="12" xfId="0" quotePrefix="1" applyFill="1" applyBorder="1"/>
    <xf numFmtId="0" fontId="1" fillId="4" borderId="12" xfId="0" quotePrefix="1" applyFont="1" applyFill="1" applyBorder="1"/>
    <xf numFmtId="0" fontId="1" fillId="0" borderId="12" xfId="0" quotePrefix="1" applyFont="1" applyBorder="1"/>
    <xf numFmtId="0" fontId="0" fillId="3" borderId="12" xfId="0" quotePrefix="1" applyFill="1" applyBorder="1"/>
    <xf numFmtId="0" fontId="0" fillId="2" borderId="12" xfId="0" quotePrefix="1" applyFill="1" applyBorder="1"/>
    <xf numFmtId="0" fontId="0" fillId="9" borderId="12" xfId="0" quotePrefix="1" applyFill="1" applyBorder="1"/>
    <xf numFmtId="0" fontId="0" fillId="10" borderId="12" xfId="0" quotePrefix="1" applyFill="1" applyBorder="1"/>
    <xf numFmtId="0" fontId="1" fillId="7" borderId="12" xfId="0" quotePrefix="1" applyFont="1" applyFill="1" applyBorder="1"/>
    <xf numFmtId="0" fontId="0" fillId="11" borderId="12" xfId="0" quotePrefix="1" applyFill="1" applyBorder="1"/>
    <xf numFmtId="0" fontId="1" fillId="6" borderId="12" xfId="0" quotePrefix="1" applyFont="1" applyFill="1" applyBorder="1"/>
    <xf numFmtId="0" fontId="0" fillId="6" borderId="12" xfId="0" quotePrefix="1" applyFill="1" applyBorder="1"/>
    <xf numFmtId="0" fontId="1" fillId="6" borderId="14" xfId="0" quotePrefix="1" applyFont="1" applyFill="1" applyBorder="1"/>
    <xf numFmtId="0" fontId="1" fillId="6" borderId="15" xfId="0" quotePrefix="1" applyFont="1" applyFill="1" applyBorder="1"/>
    <xf numFmtId="0" fontId="1" fillId="6" borderId="13" xfId="0" applyFont="1" applyFill="1" applyBorder="1"/>
    <xf numFmtId="0" fontId="1" fillId="6" borderId="14" xfId="0" applyFont="1" applyFill="1" applyBorder="1"/>
    <xf numFmtId="0" fontId="1" fillId="6" borderId="15" xfId="0" applyFont="1" applyFill="1" applyBorder="1"/>
    <xf numFmtId="2" fontId="1" fillId="6" borderId="14" xfId="0" applyNumberFormat="1" applyFont="1" applyFill="1" applyBorder="1"/>
    <xf numFmtId="0" fontId="1" fillId="0" borderId="3" xfId="0" applyFont="1" applyBorder="1" applyAlignment="1">
      <alignment horizontal="center"/>
    </xf>
    <xf numFmtId="1" fontId="1" fillId="6" borderId="0" xfId="0" applyNumberFormat="1" applyFont="1" applyFill="1"/>
    <xf numFmtId="0" fontId="0" fillId="0" borderId="0" xfId="0" applyAlignment="1">
      <alignment horizontal="center"/>
    </xf>
    <xf numFmtId="0" fontId="0" fillId="0" borderId="21" xfId="0" applyBorder="1"/>
    <xf numFmtId="0" fontId="0" fillId="0" borderId="22" xfId="0" applyBorder="1"/>
    <xf numFmtId="0" fontId="1" fillId="0" borderId="6" xfId="0" applyFont="1" applyBorder="1" applyAlignment="1">
      <alignment horizontal="center"/>
    </xf>
    <xf numFmtId="0" fontId="0" fillId="0" borderId="23" xfId="0" applyBorder="1"/>
    <xf numFmtId="1" fontId="1" fillId="4" borderId="0" xfId="0" applyNumberFormat="1" applyFont="1" applyFill="1"/>
    <xf numFmtId="0" fontId="0" fillId="5" borderId="5" xfId="0" applyFill="1" applyBorder="1"/>
    <xf numFmtId="0" fontId="1" fillId="4" borderId="5" xfId="0" quotePrefix="1" applyFont="1" applyFill="1" applyBorder="1"/>
    <xf numFmtId="0" fontId="0" fillId="3" borderId="5" xfId="0" applyFill="1" applyBorder="1"/>
    <xf numFmtId="0" fontId="1" fillId="6" borderId="4" xfId="0" quotePrefix="1" applyFont="1" applyFill="1" applyBorder="1"/>
    <xf numFmtId="0" fontId="1" fillId="6" borderId="5" xfId="0" quotePrefix="1" applyFont="1" applyFill="1" applyBorder="1"/>
    <xf numFmtId="0" fontId="0" fillId="6" borderId="5" xfId="0" applyFill="1" applyBorder="1"/>
    <xf numFmtId="0" fontId="0" fillId="11" borderId="5" xfId="0" applyFill="1" applyBorder="1"/>
    <xf numFmtId="0" fontId="0" fillId="0" borderId="24" xfId="0" applyBorder="1"/>
    <xf numFmtId="0" fontId="1" fillId="4" borderId="4" xfId="0" applyFont="1" applyFill="1" applyBorder="1"/>
    <xf numFmtId="0" fontId="1" fillId="6" borderId="5" xfId="0" applyFont="1" applyFill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4" xfId="0" quotePrefix="1" applyNumberFormat="1" applyBorder="1"/>
    <xf numFmtId="0" fontId="1" fillId="4" borderId="4" xfId="0" applyFont="1" applyFill="1" applyBorder="1" applyAlignment="1">
      <alignment horizontal="right"/>
    </xf>
    <xf numFmtId="1" fontId="1" fillId="4" borderId="5" xfId="0" applyNumberFormat="1" applyFont="1" applyFill="1" applyBorder="1"/>
    <xf numFmtId="0" fontId="1" fillId="6" borderId="4" xfId="0" applyFont="1" applyFill="1" applyBorder="1" applyAlignment="1">
      <alignment horizontal="right"/>
    </xf>
    <xf numFmtId="1" fontId="1" fillId="4" borderId="4" xfId="0" applyNumberFormat="1" applyFont="1" applyFill="1" applyBorder="1" applyAlignment="1">
      <alignment horizontal="right"/>
    </xf>
    <xf numFmtId="2" fontId="1" fillId="6" borderId="4" xfId="0" applyNumberFormat="1" applyFont="1" applyFill="1" applyBorder="1"/>
    <xf numFmtId="2" fontId="1" fillId="6" borderId="5" xfId="0" applyNumberFormat="1" applyFont="1" applyFill="1" applyBorder="1"/>
    <xf numFmtId="165" fontId="0" fillId="0" borderId="4" xfId="0" applyNumberFormat="1" applyBorder="1"/>
    <xf numFmtId="165" fontId="1" fillId="6" borderId="4" xfId="0" applyNumberFormat="1" applyFont="1" applyFill="1" applyBorder="1"/>
    <xf numFmtId="165" fontId="1" fillId="4" borderId="4" xfId="0" applyNumberFormat="1" applyFont="1" applyFill="1" applyBorder="1"/>
    <xf numFmtId="165" fontId="0" fillId="0" borderId="0" xfId="0" applyNumberFormat="1"/>
    <xf numFmtId="165" fontId="0" fillId="0" borderId="21" xfId="0" applyNumberFormat="1" applyBorder="1"/>
    <xf numFmtId="165" fontId="0" fillId="0" borderId="24" xfId="0" applyNumberFormat="1" applyBorder="1"/>
    <xf numFmtId="1" fontId="0" fillId="0" borderId="4" xfId="0" applyNumberFormat="1" applyBorder="1" applyAlignment="1">
      <alignment horizontal="right"/>
    </xf>
    <xf numFmtId="1" fontId="0" fillId="0" borderId="4" xfId="0" applyNumberFormat="1" applyBorder="1"/>
    <xf numFmtId="1" fontId="1" fillId="6" borderId="4" xfId="0" applyNumberFormat="1" applyFont="1" applyFill="1" applyBorder="1"/>
    <xf numFmtId="1" fontId="1" fillId="6" borderId="5" xfId="0" applyNumberFormat="1" applyFont="1" applyFill="1" applyBorder="1"/>
    <xf numFmtId="1" fontId="1" fillId="4" borderId="4" xfId="0" applyNumberFormat="1" applyFont="1" applyFill="1" applyBorder="1"/>
    <xf numFmtId="1" fontId="0" fillId="0" borderId="5" xfId="0" applyNumberFormat="1" applyBorder="1"/>
    <xf numFmtId="1" fontId="0" fillId="0" borderId="21" xfId="0" applyNumberFormat="1" applyBorder="1"/>
    <xf numFmtId="1" fontId="0" fillId="0" borderId="24" xfId="0" applyNumberFormat="1" applyBorder="1"/>
    <xf numFmtId="1" fontId="0" fillId="0" borderId="22" xfId="0" applyNumberFormat="1" applyBorder="1"/>
    <xf numFmtId="165" fontId="0" fillId="0" borderId="4" xfId="0" quotePrefix="1" applyNumberFormat="1" applyBorder="1"/>
    <xf numFmtId="1" fontId="0" fillId="0" borderId="4" xfId="0" quotePrefix="1" applyNumberFormat="1" applyBorder="1"/>
    <xf numFmtId="1" fontId="0" fillId="0" borderId="0" xfId="0" quotePrefix="1" applyNumberFormat="1"/>
    <xf numFmtId="165" fontId="0" fillId="0" borderId="0" xfId="0" quotePrefix="1" applyNumberFormat="1" applyAlignment="1">
      <alignment horizontal="right"/>
    </xf>
    <xf numFmtId="165" fontId="1" fillId="6" borderId="0" xfId="0" applyNumberFormat="1" applyFont="1" applyFill="1"/>
    <xf numFmtId="165" fontId="0" fillId="0" borderId="4" xfId="0" quotePrefix="1" applyNumberFormat="1" applyBorder="1" applyAlignment="1">
      <alignment horizontal="right"/>
    </xf>
    <xf numFmtId="1" fontId="0" fillId="0" borderId="5" xfId="0" quotePrefix="1" applyNumberFormat="1" applyBorder="1"/>
    <xf numFmtId="1" fontId="0" fillId="0" borderId="5" xfId="0" quotePrefix="1" applyNumberFormat="1" applyBorder="1" applyAlignment="1">
      <alignment horizontal="right"/>
    </xf>
    <xf numFmtId="0" fontId="6" fillId="0" borderId="0" xfId="1" applyFill="1" applyBorder="1"/>
    <xf numFmtId="0" fontId="0" fillId="0" borderId="21" xfId="0" quotePrefix="1" applyBorder="1"/>
    <xf numFmtId="0" fontId="0" fillId="0" borderId="24" xfId="0" quotePrefix="1" applyBorder="1" applyAlignment="1">
      <alignment horizontal="right"/>
    </xf>
    <xf numFmtId="0" fontId="0" fillId="0" borderId="24" xfId="0" applyBorder="1" applyAlignment="1">
      <alignment horizontal="right"/>
    </xf>
    <xf numFmtId="10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24" xfId="0" quotePrefix="1" applyBorder="1"/>
    <xf numFmtId="0" fontId="0" fillId="0" borderId="22" xfId="0" quotePrefix="1" applyBorder="1"/>
    <xf numFmtId="10" fontId="0" fillId="0" borderId="7" xfId="0" applyNumberFormat="1" applyBorder="1"/>
    <xf numFmtId="0" fontId="0" fillId="0" borderId="22" xfId="0" applyBorder="1" applyAlignment="1">
      <alignment horizontal="right"/>
    </xf>
    <xf numFmtId="0" fontId="0" fillId="0" borderId="24" xfId="0" quotePrefix="1" applyBorder="1" applyAlignment="1">
      <alignment horizontal="left"/>
    </xf>
    <xf numFmtId="1" fontId="1" fillId="6" borderId="4" xfId="0" applyNumberFormat="1" applyFont="1" applyFill="1" applyBorder="1" applyAlignment="1">
      <alignment horizontal="right"/>
    </xf>
    <xf numFmtId="0" fontId="0" fillId="0" borderId="25" xfId="0" applyBorder="1"/>
    <xf numFmtId="0" fontId="14" fillId="14" borderId="26" xfId="0" applyFont="1" applyFill="1" applyBorder="1" applyAlignment="1">
      <alignment horizontal="center" vertical="center" wrapText="1"/>
    </xf>
    <xf numFmtId="169" fontId="16" fillId="0" borderId="27" xfId="0" applyNumberFormat="1" applyFont="1" applyBorder="1"/>
    <xf numFmtId="169" fontId="16" fillId="0" borderId="28" xfId="0" applyNumberFormat="1" applyFont="1" applyBorder="1"/>
    <xf numFmtId="169" fontId="10" fillId="0" borderId="25" xfId="4" applyNumberFormat="1" applyFont="1" applyBorder="1"/>
    <xf numFmtId="9" fontId="10" fillId="0" borderId="25" xfId="4" applyFont="1" applyBorder="1"/>
    <xf numFmtId="0" fontId="10" fillId="0" borderId="25" xfId="4" applyNumberFormat="1" applyFont="1" applyBorder="1"/>
    <xf numFmtId="169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164" fontId="0" fillId="0" borderId="24" xfId="0" applyNumberFormat="1" applyBorder="1"/>
    <xf numFmtId="0" fontId="12" fillId="12" borderId="0" xfId="0" applyFont="1" applyFill="1"/>
    <xf numFmtId="0" fontId="1" fillId="16" borderId="0" xfId="0" quotePrefix="1" applyFont="1" applyFill="1"/>
    <xf numFmtId="0" fontId="1" fillId="16" borderId="12" xfId="0" quotePrefix="1" applyFont="1" applyFill="1" applyBorder="1"/>
    <xf numFmtId="0" fontId="1" fillId="16" borderId="11" xfId="0" applyFont="1" applyFill="1" applyBorder="1"/>
    <xf numFmtId="0" fontId="1" fillId="16" borderId="0" xfId="0" applyFont="1" applyFill="1"/>
    <xf numFmtId="0" fontId="1" fillId="16" borderId="12" xfId="0" applyFont="1" applyFill="1" applyBorder="1"/>
    <xf numFmtId="2" fontId="1" fillId="16" borderId="11" xfId="0" applyNumberFormat="1" applyFont="1" applyFill="1" applyBorder="1"/>
    <xf numFmtId="2" fontId="1" fillId="16" borderId="0" xfId="0" applyNumberFormat="1" applyFont="1" applyFill="1"/>
    <xf numFmtId="0" fontId="1" fillId="16" borderId="4" xfId="0" quotePrefix="1" applyFont="1" applyFill="1" applyBorder="1"/>
    <xf numFmtId="0" fontId="1" fillId="16" borderId="5" xfId="0" quotePrefix="1" applyFont="1" applyFill="1" applyBorder="1"/>
    <xf numFmtId="1" fontId="1" fillId="16" borderId="4" xfId="0" applyNumberFormat="1" applyFont="1" applyFill="1" applyBorder="1"/>
    <xf numFmtId="1" fontId="1" fillId="16" borderId="0" xfId="0" applyNumberFormat="1" applyFont="1" applyFill="1"/>
    <xf numFmtId="1" fontId="1" fillId="16" borderId="5" xfId="0" applyNumberFormat="1" applyFont="1" applyFill="1" applyBorder="1"/>
    <xf numFmtId="165" fontId="1" fillId="16" borderId="4" xfId="0" applyNumberFormat="1" applyFont="1" applyFill="1" applyBorder="1"/>
    <xf numFmtId="165" fontId="1" fillId="16" borderId="0" xfId="0" applyNumberFormat="1" applyFont="1" applyFill="1"/>
    <xf numFmtId="0" fontId="1" fillId="16" borderId="5" xfId="0" applyFont="1" applyFill="1" applyBorder="1"/>
    <xf numFmtId="2" fontId="1" fillId="16" borderId="4" xfId="0" applyNumberFormat="1" applyFont="1" applyFill="1" applyBorder="1"/>
    <xf numFmtId="2" fontId="1" fillId="16" borderId="5" xfId="0" applyNumberFormat="1" applyFont="1" applyFill="1" applyBorder="1"/>
    <xf numFmtId="0" fontId="1" fillId="16" borderId="4" xfId="0" applyFont="1" applyFill="1" applyBorder="1" applyAlignment="1">
      <alignment horizontal="right"/>
    </xf>
    <xf numFmtId="2" fontId="1" fillId="6" borderId="24" xfId="0" applyNumberFormat="1" applyFont="1" applyFill="1" applyBorder="1"/>
    <xf numFmtId="166" fontId="18" fillId="0" borderId="0" xfId="0" applyNumberFormat="1" applyFont="1" applyAlignment="1">
      <alignment horizontal="right" vertical="center" readingOrder="1"/>
    </xf>
    <xf numFmtId="1" fontId="0" fillId="0" borderId="24" xfId="0" applyNumberFormat="1" applyBorder="1" applyAlignment="1">
      <alignment horizontal="right"/>
    </xf>
    <xf numFmtId="0" fontId="1" fillId="2" borderId="4" xfId="0" quotePrefix="1" applyFont="1" applyFill="1" applyBorder="1"/>
    <xf numFmtId="0" fontId="1" fillId="2" borderId="0" xfId="0" quotePrefix="1" applyFont="1" applyFill="1"/>
    <xf numFmtId="0" fontId="1" fillId="2" borderId="5" xfId="0" quotePrefix="1" applyFont="1" applyFill="1" applyBorder="1"/>
    <xf numFmtId="1" fontId="1" fillId="2" borderId="4" xfId="0" applyNumberFormat="1" applyFont="1" applyFill="1" applyBorder="1"/>
    <xf numFmtId="1" fontId="1" fillId="2" borderId="0" xfId="0" applyNumberFormat="1" applyFont="1" applyFill="1"/>
    <xf numFmtId="1" fontId="1" fillId="2" borderId="5" xfId="0" applyNumberFormat="1" applyFont="1" applyFill="1" applyBorder="1"/>
    <xf numFmtId="165" fontId="1" fillId="2" borderId="4" xfId="0" applyNumberFormat="1" applyFont="1" applyFill="1" applyBorder="1"/>
    <xf numFmtId="165" fontId="1" fillId="2" borderId="0" xfId="0" applyNumberFormat="1" applyFont="1" applyFill="1"/>
    <xf numFmtId="165" fontId="0" fillId="2" borderId="0" xfId="0" applyNumberFormat="1" applyFill="1"/>
    <xf numFmtId="0" fontId="1" fillId="2" borderId="0" xfId="0" applyFont="1" applyFill="1"/>
    <xf numFmtId="0" fontId="1" fillId="2" borderId="5" xfId="0" applyFont="1" applyFill="1" applyBorder="1"/>
    <xf numFmtId="2" fontId="0" fillId="2" borderId="4" xfId="0" applyNumberFormat="1" applyFill="1" applyBorder="1"/>
    <xf numFmtId="0" fontId="1" fillId="2" borderId="4" xfId="0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2" fontId="0" fillId="2" borderId="4" xfId="0" quotePrefix="1" applyNumberFormat="1" applyFill="1" applyBorder="1"/>
    <xf numFmtId="164" fontId="0" fillId="0" borderId="5" xfId="0" applyNumberFormat="1" applyBorder="1" applyAlignment="1">
      <alignment horizontal="right"/>
    </xf>
    <xf numFmtId="0" fontId="2" fillId="0" borderId="0" xfId="0" applyFont="1"/>
    <xf numFmtId="166" fontId="0" fillId="0" borderId="24" xfId="0" applyNumberFormat="1" applyBorder="1"/>
    <xf numFmtId="166" fontId="0" fillId="0" borderId="5" xfId="0" applyNumberFormat="1" applyBorder="1"/>
    <xf numFmtId="166" fontId="0" fillId="0" borderId="22" xfId="0" applyNumberFormat="1" applyBorder="1"/>
    <xf numFmtId="0" fontId="0" fillId="3" borderId="12" xfId="0" applyFill="1" applyBorder="1"/>
    <xf numFmtId="2" fontId="1" fillId="2" borderId="4" xfId="0" applyNumberFormat="1" applyFont="1" applyFill="1" applyBorder="1"/>
    <xf numFmtId="0" fontId="1" fillId="8" borderId="0" xfId="0" applyFont="1" applyFill="1"/>
    <xf numFmtId="0" fontId="0" fillId="0" borderId="3" xfId="0" applyBorder="1"/>
    <xf numFmtId="0" fontId="1" fillId="0" borderId="5" xfId="0" applyFont="1" applyBorder="1"/>
    <xf numFmtId="0" fontId="0" fillId="2" borderId="5" xfId="0" applyFill="1" applyBorder="1"/>
    <xf numFmtId="2" fontId="0" fillId="7" borderId="11" xfId="0" applyNumberFormat="1" applyFill="1" applyBorder="1"/>
    <xf numFmtId="2" fontId="1" fillId="7" borderId="0" xfId="0" applyNumberFormat="1" applyFont="1" applyFill="1"/>
    <xf numFmtId="2" fontId="0" fillId="7" borderId="0" xfId="0" applyNumberFormat="1" applyFill="1"/>
    <xf numFmtId="164" fontId="1" fillId="4" borderId="11" xfId="0" applyNumberFormat="1" applyFont="1" applyFill="1" applyBorder="1"/>
    <xf numFmtId="2" fontId="1" fillId="4" borderId="11" xfId="0" applyNumberFormat="1" applyFont="1" applyFill="1" applyBorder="1"/>
    <xf numFmtId="0" fontId="1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1" xfId="0" applyBorder="1"/>
    <xf numFmtId="1" fontId="1" fillId="4" borderId="31" xfId="0" applyNumberFormat="1" applyFont="1" applyFill="1" applyBorder="1"/>
    <xf numFmtId="1" fontId="1" fillId="0" borderId="31" xfId="0" applyNumberFormat="1" applyFont="1" applyBorder="1"/>
    <xf numFmtId="2" fontId="0" fillId="8" borderId="31" xfId="0" applyNumberFormat="1" applyFill="1" applyBorder="1"/>
    <xf numFmtId="2" fontId="0" fillId="7" borderId="31" xfId="0" applyNumberFormat="1" applyFill="1" applyBorder="1"/>
    <xf numFmtId="2" fontId="0" fillId="0" borderId="31" xfId="0" applyNumberFormat="1" applyBorder="1"/>
    <xf numFmtId="2" fontId="0" fillId="0" borderId="31" xfId="0" quotePrefix="1" applyNumberFormat="1" applyBorder="1"/>
    <xf numFmtId="0" fontId="0" fillId="0" borderId="31" xfId="0" quotePrefix="1" applyBorder="1"/>
    <xf numFmtId="1" fontId="1" fillId="6" borderId="31" xfId="0" applyNumberFormat="1" applyFont="1" applyFill="1" applyBorder="1"/>
    <xf numFmtId="0" fontId="1" fillId="0" borderId="31" xfId="0" applyFont="1" applyBorder="1"/>
    <xf numFmtId="0" fontId="0" fillId="7" borderId="31" xfId="0" applyFill="1" applyBorder="1"/>
    <xf numFmtId="2" fontId="1" fillId="16" borderId="31" xfId="0" applyNumberFormat="1" applyFont="1" applyFill="1" applyBorder="1"/>
    <xf numFmtId="0" fontId="0" fillId="0" borderId="31" xfId="0" applyBorder="1" applyAlignment="1">
      <alignment horizontal="right"/>
    </xf>
    <xf numFmtId="165" fontId="1" fillId="6" borderId="31" xfId="0" applyNumberFormat="1" applyFont="1" applyFill="1" applyBorder="1"/>
    <xf numFmtId="0" fontId="0" fillId="8" borderId="31" xfId="0" applyFill="1" applyBorder="1"/>
    <xf numFmtId="0" fontId="1" fillId="6" borderId="31" xfId="0" applyFont="1" applyFill="1" applyBorder="1"/>
    <xf numFmtId="1" fontId="1" fillId="16" borderId="31" xfId="0" applyNumberFormat="1" applyFont="1" applyFill="1" applyBorder="1"/>
    <xf numFmtId="1" fontId="1" fillId="6" borderId="23" xfId="0" applyNumberFormat="1" applyFont="1" applyFill="1" applyBorder="1"/>
    <xf numFmtId="2" fontId="0" fillId="0" borderId="11" xfId="0" applyNumberFormat="1" applyBorder="1" applyAlignment="1">
      <alignment horizontal="right"/>
    </xf>
    <xf numFmtId="2" fontId="1" fillId="4" borderId="12" xfId="0" applyNumberFormat="1" applyFont="1" applyFill="1" applyBorder="1"/>
    <xf numFmtId="0" fontId="0" fillId="5" borderId="0" xfId="0" applyFill="1"/>
    <xf numFmtId="0" fontId="0" fillId="3" borderId="0" xfId="0" quotePrefix="1" applyFill="1"/>
    <xf numFmtId="0" fontId="0" fillId="6" borderId="0" xfId="0" applyFill="1"/>
    <xf numFmtId="0" fontId="0" fillId="9" borderId="0" xfId="0" quotePrefix="1" applyFill="1"/>
    <xf numFmtId="0" fontId="0" fillId="10" borderId="0" xfId="0" quotePrefix="1" applyFill="1"/>
    <xf numFmtId="0" fontId="0" fillId="11" borderId="0" xfId="0" quotePrefix="1" applyFill="1"/>
    <xf numFmtId="0" fontId="0" fillId="3" borderId="0" xfId="0" applyFill="1"/>
    <xf numFmtId="1" fontId="1" fillId="0" borderId="4" xfId="0" applyNumberFormat="1" applyFont="1" applyBorder="1" applyAlignment="1">
      <alignment horizontal="right"/>
    </xf>
    <xf numFmtId="1" fontId="0" fillId="8" borderId="4" xfId="0" applyNumberFormat="1" applyFill="1" applyBorder="1"/>
    <xf numFmtId="1" fontId="1" fillId="7" borderId="4" xfId="0" applyNumberFormat="1" applyFont="1" applyFill="1" applyBorder="1" applyAlignment="1">
      <alignment horizontal="right"/>
    </xf>
    <xf numFmtId="165" fontId="0" fillId="8" borderId="4" xfId="0" applyNumberFormat="1" applyFill="1" applyBorder="1"/>
    <xf numFmtId="1" fontId="1" fillId="16" borderId="4" xfId="0" applyNumberFormat="1" applyFont="1" applyFill="1" applyBorder="1" applyAlignment="1">
      <alignment horizontal="right"/>
    </xf>
    <xf numFmtId="0" fontId="1" fillId="6" borderId="4" xfId="0" applyFont="1" applyFill="1" applyBorder="1"/>
    <xf numFmtId="164" fontId="1" fillId="16" borderId="4" xfId="0" applyNumberFormat="1" applyFont="1" applyFill="1" applyBorder="1" applyAlignment="1">
      <alignment horizontal="right"/>
    </xf>
    <xf numFmtId="1" fontId="4" fillId="0" borderId="4" xfId="0" applyNumberFormat="1" applyFont="1" applyBorder="1"/>
    <xf numFmtId="2" fontId="0" fillId="8" borderId="4" xfId="0" applyNumberFormat="1" applyFill="1" applyBorder="1"/>
    <xf numFmtId="1" fontId="4" fillId="0" borderId="4" xfId="0" applyNumberFormat="1" applyFont="1" applyBorder="1" applyAlignment="1">
      <alignment horizontal="right"/>
    </xf>
    <xf numFmtId="1" fontId="1" fillId="6" borderId="21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right"/>
    </xf>
    <xf numFmtId="2" fontId="0" fillId="2" borderId="22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4" fillId="2" borderId="0" xfId="0" applyFont="1" applyFill="1"/>
    <xf numFmtId="0" fontId="1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2" fontId="0" fillId="2" borderId="11" xfId="0" applyNumberFormat="1" applyFill="1" applyBorder="1"/>
    <xf numFmtId="2" fontId="1" fillId="2" borderId="11" xfId="0" applyNumberFormat="1" applyFont="1" applyFill="1" applyBorder="1"/>
    <xf numFmtId="0" fontId="0" fillId="2" borderId="11" xfId="0" applyFill="1" applyBorder="1"/>
    <xf numFmtId="0" fontId="0" fillId="2" borderId="11" xfId="0" applyFill="1" applyBorder="1" applyAlignment="1">
      <alignment horizontal="right"/>
    </xf>
    <xf numFmtId="2" fontId="0" fillId="2" borderId="11" xfId="0" quotePrefix="1" applyNumberFormat="1" applyFill="1" applyBorder="1"/>
    <xf numFmtId="0" fontId="1" fillId="2" borderId="11" xfId="0" applyFont="1" applyFill="1" applyBorder="1"/>
    <xf numFmtId="0" fontId="0" fillId="2" borderId="11" xfId="0" quotePrefix="1" applyFill="1" applyBorder="1"/>
    <xf numFmtId="0" fontId="1" fillId="2" borderId="12" xfId="0" applyFont="1" applyFill="1" applyBorder="1"/>
    <xf numFmtId="2" fontId="1" fillId="2" borderId="0" xfId="0" applyNumberFormat="1" applyFont="1" applyFill="1"/>
    <xf numFmtId="165" fontId="0" fillId="2" borderId="11" xfId="0" quotePrefix="1" applyNumberFormat="1" applyFill="1" applyBorder="1"/>
    <xf numFmtId="165" fontId="1" fillId="2" borderId="29" xfId="0" quotePrefix="1" applyNumberFormat="1" applyFont="1" applyFill="1" applyBorder="1"/>
    <xf numFmtId="0" fontId="0" fillId="11" borderId="0" xfId="0" applyFill="1"/>
    <xf numFmtId="10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2" fontId="0" fillId="2" borderId="21" xfId="0" applyNumberFormat="1" applyFill="1" applyBorder="1"/>
    <xf numFmtId="0" fontId="8" fillId="0" borderId="7" xfId="0" applyFont="1" applyBorder="1" applyAlignment="1">
      <alignment horizontal="right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 vertical="center"/>
    </xf>
    <xf numFmtId="43" fontId="1" fillId="0" borderId="0" xfId="0" applyNumberFormat="1" applyFont="1" applyAlignment="1">
      <alignment horizontal="right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2" fontId="0" fillId="0" borderId="0" xfId="0" applyNumberFormat="1" applyFill="1" applyAlignment="1">
      <alignment horizontal="right" vertical="center"/>
    </xf>
    <xf numFmtId="2" fontId="0" fillId="0" borderId="0" xfId="0" applyNumberForma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vertical="center"/>
    </xf>
    <xf numFmtId="0" fontId="0" fillId="0" borderId="0" xfId="0" applyAlignment="1">
      <alignment horizontal="left" vertical="center"/>
    </xf>
    <xf numFmtId="2" fontId="0" fillId="0" borderId="0" xfId="0" applyNumberFormat="1" applyFill="1"/>
    <xf numFmtId="0" fontId="1" fillId="0" borderId="0" xfId="0" applyFont="1" applyFill="1" applyAlignment="1">
      <alignment horizontal="right" vertical="center"/>
    </xf>
    <xf numFmtId="43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left"/>
    </xf>
    <xf numFmtId="2" fontId="1" fillId="0" borderId="0" xfId="0" applyNumberFormat="1" applyFont="1" applyFill="1" applyAlignment="1">
      <alignment horizontal="right" vertical="center"/>
    </xf>
    <xf numFmtId="2" fontId="2" fillId="0" borderId="0" xfId="0" applyNumberFormat="1" applyFont="1" applyFill="1" applyAlignment="1">
      <alignment horizontal="right" vertical="center"/>
    </xf>
    <xf numFmtId="164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28" fillId="24" borderId="0" xfId="0" applyFont="1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0" fillId="24" borderId="0" xfId="0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35">
    <cellStyle name="Collegamento ipertestuale" xfId="1" builtinId="8"/>
    <cellStyle name="Detail ligne" xfId="12" xr:uid="{F4C5C137-0F78-4440-B6B4-DC1DD95914AD}"/>
    <cellStyle name="Dezimal_ACEA" xfId="13" xr:uid="{F0CB4C07-01C0-4445-88B9-E588CE51E5DF}"/>
    <cellStyle name="Ligne détail" xfId="14" xr:uid="{0110E232-294C-42CA-95F3-EFC73C5B4820}"/>
    <cellStyle name="Menu" xfId="6" xr:uid="{90E29110-F658-45D0-8D28-63F4D02A8935}"/>
    <cellStyle name="Migliaia 2" xfId="30" xr:uid="{45A618B8-28B1-4254-975F-63C640B88AFF}"/>
    <cellStyle name="Normal 2" xfId="3" xr:uid="{885E4014-65CA-4B11-ACAD-CAC7BE4B3060}"/>
    <cellStyle name="Normal 2 2" xfId="7" xr:uid="{4A565F2F-8485-4CDA-AFE8-AFBB47A3D273}"/>
    <cellStyle name="Normal 2 2 2" xfId="33" xr:uid="{2CF37F59-1120-4346-99B3-A01DEFC57F01}"/>
    <cellStyle name="Normal 2 3" xfId="5" xr:uid="{C167CB46-57AB-4D13-8B7A-BD4E8FD93201}"/>
    <cellStyle name="Normal 2 4" xfId="34" xr:uid="{355499E4-0CAA-44B0-B028-7A2010B303EE}"/>
    <cellStyle name="Normal 3" xfId="8" xr:uid="{73BB0A34-3060-4E21-B17B-DD811138E2B8}"/>
    <cellStyle name="Normale" xfId="0" builtinId="0"/>
    <cellStyle name="Normale 2" xfId="11" xr:uid="{CCD4CD52-2430-45FE-895B-B0EE50F928AF}"/>
    <cellStyle name="Normale 3" xfId="31" xr:uid="{8689E5D6-75BB-4FBA-878E-9E1FFA368CA5}"/>
    <cellStyle name="NumberCellStyle" xfId="2" xr:uid="{899D291B-7EF0-4084-B08C-62B10E72A84F}"/>
    <cellStyle name="NumberCellStyle 2" xfId="9" xr:uid="{70590C03-AAB5-466D-930D-B46C17C4F8B8}"/>
    <cellStyle name="Percent 2" xfId="10" xr:uid="{9C44D169-5F48-4E48-A637-C883F34A6C07}"/>
    <cellStyle name="Percentuale" xfId="4" builtinId="5"/>
    <cellStyle name="Percentuale 2" xfId="15" xr:uid="{967BB944-AB21-4DCA-95AC-3FA1577900F9}"/>
    <cellStyle name="Percentuale 3" xfId="32" xr:uid="{57AFB37A-3830-40E2-98AF-B2F675098562}"/>
    <cellStyle name="Standard_ACEA" xfId="16" xr:uid="{43375698-90A8-4B7B-AB44-4BD775F906F3}"/>
    <cellStyle name="Titre colonne" xfId="17" xr:uid="{B509136F-5B4A-44C4-9168-ADBF6C14AECC}"/>
    <cellStyle name="Titre colonnes" xfId="18" xr:uid="{F2FBC8F4-6F5E-40A7-ABFF-FAC7AD0166CE}"/>
    <cellStyle name="Titre general" xfId="19" xr:uid="{E9E66AD7-8D32-435C-B1CA-7755713F9D5B}"/>
    <cellStyle name="Titre général" xfId="20" xr:uid="{31F5FD95-5A11-4AA1-BC28-32AB9DDB8D32}"/>
    <cellStyle name="Titre ligne" xfId="21" xr:uid="{FFC71117-F904-4BEC-982C-454B2E3FB0F4}"/>
    <cellStyle name="Titre lignes" xfId="22" xr:uid="{5BD70A35-5F76-4630-A75D-6C4EE3C8BC54}"/>
    <cellStyle name="Titre tableau" xfId="23" xr:uid="{DBD42D66-D103-4F81-88E8-F3C101A1DFCA}"/>
    <cellStyle name="Total intermediaire" xfId="25" xr:uid="{55069CE8-BC84-40A3-8503-CE2E190A5FDA}"/>
    <cellStyle name="Total intermediaire 0" xfId="26" xr:uid="{3B8DD332-FE97-47F7-AB7A-E7CF4118E249}"/>
    <cellStyle name="Total intermediaire 1" xfId="27" xr:uid="{D7997B78-821F-4134-B619-5F929A3A5387}"/>
    <cellStyle name="Total tableau" xfId="28" xr:uid="{11F7CBB6-6E6A-4EB3-9BBD-F6B1F73B4FC9}"/>
    <cellStyle name="Totale 2" xfId="24" xr:uid="{9A5F2410-8A5A-422B-93E8-056B23196801}"/>
    <cellStyle name="Währung_ACEA" xfId="29" xr:uid="{E9A3A064-ADB2-4B63-9A9E-4B1C4321579E}"/>
  </cellStyles>
  <dxfs count="0"/>
  <tableStyles count="0" defaultTableStyle="TableStyleMedium2" defaultPivotStyle="PivotStyleLight16"/>
  <colors>
    <mruColors>
      <color rgb="FFFF0000"/>
      <color rgb="FF99CCFF"/>
      <color rgb="FFFF0066"/>
      <color rgb="FFFF3300"/>
      <color rgb="FFD60093"/>
      <color rgb="FFFF9900"/>
      <color rgb="FFFF99CC"/>
      <color rgb="FFFF6699"/>
      <color rgb="FFFF00FF"/>
      <color rgb="FFFFD8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'TRM Medium trucks'!$X$4:$X$14</c:f>
              <c:numCache>
                <c:formatCode>General</c:formatCode>
                <c:ptCount val="11"/>
                <c:pt idx="0">
                  <c:v>5000</c:v>
                </c:pt>
                <c:pt idx="1">
                  <c:v>6500</c:v>
                </c:pt>
                <c:pt idx="2">
                  <c:v>7500</c:v>
                </c:pt>
                <c:pt idx="3">
                  <c:v>8000</c:v>
                </c:pt>
                <c:pt idx="4">
                  <c:v>9500</c:v>
                </c:pt>
                <c:pt idx="5">
                  <c:v>10500</c:v>
                </c:pt>
                <c:pt idx="6">
                  <c:v>12000</c:v>
                </c:pt>
                <c:pt idx="7">
                  <c:v>10000</c:v>
                </c:pt>
                <c:pt idx="8">
                  <c:v>11500</c:v>
                </c:pt>
                <c:pt idx="9">
                  <c:v>8000</c:v>
                </c:pt>
                <c:pt idx="10">
                  <c:v>9000</c:v>
                </c:pt>
              </c:numCache>
            </c:numRef>
          </c:xVal>
          <c:yVal>
            <c:numRef>
              <c:f>'TRM Medium trucks'!$Y$4:$Y$14</c:f>
              <c:numCache>
                <c:formatCode>General</c:formatCode>
                <c:ptCount val="11"/>
                <c:pt idx="0">
                  <c:v>40000</c:v>
                </c:pt>
                <c:pt idx="1">
                  <c:v>60000</c:v>
                </c:pt>
                <c:pt idx="2">
                  <c:v>65000</c:v>
                </c:pt>
                <c:pt idx="3">
                  <c:v>70000</c:v>
                </c:pt>
                <c:pt idx="4">
                  <c:v>72000</c:v>
                </c:pt>
                <c:pt idx="5">
                  <c:v>75000</c:v>
                </c:pt>
                <c:pt idx="6">
                  <c:v>80000</c:v>
                </c:pt>
                <c:pt idx="7">
                  <c:v>75000</c:v>
                </c:pt>
                <c:pt idx="8">
                  <c:v>85000</c:v>
                </c:pt>
                <c:pt idx="9">
                  <c:v>65000</c:v>
                </c:pt>
                <c:pt idx="10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E-4330-9A98-DB01E478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60296"/>
        <c:axId val="549460624"/>
      </c:scatterChart>
      <c:valAx>
        <c:axId val="54946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Full charge weight</a:t>
                </a:r>
                <a:r>
                  <a:rPr lang="en-GB" baseline="0"/>
                  <a:t>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60624"/>
        <c:crosses val="autoZero"/>
        <c:crossBetween val="midCat"/>
      </c:valAx>
      <c:valAx>
        <c:axId val="5494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Purchase</a:t>
                </a:r>
                <a:r>
                  <a:rPr lang="en-GB" baseline="0"/>
                  <a:t> price (€/vehicle)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6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484909</xdr:colOff>
      <xdr:row>1</xdr:row>
      <xdr:rowOff>176068</xdr:rowOff>
    </xdr:from>
    <xdr:to>
      <xdr:col>46</xdr:col>
      <xdr:colOff>126132</xdr:colOff>
      <xdr:row>24</xdr:row>
      <xdr:rowOff>141143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3956BC5-2E68-4E68-87C4-8A10034B97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78" t="44014" r="29332" b="13670"/>
        <a:stretch/>
      </xdr:blipFill>
      <xdr:spPr>
        <a:xfrm>
          <a:off x="29377409" y="366568"/>
          <a:ext cx="7477126" cy="4349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19792</xdr:colOff>
      <xdr:row>2</xdr:row>
      <xdr:rowOff>172191</xdr:rowOff>
    </xdr:from>
    <xdr:to>
      <xdr:col>33</xdr:col>
      <xdr:colOff>304305</xdr:colOff>
      <xdr:row>17</xdr:row>
      <xdr:rowOff>144482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1964ADE-3EDB-4033-BF14-5BF00AE35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e%20Lerede/Desktop/Tesi/VT_EUR_TRA_V1p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CalibData"/>
      <sheetName val="COMM"/>
      <sheetName val="~Processes"/>
      <sheetName val="TRA_Fuels"/>
      <sheetName val="TRA_Emi"/>
      <sheetName val="TRT"/>
      <sheetName val="TRL"/>
      <sheetName val="TRB"/>
      <sheetName val="TRH"/>
      <sheetName val="TRM"/>
      <sheetName val="TRC"/>
      <sheetName val="TRW"/>
      <sheetName val="TRE"/>
      <sheetName val="TAI"/>
      <sheetName val="TAD"/>
      <sheetName val="TTF"/>
      <sheetName val="TTP"/>
      <sheetName val="TWD"/>
      <sheetName val="TWI"/>
      <sheetName val="NEU"/>
      <sheetName val="Adratios"/>
      <sheetName val="ElastPar"/>
    </sheetNames>
    <sheetDataSet>
      <sheetData sheetId="0">
        <row r="1">
          <cell r="O1" t="str">
            <v>EUR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ngeurope.com/" TargetMode="External"/><Relationship Id="rId2" Type="http://schemas.openxmlformats.org/officeDocument/2006/relationships/hyperlink" Target="https://ec.europa.eu/eurostat/statistics-explained/index.php/Electricity_price_statistics" TargetMode="External"/><Relationship Id="rId1" Type="http://schemas.openxmlformats.org/officeDocument/2006/relationships/hyperlink" Target="https://ec.europa.eu/energy/en/data-analysis/weekly-oil-bulleti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ecoscore.be/en/info/ecoscore/co2" TargetMode="External"/><Relationship Id="rId4" Type="http://schemas.openxmlformats.org/officeDocument/2006/relationships/hyperlink" Target="https://www.shell.de/energie-und-innovation/mobilitaet/wasserstoff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06E6-87C3-46AA-A2FC-A6E058AF9059}">
  <dimension ref="A1:X85"/>
  <sheetViews>
    <sheetView zoomScale="70" zoomScaleNormal="70" workbookViewId="0">
      <selection activeCell="F3" sqref="F3"/>
    </sheetView>
  </sheetViews>
  <sheetFormatPr defaultRowHeight="14.5"/>
  <cols>
    <col min="1" max="1" width="14.1796875" bestFit="1" customWidth="1"/>
    <col min="2" max="3" width="12" customWidth="1"/>
    <col min="4" max="4" width="11.90625" customWidth="1"/>
    <col min="7" max="7" width="9.54296875" customWidth="1"/>
    <col min="8" max="8" width="13.1796875" customWidth="1"/>
    <col min="9" max="9" width="9.90625" customWidth="1"/>
    <col min="13" max="15" width="12.54296875" customWidth="1"/>
    <col min="20" max="20" width="10.36328125" bestFit="1" customWidth="1"/>
  </cols>
  <sheetData>
    <row r="1" spans="1:23" s="3" customFormat="1">
      <c r="A1" s="101" t="s">
        <v>4</v>
      </c>
      <c r="B1" s="101" t="s">
        <v>261</v>
      </c>
      <c r="C1" s="324" t="s">
        <v>264</v>
      </c>
      <c r="D1" s="326"/>
      <c r="E1" s="324" t="s">
        <v>261</v>
      </c>
      <c r="F1" s="325"/>
      <c r="G1" s="325"/>
      <c r="H1" s="321" t="s">
        <v>281</v>
      </c>
      <c r="I1" s="322"/>
      <c r="J1" s="322"/>
      <c r="K1" s="322"/>
      <c r="L1" s="322"/>
      <c r="M1" s="322"/>
      <c r="N1" s="322"/>
      <c r="O1" s="322"/>
      <c r="P1" s="322"/>
      <c r="Q1" s="321" t="s">
        <v>440</v>
      </c>
      <c r="R1" s="322"/>
      <c r="S1" s="322"/>
      <c r="T1" s="323"/>
      <c r="U1" s="199" t="s">
        <v>499</v>
      </c>
      <c r="V1" s="200"/>
    </row>
    <row r="2" spans="1:23" s="4" customFormat="1">
      <c r="A2" s="78"/>
      <c r="B2" s="78" t="s">
        <v>262</v>
      </c>
      <c r="C2" s="66" t="s">
        <v>265</v>
      </c>
      <c r="D2" s="63" t="s">
        <v>266</v>
      </c>
      <c r="E2" s="66" t="s">
        <v>269</v>
      </c>
      <c r="F2" s="4" t="s">
        <v>270</v>
      </c>
      <c r="G2" s="4" t="s">
        <v>278</v>
      </c>
      <c r="H2" s="7" t="s">
        <v>282</v>
      </c>
      <c r="I2" s="4" t="s">
        <v>451</v>
      </c>
      <c r="J2" s="4" t="s">
        <v>283</v>
      </c>
      <c r="K2" s="4" t="s">
        <v>285</v>
      </c>
      <c r="L2" s="4" t="s">
        <v>452</v>
      </c>
      <c r="M2" s="4" t="s">
        <v>286</v>
      </c>
      <c r="N2" s="4" t="s">
        <v>453</v>
      </c>
      <c r="O2" s="4" t="s">
        <v>284</v>
      </c>
      <c r="P2" s="4" t="s">
        <v>454</v>
      </c>
      <c r="Q2" s="7" t="s">
        <v>451</v>
      </c>
      <c r="R2" s="4" t="s">
        <v>452</v>
      </c>
      <c r="S2" s="4" t="s">
        <v>453</v>
      </c>
      <c r="T2" s="8" t="s">
        <v>454</v>
      </c>
      <c r="U2" s="7" t="s">
        <v>500</v>
      </c>
      <c r="V2" s="8" t="s">
        <v>502</v>
      </c>
    </row>
    <row r="3" spans="1:23">
      <c r="A3" s="79" t="s">
        <v>15</v>
      </c>
      <c r="B3" s="79">
        <v>44650</v>
      </c>
      <c r="C3" s="59">
        <v>719</v>
      </c>
      <c r="D3" s="72">
        <f>C3/1000</f>
        <v>0.71899999999999997</v>
      </c>
      <c r="E3" s="59">
        <f>B3*D3</f>
        <v>32103.35</v>
      </c>
      <c r="F3">
        <f>E3/1000</f>
        <v>32.103349999999999</v>
      </c>
      <c r="H3" s="10">
        <v>1.1499999999999999</v>
      </c>
      <c r="I3">
        <f>B84</f>
        <v>1.4264474</v>
      </c>
      <c r="O3" s="85">
        <f>H3/$F$3</f>
        <v>3.5821806758484703E-2</v>
      </c>
      <c r="P3" s="107">
        <f>I3/$F$3</f>
        <v>4.443297662081995E-2</v>
      </c>
      <c r="Q3" s="10">
        <f>I3*C85</f>
        <v>0.86520739684059988</v>
      </c>
      <c r="T3" s="242">
        <f>Q3/F3</f>
        <v>2.695068884837875E-2</v>
      </c>
      <c r="U3" s="10">
        <v>2392</v>
      </c>
      <c r="V3" s="11"/>
      <c r="W3" s="1">
        <f>T3/P3</f>
        <v>0.60654700400491446</v>
      </c>
    </row>
    <row r="4" spans="1:23">
      <c r="A4" s="79" t="s">
        <v>16</v>
      </c>
      <c r="B4" s="79">
        <v>38600</v>
      </c>
      <c r="C4" s="59">
        <v>911</v>
      </c>
      <c r="D4" s="72">
        <f>C4/1000</f>
        <v>0.91100000000000003</v>
      </c>
      <c r="E4" s="59">
        <f t="shared" ref="E4:E10" si="0">B4*D4</f>
        <v>35164.6</v>
      </c>
      <c r="F4">
        <f t="shared" ref="F4:F10" si="1">E4/1000</f>
        <v>35.1646</v>
      </c>
      <c r="H4" s="10">
        <v>1.06</v>
      </c>
      <c r="I4">
        <f>E84</f>
        <v>1.3348912000000002</v>
      </c>
      <c r="O4" s="85">
        <f>H4/$F$4</f>
        <v>3.0143951587676243E-2</v>
      </c>
      <c r="P4" s="107">
        <f>I4/$F$4</f>
        <v>3.7961222365674577E-2</v>
      </c>
      <c r="Q4" s="10">
        <f>I4*F85</f>
        <v>0.72855121738185435</v>
      </c>
      <c r="T4" s="242">
        <f>Q4/F4</f>
        <v>2.0718313798020006E-2</v>
      </c>
      <c r="U4" s="10">
        <v>2640</v>
      </c>
      <c r="V4" s="11"/>
      <c r="W4" s="1">
        <f t="shared" ref="W4:W9" si="2">T4/P4</f>
        <v>0.54577572867500679</v>
      </c>
    </row>
    <row r="5" spans="1:23">
      <c r="A5" s="79" t="s">
        <v>17</v>
      </c>
      <c r="B5" s="79">
        <v>46300</v>
      </c>
      <c r="C5" s="59">
        <v>503</v>
      </c>
      <c r="D5" s="72">
        <f>C5/1000</f>
        <v>0.503</v>
      </c>
      <c r="E5" s="59">
        <f t="shared" si="0"/>
        <v>23288.9</v>
      </c>
      <c r="F5">
        <f t="shared" si="1"/>
        <v>23.288900000000002</v>
      </c>
      <c r="H5" s="10">
        <v>0.64</v>
      </c>
      <c r="I5">
        <f>H84</f>
        <v>0.58565679999999998</v>
      </c>
      <c r="O5" s="85">
        <f>H5/$F$5</f>
        <v>2.7480902919416544E-2</v>
      </c>
      <c r="P5" s="107">
        <f>I5/$F$5</f>
        <v>2.5147465101400236E-2</v>
      </c>
      <c r="Q5" s="10">
        <f>I5*I85</f>
        <v>0.2172647337666927</v>
      </c>
      <c r="T5" s="242">
        <f>Q5/F5</f>
        <v>9.3291110257115051E-3</v>
      </c>
      <c r="U5" s="10">
        <v>1665</v>
      </c>
      <c r="V5" s="11"/>
      <c r="W5" s="1">
        <f t="shared" si="2"/>
        <v>0.37097619931450071</v>
      </c>
    </row>
    <row r="6" spans="1:23">
      <c r="A6" s="79" t="s">
        <v>263</v>
      </c>
      <c r="B6" s="79">
        <v>47450</v>
      </c>
      <c r="C6" s="59"/>
      <c r="D6" s="72"/>
      <c r="E6" s="59"/>
      <c r="G6">
        <f>B6/1000</f>
        <v>47.45</v>
      </c>
      <c r="H6" s="145"/>
      <c r="I6" s="34"/>
      <c r="M6">
        <f>0.89</f>
        <v>0.89</v>
      </c>
      <c r="N6">
        <f>P51</f>
        <v>1.1025555555555557</v>
      </c>
      <c r="O6" s="85">
        <f>M6/$G$6</f>
        <v>1.8756585879873552E-2</v>
      </c>
      <c r="P6" s="107">
        <f>N6/$G$6</f>
        <v>2.3236155016976939E-2</v>
      </c>
      <c r="Q6" s="10"/>
      <c r="S6">
        <f>N6*Q51</f>
        <v>0.55127777777777787</v>
      </c>
      <c r="T6" s="242">
        <f>S6/G6</f>
        <v>1.1618077508488469E-2</v>
      </c>
      <c r="U6" s="10"/>
      <c r="V6" s="11">
        <v>2252</v>
      </c>
      <c r="W6" s="1">
        <f t="shared" si="2"/>
        <v>0.5</v>
      </c>
    </row>
    <row r="7" spans="1:23">
      <c r="A7" s="79" t="s">
        <v>19</v>
      </c>
      <c r="B7" s="79"/>
      <c r="C7" s="59"/>
      <c r="D7" s="72"/>
      <c r="E7" s="59"/>
      <c r="H7" s="10"/>
      <c r="K7">
        <f>10.01/100</f>
        <v>0.10009999999999999</v>
      </c>
      <c r="L7">
        <f>P16</f>
        <v>0.17650666666666665</v>
      </c>
      <c r="O7" s="85">
        <f>K7/3.6</f>
        <v>2.7805555555555552E-2</v>
      </c>
      <c r="P7" s="107">
        <f>L7/3.6</f>
        <v>4.9029629629629624E-2</v>
      </c>
      <c r="Q7" s="10"/>
      <c r="R7">
        <f>P16*Q16</f>
        <v>5.836333333333333E-2</v>
      </c>
      <c r="T7" s="242">
        <f>R7/3.6</f>
        <v>1.6212037037037035E-2</v>
      </c>
      <c r="U7" s="10"/>
      <c r="V7" s="11"/>
      <c r="W7" s="1">
        <f t="shared" si="2"/>
        <v>0.33065795437377249</v>
      </c>
    </row>
    <row r="8" spans="1:23">
      <c r="A8" s="79" t="s">
        <v>260</v>
      </c>
      <c r="B8" s="79">
        <v>30000</v>
      </c>
      <c r="C8" s="59">
        <v>779</v>
      </c>
      <c r="D8" s="72">
        <f>C8/1000</f>
        <v>0.77900000000000003</v>
      </c>
      <c r="E8" s="59">
        <f t="shared" si="0"/>
        <v>23370</v>
      </c>
      <c r="F8">
        <f t="shared" si="1"/>
        <v>23.37</v>
      </c>
      <c r="H8" s="145">
        <f>2.26*0.264172052</f>
        <v>0.59702883751999991</v>
      </c>
      <c r="I8" s="34">
        <f>K84</f>
        <v>1.39396711</v>
      </c>
      <c r="O8" s="85">
        <f>H8/$F$8</f>
        <v>2.5546805199828836E-2</v>
      </c>
      <c r="P8" s="107">
        <f>I8/$F$8</f>
        <v>5.964771544715447E-2</v>
      </c>
      <c r="Q8" s="10">
        <f>I8*L85</f>
        <v>0.12967709999999996</v>
      </c>
      <c r="T8" s="242">
        <f>Q8/F8</f>
        <v>5.5488703465982007E-3</v>
      </c>
      <c r="U8" s="10">
        <f>0.15*U3</f>
        <v>358.8</v>
      </c>
      <c r="V8" s="11"/>
      <c r="W8" s="1">
        <f t="shared" si="2"/>
        <v>9.3027374225493703E-2</v>
      </c>
    </row>
    <row r="9" spans="1:23">
      <c r="A9" s="81" t="s">
        <v>288</v>
      </c>
      <c r="B9" s="81"/>
      <c r="C9" s="71">
        <v>42</v>
      </c>
      <c r="D9" s="76"/>
      <c r="E9" s="71"/>
      <c r="F9" s="61"/>
      <c r="G9" s="61">
        <v>120</v>
      </c>
      <c r="H9" s="130"/>
      <c r="I9" s="142"/>
      <c r="J9" s="142"/>
      <c r="K9" s="142"/>
      <c r="L9" s="142"/>
      <c r="M9" s="142">
        <f>13.99</f>
        <v>13.99</v>
      </c>
      <c r="N9" s="142">
        <f>U16</f>
        <v>9.5</v>
      </c>
      <c r="O9" s="201">
        <f>M9/$G$9</f>
        <v>0.11658333333333333</v>
      </c>
      <c r="P9" s="241">
        <f>N9/$G$9</f>
        <v>7.9166666666666663E-2</v>
      </c>
      <c r="Q9" s="130"/>
      <c r="R9" s="142"/>
      <c r="S9" s="142">
        <f>U16*V16</f>
        <v>3.3928571428571432</v>
      </c>
      <c r="T9" s="243">
        <f>S9/G9</f>
        <v>2.8273809523809527E-2</v>
      </c>
      <c r="U9" s="130"/>
      <c r="V9" s="131">
        <v>0</v>
      </c>
      <c r="W9" s="1">
        <f t="shared" si="2"/>
        <v>0.35714285714285721</v>
      </c>
    </row>
    <row r="10" spans="1:23">
      <c r="A10" s="79" t="s">
        <v>209</v>
      </c>
      <c r="B10" s="79">
        <v>26750</v>
      </c>
      <c r="C10" s="59">
        <v>791</v>
      </c>
      <c r="D10" s="72">
        <f>C10/1000</f>
        <v>0.79100000000000004</v>
      </c>
      <c r="E10" s="59">
        <f t="shared" si="0"/>
        <v>21159.25</v>
      </c>
      <c r="F10">
        <f t="shared" si="1"/>
        <v>21.15925</v>
      </c>
      <c r="I10">
        <f>I3</f>
        <v>1.4264474</v>
      </c>
      <c r="P10" s="201">
        <f>I10/F10</f>
        <v>6.7414837482424939E-2</v>
      </c>
      <c r="Q10">
        <f>I10*C85</f>
        <v>0.86520739684059988</v>
      </c>
      <c r="T10">
        <f>Q10*F10</f>
        <v>18.307139611599464</v>
      </c>
      <c r="U10" s="18" t="s">
        <v>501</v>
      </c>
    </row>
    <row r="11" spans="1:23">
      <c r="A11" t="s">
        <v>433</v>
      </c>
    </row>
    <row r="12" spans="1:23">
      <c r="A12">
        <f>F8/F3</f>
        <v>0.7279614121267719</v>
      </c>
    </row>
    <row r="14" spans="1:23">
      <c r="B14" s="18" t="s">
        <v>438</v>
      </c>
      <c r="H14" s="18"/>
      <c r="I14" s="18"/>
      <c r="K14" s="18" t="s">
        <v>441</v>
      </c>
      <c r="L14" s="18"/>
      <c r="Q14" s="18" t="s">
        <v>449</v>
      </c>
    </row>
    <row r="15" spans="1:23">
      <c r="A15" s="83" t="s">
        <v>437</v>
      </c>
      <c r="B15" s="202" t="s">
        <v>442</v>
      </c>
      <c r="C15" s="202"/>
      <c r="E15" s="202" t="s">
        <v>443</v>
      </c>
      <c r="F15" s="202"/>
      <c r="H15" s="202" t="s">
        <v>444</v>
      </c>
      <c r="I15" s="202"/>
      <c r="K15" s="202" t="s">
        <v>445</v>
      </c>
      <c r="L15" s="202"/>
      <c r="N15" s="202" t="s">
        <v>446</v>
      </c>
      <c r="O15" s="202"/>
      <c r="P15" s="202"/>
      <c r="Q15" s="83" t="s">
        <v>515</v>
      </c>
      <c r="R15" s="83"/>
      <c r="T15" s="202" t="s">
        <v>450</v>
      </c>
      <c r="U15" s="202"/>
    </row>
    <row r="16" spans="1:23">
      <c r="A16" s="84"/>
      <c r="B16" s="106" t="s">
        <v>281</v>
      </c>
      <c r="C16" s="106" t="s">
        <v>440</v>
      </c>
      <c r="D16" t="s">
        <v>514</v>
      </c>
      <c r="E16" s="82" t="s">
        <v>281</v>
      </c>
      <c r="F16" s="82" t="s">
        <v>440</v>
      </c>
      <c r="G16" t="s">
        <v>514</v>
      </c>
      <c r="H16" s="82" t="s">
        <v>281</v>
      </c>
      <c r="I16" s="82" t="s">
        <v>440</v>
      </c>
      <c r="J16" t="s">
        <v>514</v>
      </c>
      <c r="K16" s="82" t="s">
        <v>281</v>
      </c>
      <c r="L16" s="82" t="s">
        <v>440</v>
      </c>
      <c r="N16" s="82" t="s">
        <v>410</v>
      </c>
      <c r="O16" s="82"/>
      <c r="P16" s="198">
        <f>U53</f>
        <v>0.17650666666666665</v>
      </c>
      <c r="Q16">
        <f>X53</f>
        <v>0.33065795437377249</v>
      </c>
      <c r="T16" t="s">
        <v>68</v>
      </c>
      <c r="U16">
        <f>7+V16*7</f>
        <v>9.5</v>
      </c>
      <c r="V16">
        <f>9.5/7-1</f>
        <v>0.35714285714285721</v>
      </c>
    </row>
    <row r="17" spans="1:24">
      <c r="A17" s="104">
        <v>43584</v>
      </c>
      <c r="B17" s="105">
        <v>1477.02</v>
      </c>
      <c r="C17" s="105">
        <v>876.8</v>
      </c>
      <c r="D17">
        <f>C17/B17</f>
        <v>0.5936277098482079</v>
      </c>
      <c r="E17" s="105">
        <v>1376.78</v>
      </c>
      <c r="F17" s="105">
        <v>739.12</v>
      </c>
      <c r="G17">
        <f>F17/E17</f>
        <v>0.53684684553813977</v>
      </c>
      <c r="H17" s="105">
        <v>582.85</v>
      </c>
      <c r="I17" s="105">
        <v>216.44</v>
      </c>
      <c r="J17">
        <f>I17/H17</f>
        <v>0.37134768808441276</v>
      </c>
      <c r="K17" s="192">
        <f t="shared" ref="K17:K48" si="3">B17*0.15+1.18*1000</f>
        <v>1401.5529999999999</v>
      </c>
      <c r="L17" s="191"/>
      <c r="T17" s="82" t="s">
        <v>455</v>
      </c>
      <c r="U17">
        <f>11.29+0.22*11.29</f>
        <v>13.7738</v>
      </c>
    </row>
    <row r="18" spans="1:24">
      <c r="A18" s="104">
        <v>43570</v>
      </c>
      <c r="B18" s="105">
        <v>1454.7</v>
      </c>
      <c r="C18" s="105">
        <v>873.55</v>
      </c>
      <c r="D18">
        <f t="shared" ref="D18:D81" si="4">C18/B18</f>
        <v>0.60050182168144628</v>
      </c>
      <c r="E18" s="105">
        <v>1361.89</v>
      </c>
      <c r="F18" s="105">
        <v>736.88</v>
      </c>
      <c r="G18">
        <f t="shared" ref="G18:G81" si="5">F18/E18</f>
        <v>0.54107159902782154</v>
      </c>
      <c r="H18" s="105">
        <v>578.34</v>
      </c>
      <c r="I18" s="105">
        <v>215.74</v>
      </c>
      <c r="J18">
        <f t="shared" ref="J18:J81" si="6">I18/H18</f>
        <v>0.37303316388283708</v>
      </c>
      <c r="K18" s="192">
        <f t="shared" si="3"/>
        <v>1398.2049999999999</v>
      </c>
      <c r="L18" s="191"/>
      <c r="N18" s="18" t="s">
        <v>448</v>
      </c>
      <c r="O18" s="18"/>
    </row>
    <row r="19" spans="1:24">
      <c r="A19" s="104">
        <v>43563</v>
      </c>
      <c r="B19" s="105">
        <v>1433.17</v>
      </c>
      <c r="C19" s="105">
        <v>869.95</v>
      </c>
      <c r="D19">
        <f t="shared" si="4"/>
        <v>0.60701103148963487</v>
      </c>
      <c r="E19" s="105">
        <v>1351.53</v>
      </c>
      <c r="F19" s="105">
        <v>735.16</v>
      </c>
      <c r="G19">
        <f t="shared" si="5"/>
        <v>0.54394649027398578</v>
      </c>
      <c r="H19" s="105">
        <v>578.85</v>
      </c>
      <c r="I19" s="105">
        <v>215.74</v>
      </c>
      <c r="J19">
        <f t="shared" si="6"/>
        <v>0.37270450030232355</v>
      </c>
      <c r="K19" s="192">
        <f t="shared" si="3"/>
        <v>1394.9755</v>
      </c>
      <c r="L19" s="191"/>
      <c r="N19" s="202" t="s">
        <v>447</v>
      </c>
      <c r="O19" s="202"/>
      <c r="P19" s="202"/>
      <c r="Q19" s="83" t="s">
        <v>515</v>
      </c>
      <c r="R19" s="83"/>
      <c r="T19" s="202"/>
      <c r="U19" s="202" t="s">
        <v>508</v>
      </c>
      <c r="V19" s="202" t="s">
        <v>509</v>
      </c>
      <c r="W19" s="202" t="s">
        <v>440</v>
      </c>
      <c r="X19" s="202" t="s">
        <v>514</v>
      </c>
    </row>
    <row r="20" spans="1:24">
      <c r="A20" s="104">
        <v>43556</v>
      </c>
      <c r="B20" s="105">
        <v>1413.68</v>
      </c>
      <c r="C20" s="105">
        <v>867.08</v>
      </c>
      <c r="D20">
        <f t="shared" si="4"/>
        <v>0.61334955576933958</v>
      </c>
      <c r="E20" s="105">
        <v>1346.09</v>
      </c>
      <c r="F20" s="105">
        <v>734.54</v>
      </c>
      <c r="G20">
        <f t="shared" si="5"/>
        <v>0.54568416673476516</v>
      </c>
      <c r="H20" s="105">
        <v>576.86</v>
      </c>
      <c r="I20" s="105">
        <v>215.29</v>
      </c>
      <c r="J20">
        <f t="shared" si="6"/>
        <v>0.37321013764171546</v>
      </c>
      <c r="K20" s="192">
        <f t="shared" si="3"/>
        <v>1392.0519999999999</v>
      </c>
      <c r="L20" s="191"/>
      <c r="N20" s="84" t="s">
        <v>414</v>
      </c>
      <c r="O20" s="84"/>
      <c r="P20">
        <v>0.99</v>
      </c>
      <c r="T20" s="84" t="s">
        <v>399</v>
      </c>
      <c r="U20" s="193">
        <v>0.1285</v>
      </c>
      <c r="V20" s="194">
        <v>0.12239999999999999</v>
      </c>
      <c r="W20" s="195">
        <f>U20-V20</f>
        <v>6.1000000000000082E-3</v>
      </c>
      <c r="X20" s="191"/>
    </row>
    <row r="21" spans="1:24">
      <c r="A21" s="104">
        <v>43549</v>
      </c>
      <c r="B21" s="105">
        <v>1396.46</v>
      </c>
      <c r="C21" s="105">
        <v>864.24</v>
      </c>
      <c r="D21">
        <f t="shared" si="4"/>
        <v>0.61887916589089553</v>
      </c>
      <c r="E21" s="105">
        <v>1350.55</v>
      </c>
      <c r="F21" s="105">
        <v>735.43</v>
      </c>
      <c r="G21">
        <f t="shared" si="5"/>
        <v>0.54454111287993778</v>
      </c>
      <c r="H21" s="105">
        <v>577.92999999999995</v>
      </c>
      <c r="I21" s="105">
        <v>215.54</v>
      </c>
      <c r="J21">
        <f t="shared" si="6"/>
        <v>0.37295174156039662</v>
      </c>
      <c r="K21" s="192">
        <f t="shared" si="3"/>
        <v>1389.4690000000001</v>
      </c>
      <c r="L21" s="191"/>
      <c r="N21" s="84" t="s">
        <v>386</v>
      </c>
      <c r="O21" s="84"/>
      <c r="P21">
        <f>AVERAGE(1.07,0.94)</f>
        <v>1.0049999999999999</v>
      </c>
      <c r="T21" s="84" t="s">
        <v>387</v>
      </c>
      <c r="U21" s="193">
        <v>9.7900000000000001E-2</v>
      </c>
      <c r="V21" s="194">
        <v>8.1600000000000006E-2</v>
      </c>
      <c r="W21" s="195">
        <f t="shared" ref="W21:W49" si="7">U21-V21</f>
        <v>1.6299999999999995E-2</v>
      </c>
      <c r="X21" s="191"/>
    </row>
    <row r="22" spans="1:24">
      <c r="A22" s="104">
        <v>43542</v>
      </c>
      <c r="B22" s="105">
        <v>1379.39</v>
      </c>
      <c r="C22" s="105">
        <v>861.34</v>
      </c>
      <c r="D22">
        <f t="shared" si="4"/>
        <v>0.62443543885340624</v>
      </c>
      <c r="E22" s="105">
        <v>1350.46</v>
      </c>
      <c r="F22" s="105">
        <v>735.46</v>
      </c>
      <c r="G22">
        <f t="shared" si="5"/>
        <v>0.54459961790797207</v>
      </c>
      <c r="H22" s="105">
        <v>575.89</v>
      </c>
      <c r="I22" s="105">
        <v>215.17</v>
      </c>
      <c r="J22">
        <f t="shared" si="6"/>
        <v>0.37363038080188926</v>
      </c>
      <c r="K22" s="192">
        <f t="shared" si="3"/>
        <v>1386.9085</v>
      </c>
      <c r="L22" s="191"/>
      <c r="N22" s="84" t="s">
        <v>387</v>
      </c>
      <c r="O22" s="84"/>
      <c r="P22">
        <f>0.75</f>
        <v>0.75</v>
      </c>
      <c r="T22" s="84" t="s">
        <v>510</v>
      </c>
      <c r="U22" s="193">
        <v>0.1573</v>
      </c>
      <c r="V22" s="194">
        <v>0.12859999999999999</v>
      </c>
      <c r="W22" s="195">
        <f t="shared" si="7"/>
        <v>2.8700000000000003E-2</v>
      </c>
      <c r="X22" s="191"/>
    </row>
    <row r="23" spans="1:24">
      <c r="A23" s="104">
        <v>43535</v>
      </c>
      <c r="B23" s="105">
        <v>1374.85</v>
      </c>
      <c r="C23" s="105">
        <v>859.43</v>
      </c>
      <c r="D23">
        <f t="shared" si="4"/>
        <v>0.62510819362112235</v>
      </c>
      <c r="E23" s="105">
        <v>1350.16</v>
      </c>
      <c r="F23" s="105">
        <v>734.78</v>
      </c>
      <c r="G23">
        <f t="shared" si="5"/>
        <v>0.54421698169105881</v>
      </c>
      <c r="H23" s="105">
        <v>572.35</v>
      </c>
      <c r="I23" s="105">
        <v>214.52</v>
      </c>
      <c r="J23">
        <f t="shared" si="6"/>
        <v>0.37480562592819078</v>
      </c>
      <c r="K23" s="192">
        <f t="shared" si="3"/>
        <v>1386.2275</v>
      </c>
      <c r="L23" s="191"/>
      <c r="N23" s="84" t="s">
        <v>395</v>
      </c>
      <c r="O23" s="84"/>
      <c r="P23" t="s">
        <v>389</v>
      </c>
      <c r="T23" s="84" t="s">
        <v>418</v>
      </c>
      <c r="U23" s="193">
        <v>0.154</v>
      </c>
      <c r="V23" s="194">
        <v>0.1217</v>
      </c>
      <c r="W23" s="195">
        <f t="shared" si="7"/>
        <v>3.2299999999999995E-2</v>
      </c>
      <c r="X23" s="191"/>
    </row>
    <row r="24" spans="1:24">
      <c r="A24" s="104">
        <v>43528</v>
      </c>
      <c r="B24" s="105">
        <v>1368.79</v>
      </c>
      <c r="C24" s="105">
        <v>859.02</v>
      </c>
      <c r="D24">
        <f t="shared" si="4"/>
        <v>0.62757618042212471</v>
      </c>
      <c r="E24" s="105">
        <v>1346.33</v>
      </c>
      <c r="F24" s="105">
        <v>734.53</v>
      </c>
      <c r="G24">
        <f t="shared" si="5"/>
        <v>0.54557946417297398</v>
      </c>
      <c r="H24" s="105">
        <v>569.77</v>
      </c>
      <c r="I24" s="105">
        <v>214.06</v>
      </c>
      <c r="J24">
        <f t="shared" si="6"/>
        <v>0.37569545606121768</v>
      </c>
      <c r="K24" s="192">
        <f t="shared" si="3"/>
        <v>1385.3185000000001</v>
      </c>
      <c r="L24" s="191"/>
      <c r="N24" s="84" t="s">
        <v>388</v>
      </c>
      <c r="O24" s="84"/>
      <c r="P24">
        <v>0.97</v>
      </c>
      <c r="T24" s="84" t="s">
        <v>398</v>
      </c>
      <c r="U24" s="193">
        <v>0.1123</v>
      </c>
      <c r="V24" s="194">
        <v>8.8499999999999995E-2</v>
      </c>
      <c r="W24" s="195">
        <f t="shared" si="7"/>
        <v>2.3800000000000002E-2</v>
      </c>
      <c r="X24" s="191"/>
    </row>
    <row r="25" spans="1:24">
      <c r="A25" s="104">
        <v>43521</v>
      </c>
      <c r="B25" s="105">
        <v>1358.07</v>
      </c>
      <c r="C25" s="105">
        <v>855.49</v>
      </c>
      <c r="D25">
        <f t="shared" si="4"/>
        <v>0.62993071049356808</v>
      </c>
      <c r="E25" s="105">
        <v>1337.42</v>
      </c>
      <c r="F25" s="105">
        <v>731.77</v>
      </c>
      <c r="G25">
        <f t="shared" si="5"/>
        <v>0.54715048376725328</v>
      </c>
      <c r="H25" s="105">
        <v>568.75</v>
      </c>
      <c r="I25" s="105">
        <v>213.55</v>
      </c>
      <c r="J25">
        <f t="shared" si="6"/>
        <v>0.37547252747252752</v>
      </c>
      <c r="K25" s="192">
        <f t="shared" si="3"/>
        <v>1383.7104999999999</v>
      </c>
      <c r="L25" s="191"/>
      <c r="N25" s="84" t="s">
        <v>413</v>
      </c>
      <c r="O25" s="84"/>
      <c r="P25">
        <v>1.6</v>
      </c>
      <c r="T25" s="84" t="s">
        <v>393</v>
      </c>
      <c r="U25" s="193">
        <v>0.23830000000000001</v>
      </c>
      <c r="V25" s="194">
        <v>0.18729999999999999</v>
      </c>
      <c r="W25" s="195">
        <f t="shared" si="7"/>
        <v>5.1000000000000018E-2</v>
      </c>
      <c r="X25" s="191"/>
    </row>
    <row r="26" spans="1:24">
      <c r="A26" s="104">
        <v>43514</v>
      </c>
      <c r="B26" s="105">
        <v>1350.45</v>
      </c>
      <c r="C26" s="105">
        <v>853.4</v>
      </c>
      <c r="D26">
        <f t="shared" si="4"/>
        <v>0.63193750231404344</v>
      </c>
      <c r="E26" s="105">
        <v>1324.28</v>
      </c>
      <c r="F26" s="105">
        <v>729.01</v>
      </c>
      <c r="G26">
        <f t="shared" si="5"/>
        <v>0.5504953635182892</v>
      </c>
      <c r="H26" s="105">
        <v>571.58000000000004</v>
      </c>
      <c r="I26" s="105">
        <v>214.17</v>
      </c>
      <c r="J26">
        <f t="shared" si="6"/>
        <v>0.3746982049756814</v>
      </c>
      <c r="K26" s="192">
        <f t="shared" si="3"/>
        <v>1382.5675000000001</v>
      </c>
      <c r="L26" s="191"/>
      <c r="N26" s="84" t="s">
        <v>390</v>
      </c>
      <c r="O26" s="84"/>
      <c r="P26">
        <v>0.86</v>
      </c>
      <c r="T26" s="84" t="s">
        <v>391</v>
      </c>
      <c r="U26" s="193">
        <v>0.2369</v>
      </c>
      <c r="V26" s="194">
        <v>0.18459999999999999</v>
      </c>
      <c r="W26" s="195">
        <f t="shared" si="7"/>
        <v>5.2300000000000013E-2</v>
      </c>
      <c r="X26" s="191"/>
    </row>
    <row r="27" spans="1:24">
      <c r="A27" s="104">
        <v>43507</v>
      </c>
      <c r="B27" s="105">
        <v>1339.68</v>
      </c>
      <c r="C27" s="105">
        <v>851.46</v>
      </c>
      <c r="D27">
        <f t="shared" si="4"/>
        <v>0.63556968828376925</v>
      </c>
      <c r="E27" s="105">
        <v>1314.55</v>
      </c>
      <c r="F27" s="105">
        <v>727.34</v>
      </c>
      <c r="G27">
        <f t="shared" si="5"/>
        <v>0.55329960823095359</v>
      </c>
      <c r="H27" s="105">
        <v>573.63</v>
      </c>
      <c r="I27" s="105">
        <v>214.65</v>
      </c>
      <c r="J27">
        <f t="shared" si="6"/>
        <v>0.37419591025573978</v>
      </c>
      <c r="K27" s="192">
        <f t="shared" si="3"/>
        <v>1380.952</v>
      </c>
      <c r="L27" s="191"/>
      <c r="N27" s="84" t="s">
        <v>415</v>
      </c>
      <c r="O27" s="84"/>
      <c r="P27">
        <f>1.21</f>
        <v>1.21</v>
      </c>
      <c r="T27" s="84" t="s">
        <v>412</v>
      </c>
      <c r="U27" s="193">
        <v>0.18390000000000001</v>
      </c>
      <c r="V27" s="194">
        <v>0.1414</v>
      </c>
      <c r="W27" s="195">
        <f t="shared" si="7"/>
        <v>4.250000000000001E-2</v>
      </c>
      <c r="X27" s="191"/>
    </row>
    <row r="28" spans="1:24">
      <c r="A28" s="104">
        <v>43500</v>
      </c>
      <c r="B28" s="105">
        <v>1339.08</v>
      </c>
      <c r="C28" s="105">
        <v>851.68</v>
      </c>
      <c r="D28">
        <f t="shared" si="4"/>
        <v>0.63601875914807182</v>
      </c>
      <c r="E28" s="105">
        <v>1312.3</v>
      </c>
      <c r="F28" s="105">
        <v>727.21</v>
      </c>
      <c r="G28">
        <f t="shared" si="5"/>
        <v>0.5541492036881811</v>
      </c>
      <c r="H28" s="105">
        <v>575.54999999999995</v>
      </c>
      <c r="I28" s="105">
        <v>215.28</v>
      </c>
      <c r="J28">
        <f t="shared" si="6"/>
        <v>0.37404222048475372</v>
      </c>
      <c r="K28" s="192">
        <f t="shared" si="3"/>
        <v>1380.8620000000001</v>
      </c>
      <c r="L28" s="191"/>
      <c r="N28" s="84" t="s">
        <v>394</v>
      </c>
      <c r="O28" s="84"/>
      <c r="P28">
        <v>1.24</v>
      </c>
      <c r="T28" s="84" t="s">
        <v>397</v>
      </c>
      <c r="U28" s="193">
        <v>0.1671</v>
      </c>
      <c r="V28" s="194">
        <v>0.1283</v>
      </c>
      <c r="W28" s="195">
        <f t="shared" si="7"/>
        <v>3.8800000000000001E-2</v>
      </c>
      <c r="X28" s="191"/>
    </row>
    <row r="29" spans="1:24">
      <c r="A29" s="104">
        <v>43493</v>
      </c>
      <c r="B29" s="105">
        <v>1340.6</v>
      </c>
      <c r="C29" s="105">
        <v>853.04</v>
      </c>
      <c r="D29">
        <f t="shared" si="4"/>
        <v>0.63631209906012232</v>
      </c>
      <c r="E29" s="105">
        <v>1311.09</v>
      </c>
      <c r="F29" s="105">
        <v>727.67</v>
      </c>
      <c r="G29">
        <f t="shared" si="5"/>
        <v>0.55501147899839065</v>
      </c>
      <c r="H29" s="105">
        <v>578.97</v>
      </c>
      <c r="I29" s="105">
        <v>215.82</v>
      </c>
      <c r="J29">
        <f t="shared" si="6"/>
        <v>0.37276542826053161</v>
      </c>
      <c r="K29" s="192">
        <f t="shared" si="3"/>
        <v>1381.09</v>
      </c>
      <c r="L29" s="191"/>
      <c r="N29" s="84" t="s">
        <v>68</v>
      </c>
      <c r="O29" s="84"/>
      <c r="P29">
        <f>AVERAGE(1.08,0.95)</f>
        <v>1.0150000000000001</v>
      </c>
      <c r="T29" s="84" t="s">
        <v>511</v>
      </c>
      <c r="U29" s="193">
        <v>7.0499999999999993E-2</v>
      </c>
      <c r="V29" s="194">
        <v>5.3900000000000003E-2</v>
      </c>
      <c r="W29" s="195">
        <f t="shared" si="7"/>
        <v>1.659999999999999E-2</v>
      </c>
      <c r="X29" s="191"/>
    </row>
    <row r="30" spans="1:24">
      <c r="A30" s="104">
        <v>43486</v>
      </c>
      <c r="B30" s="105">
        <v>1337.68</v>
      </c>
      <c r="C30" s="105">
        <v>851.13</v>
      </c>
      <c r="D30">
        <f t="shared" si="4"/>
        <v>0.63627324920758321</v>
      </c>
      <c r="E30" s="105">
        <v>1305.47</v>
      </c>
      <c r="F30" s="105">
        <v>725.74</v>
      </c>
      <c r="G30">
        <f t="shared" si="5"/>
        <v>0.55592238810543326</v>
      </c>
      <c r="H30" s="105">
        <v>578.32000000000005</v>
      </c>
      <c r="I30" s="105">
        <v>215.8</v>
      </c>
      <c r="J30">
        <f t="shared" si="6"/>
        <v>0.37314981325217872</v>
      </c>
      <c r="K30" s="192">
        <f t="shared" si="3"/>
        <v>1380.652</v>
      </c>
      <c r="L30" s="191"/>
      <c r="N30" s="84" t="s">
        <v>392</v>
      </c>
      <c r="O30" s="84"/>
      <c r="P30">
        <v>0.88900000000000001</v>
      </c>
      <c r="T30" s="84" t="s">
        <v>395</v>
      </c>
      <c r="U30" s="193">
        <v>0.1893</v>
      </c>
      <c r="V30" s="194">
        <v>0.14449999999999999</v>
      </c>
      <c r="W30" s="195">
        <f t="shared" si="7"/>
        <v>4.4800000000000006E-2</v>
      </c>
      <c r="X30" s="191"/>
    </row>
    <row r="31" spans="1:24">
      <c r="A31" s="104">
        <v>43479</v>
      </c>
      <c r="B31" s="105">
        <v>1335.24</v>
      </c>
      <c r="C31" s="105">
        <v>849.44</v>
      </c>
      <c r="D31">
        <f t="shared" si="4"/>
        <v>0.63617027650459845</v>
      </c>
      <c r="E31" s="105">
        <v>1294.1300000000001</v>
      </c>
      <c r="F31" s="105">
        <v>722.97</v>
      </c>
      <c r="G31">
        <f t="shared" si="5"/>
        <v>0.55865330376391864</v>
      </c>
      <c r="H31" s="105">
        <v>576.30999999999995</v>
      </c>
      <c r="I31" s="105">
        <v>215.57</v>
      </c>
      <c r="J31">
        <f t="shared" si="6"/>
        <v>0.37405215942808562</v>
      </c>
      <c r="K31" s="192">
        <f t="shared" si="3"/>
        <v>1380.2860000000001</v>
      </c>
      <c r="L31" s="191"/>
      <c r="N31" s="84" t="s">
        <v>398</v>
      </c>
      <c r="O31" s="84"/>
      <c r="P31">
        <v>1.3</v>
      </c>
      <c r="T31" s="84" t="s">
        <v>404</v>
      </c>
      <c r="U31" s="193">
        <v>0.1333</v>
      </c>
      <c r="V31" s="194">
        <v>9.9000000000000005E-2</v>
      </c>
      <c r="W31" s="195">
        <f t="shared" si="7"/>
        <v>3.4299999999999997E-2</v>
      </c>
      <c r="X31" s="191"/>
    </row>
    <row r="32" spans="1:24">
      <c r="A32" s="104">
        <v>43472</v>
      </c>
      <c r="B32" s="105">
        <v>1331.73</v>
      </c>
      <c r="C32" s="105">
        <v>848.38</v>
      </c>
      <c r="D32">
        <f t="shared" si="4"/>
        <v>0.63705105389230543</v>
      </c>
      <c r="E32" s="105">
        <v>1287.22</v>
      </c>
      <c r="F32" s="105">
        <v>721.53</v>
      </c>
      <c r="G32">
        <f t="shared" si="5"/>
        <v>0.56053355292801543</v>
      </c>
      <c r="H32" s="105">
        <v>584.61</v>
      </c>
      <c r="I32" s="105">
        <v>217</v>
      </c>
      <c r="J32">
        <f t="shared" si="6"/>
        <v>0.37118762935974409</v>
      </c>
      <c r="K32" s="192">
        <f t="shared" si="3"/>
        <v>1379.7595000000001</v>
      </c>
      <c r="L32" s="191"/>
      <c r="N32" s="84" t="s">
        <v>418</v>
      </c>
      <c r="O32" s="84"/>
      <c r="P32">
        <v>1.31</v>
      </c>
      <c r="T32" s="84" t="s">
        <v>390</v>
      </c>
      <c r="U32" s="193">
        <v>0.1348</v>
      </c>
      <c r="V32" s="194">
        <v>9.8900000000000002E-2</v>
      </c>
      <c r="W32" s="195">
        <f t="shared" si="7"/>
        <v>3.5900000000000001E-2</v>
      </c>
      <c r="X32" s="191"/>
    </row>
    <row r="33" spans="1:24">
      <c r="A33" s="104">
        <v>43451</v>
      </c>
      <c r="B33" s="105">
        <v>1363.66</v>
      </c>
      <c r="C33" s="105">
        <v>851.07</v>
      </c>
      <c r="D33">
        <f t="shared" si="4"/>
        <v>0.6241071821421762</v>
      </c>
      <c r="E33" s="105">
        <v>1326.88</v>
      </c>
      <c r="F33" s="105">
        <v>725.65</v>
      </c>
      <c r="G33">
        <f t="shared" si="5"/>
        <v>0.5468844205956831</v>
      </c>
      <c r="H33" s="105">
        <v>594.95000000000005</v>
      </c>
      <c r="I33" s="105">
        <v>218.41</v>
      </c>
      <c r="J33">
        <f t="shared" si="6"/>
        <v>0.36710647953609543</v>
      </c>
      <c r="K33" s="192">
        <f t="shared" si="3"/>
        <v>1384.549</v>
      </c>
      <c r="L33" s="191"/>
      <c r="N33" s="84" t="s">
        <v>391</v>
      </c>
      <c r="O33" s="84"/>
      <c r="P33" t="s">
        <v>389</v>
      </c>
      <c r="T33" s="84" t="s">
        <v>409</v>
      </c>
      <c r="U33" s="193">
        <v>0.17510000000000001</v>
      </c>
      <c r="V33" s="194">
        <v>0.12540000000000001</v>
      </c>
      <c r="W33" s="195">
        <f t="shared" si="7"/>
        <v>4.9699999999999994E-2</v>
      </c>
      <c r="X33" s="191"/>
    </row>
    <row r="34" spans="1:24">
      <c r="A34" s="104">
        <v>43444</v>
      </c>
      <c r="B34" s="105">
        <v>1376.54</v>
      </c>
      <c r="C34" s="105">
        <v>852.58</v>
      </c>
      <c r="D34">
        <f t="shared" si="4"/>
        <v>0.61936449358536627</v>
      </c>
      <c r="E34" s="105">
        <v>1340.34</v>
      </c>
      <c r="F34" s="105">
        <v>727.54</v>
      </c>
      <c r="G34">
        <f t="shared" si="5"/>
        <v>0.54280257248160912</v>
      </c>
      <c r="H34" s="105">
        <v>602.15</v>
      </c>
      <c r="I34" s="105">
        <v>219.64</v>
      </c>
      <c r="J34">
        <f t="shared" si="6"/>
        <v>0.36475961139251017</v>
      </c>
      <c r="K34" s="192">
        <f t="shared" si="3"/>
        <v>1386.481</v>
      </c>
      <c r="L34" s="191"/>
      <c r="N34" s="84" t="s">
        <v>67</v>
      </c>
      <c r="O34" s="84"/>
      <c r="P34">
        <v>0.96</v>
      </c>
      <c r="T34" s="84" t="s">
        <v>396</v>
      </c>
      <c r="U34" s="193">
        <v>0.10970000000000001</v>
      </c>
      <c r="V34" s="194">
        <v>7.7100000000000002E-2</v>
      </c>
      <c r="W34" s="195">
        <f t="shared" si="7"/>
        <v>3.2600000000000004E-2</v>
      </c>
      <c r="X34" s="191"/>
    </row>
    <row r="35" spans="1:24">
      <c r="A35" s="104">
        <v>43437</v>
      </c>
      <c r="B35" s="105">
        <v>1398.56</v>
      </c>
      <c r="C35" s="105">
        <v>857.88</v>
      </c>
      <c r="D35">
        <f t="shared" si="4"/>
        <v>0.61340235670975862</v>
      </c>
      <c r="E35" s="105">
        <v>1361.61</v>
      </c>
      <c r="F35" s="105">
        <v>732.17</v>
      </c>
      <c r="G35">
        <f t="shared" si="5"/>
        <v>0.53772372412071001</v>
      </c>
      <c r="H35" s="105">
        <v>615.41999999999996</v>
      </c>
      <c r="I35" s="105">
        <v>222.12</v>
      </c>
      <c r="J35">
        <f t="shared" si="6"/>
        <v>0.36092424685580582</v>
      </c>
      <c r="K35" s="192">
        <f t="shared" si="3"/>
        <v>1389.7840000000001</v>
      </c>
      <c r="L35" s="191"/>
      <c r="N35" s="84" t="s">
        <v>411</v>
      </c>
      <c r="O35" s="84"/>
      <c r="P35" t="s">
        <v>389</v>
      </c>
      <c r="T35" s="84" t="s">
        <v>400</v>
      </c>
      <c r="U35" s="193">
        <v>0.1706</v>
      </c>
      <c r="V35" s="194">
        <v>0.1187</v>
      </c>
      <c r="W35" s="195">
        <f t="shared" si="7"/>
        <v>5.1900000000000002E-2</v>
      </c>
      <c r="X35" s="191"/>
    </row>
    <row r="36" spans="1:24">
      <c r="A36" s="104">
        <v>43430</v>
      </c>
      <c r="B36" s="105">
        <v>1424.19</v>
      </c>
      <c r="C36" s="105">
        <v>862.99</v>
      </c>
      <c r="D36">
        <f t="shared" si="4"/>
        <v>0.6059514531066782</v>
      </c>
      <c r="E36" s="105">
        <v>1386.42</v>
      </c>
      <c r="F36" s="105">
        <v>736.91</v>
      </c>
      <c r="G36">
        <f t="shared" si="5"/>
        <v>0.53152003000533743</v>
      </c>
      <c r="H36" s="105">
        <v>622.16</v>
      </c>
      <c r="I36" s="105">
        <v>223.24</v>
      </c>
      <c r="J36">
        <f t="shared" si="6"/>
        <v>0.35881445287385882</v>
      </c>
      <c r="K36" s="192">
        <f t="shared" si="3"/>
        <v>1393.6285</v>
      </c>
      <c r="L36" s="191"/>
      <c r="N36" s="84" t="s">
        <v>408</v>
      </c>
      <c r="O36" s="84"/>
      <c r="P36">
        <v>1.33</v>
      </c>
      <c r="T36" s="84" t="s">
        <v>386</v>
      </c>
      <c r="U36" s="193">
        <v>0.27329999999999999</v>
      </c>
      <c r="V36" s="194">
        <v>0.1898</v>
      </c>
      <c r="W36" s="195">
        <f t="shared" si="7"/>
        <v>8.3499999999999991E-2</v>
      </c>
      <c r="X36" s="191"/>
    </row>
    <row r="37" spans="1:24">
      <c r="A37" s="104">
        <v>43423</v>
      </c>
      <c r="B37" s="105">
        <v>1444.23</v>
      </c>
      <c r="C37" s="105">
        <v>865.48</v>
      </c>
      <c r="D37">
        <f t="shared" si="4"/>
        <v>0.59926742970302516</v>
      </c>
      <c r="E37" s="105">
        <v>1403.69</v>
      </c>
      <c r="F37" s="105">
        <v>739.12</v>
      </c>
      <c r="G37">
        <f t="shared" si="5"/>
        <v>0.52655500858451654</v>
      </c>
      <c r="H37" s="105">
        <v>624.92999999999995</v>
      </c>
      <c r="I37" s="105">
        <v>223.41</v>
      </c>
      <c r="J37">
        <f t="shared" si="6"/>
        <v>0.35749603955643033</v>
      </c>
      <c r="K37" s="192">
        <f t="shared" si="3"/>
        <v>1396.6345000000001</v>
      </c>
      <c r="L37" s="191"/>
      <c r="N37" s="84" t="s">
        <v>396</v>
      </c>
      <c r="O37" s="84"/>
      <c r="P37">
        <v>0.94</v>
      </c>
      <c r="T37" s="84" t="s">
        <v>405</v>
      </c>
      <c r="U37" s="193">
        <v>0.1613</v>
      </c>
      <c r="V37" s="194">
        <v>0.1108</v>
      </c>
      <c r="W37" s="195">
        <f t="shared" si="7"/>
        <v>5.0500000000000003E-2</v>
      </c>
      <c r="X37" s="191"/>
    </row>
    <row r="38" spans="1:24">
      <c r="A38" s="104">
        <v>43416</v>
      </c>
      <c r="B38" s="105">
        <v>1465.66</v>
      </c>
      <c r="C38" s="105">
        <v>871.31</v>
      </c>
      <c r="D38">
        <f t="shared" si="4"/>
        <v>0.59448303153528093</v>
      </c>
      <c r="E38" s="105">
        <v>1421.13</v>
      </c>
      <c r="F38" s="105">
        <v>743.55</v>
      </c>
      <c r="G38">
        <f t="shared" si="5"/>
        <v>0.52321040298917054</v>
      </c>
      <c r="H38" s="105">
        <v>631.66999999999996</v>
      </c>
      <c r="I38" s="105">
        <v>224.92</v>
      </c>
      <c r="J38">
        <f t="shared" si="6"/>
        <v>0.35607199962005476</v>
      </c>
      <c r="K38" s="192">
        <f t="shared" si="3"/>
        <v>1399.8489999999999</v>
      </c>
      <c r="L38" s="191"/>
      <c r="N38" s="84" t="s">
        <v>397</v>
      </c>
      <c r="O38" s="84"/>
      <c r="P38">
        <v>0.68</v>
      </c>
      <c r="T38" s="84" t="s">
        <v>411</v>
      </c>
      <c r="U38" s="193">
        <v>0.15310000000000001</v>
      </c>
      <c r="V38" s="194">
        <v>0.10349999999999999</v>
      </c>
      <c r="W38" s="195">
        <f t="shared" si="7"/>
        <v>4.9600000000000019E-2</v>
      </c>
      <c r="X38" s="191"/>
    </row>
    <row r="39" spans="1:24">
      <c r="A39" s="104">
        <v>43409</v>
      </c>
      <c r="B39" s="105">
        <v>1480.91</v>
      </c>
      <c r="C39" s="105">
        <v>873.87</v>
      </c>
      <c r="D39">
        <f t="shared" si="4"/>
        <v>0.59008987717011829</v>
      </c>
      <c r="E39" s="105">
        <v>1429.3</v>
      </c>
      <c r="F39" s="105">
        <v>744.86</v>
      </c>
      <c r="G39">
        <f t="shared" si="5"/>
        <v>0.52113622052753095</v>
      </c>
      <c r="H39" s="105">
        <v>635.03</v>
      </c>
      <c r="I39" s="105">
        <v>225.41</v>
      </c>
      <c r="J39">
        <f t="shared" si="6"/>
        <v>0.35495960820748629</v>
      </c>
      <c r="K39" s="192">
        <f t="shared" si="3"/>
        <v>1402.1365000000001</v>
      </c>
      <c r="L39" s="191"/>
      <c r="N39" s="84" t="s">
        <v>399</v>
      </c>
      <c r="O39" s="84"/>
      <c r="P39" t="s">
        <v>389</v>
      </c>
      <c r="T39" s="84" t="s">
        <v>415</v>
      </c>
      <c r="U39" s="193">
        <v>0.16120000000000001</v>
      </c>
      <c r="V39" s="194">
        <v>0.1074</v>
      </c>
      <c r="W39" s="195">
        <f t="shared" si="7"/>
        <v>5.3800000000000014E-2</v>
      </c>
      <c r="X39" s="191"/>
    </row>
    <row r="40" spans="1:24">
      <c r="A40" s="104">
        <v>43402</v>
      </c>
      <c r="B40" s="105">
        <v>1479.62</v>
      </c>
      <c r="C40" s="105">
        <v>871.94</v>
      </c>
      <c r="D40">
        <f t="shared" si="4"/>
        <v>0.58929995539395263</v>
      </c>
      <c r="E40" s="105">
        <v>1421.18</v>
      </c>
      <c r="F40" s="105">
        <v>742.36</v>
      </c>
      <c r="G40">
        <f t="shared" si="5"/>
        <v>0.52235466302649913</v>
      </c>
      <c r="H40" s="105">
        <v>631.62</v>
      </c>
      <c r="I40" s="105">
        <v>224.78</v>
      </c>
      <c r="J40">
        <f t="shared" si="6"/>
        <v>0.35587853456192015</v>
      </c>
      <c r="K40" s="192">
        <f t="shared" si="3"/>
        <v>1401.943</v>
      </c>
      <c r="L40" s="191"/>
      <c r="N40" s="84" t="s">
        <v>400</v>
      </c>
      <c r="O40" s="84"/>
      <c r="P40">
        <v>1.1299999999999999</v>
      </c>
      <c r="T40" s="84" t="s">
        <v>402</v>
      </c>
      <c r="U40" s="193">
        <v>0.14099999999999999</v>
      </c>
      <c r="V40" s="194">
        <v>9.2899999999999996E-2</v>
      </c>
      <c r="W40" s="195">
        <f t="shared" si="7"/>
        <v>4.809999999999999E-2</v>
      </c>
      <c r="X40" s="191"/>
    </row>
    <row r="41" spans="1:24">
      <c r="A41" s="104">
        <v>43395</v>
      </c>
      <c r="B41" s="105">
        <v>1480.33</v>
      </c>
      <c r="C41" s="105">
        <v>872.95</v>
      </c>
      <c r="D41">
        <f t="shared" si="4"/>
        <v>0.58969959400944394</v>
      </c>
      <c r="E41" s="105">
        <v>1416.16</v>
      </c>
      <c r="F41" s="105">
        <v>742.08</v>
      </c>
      <c r="G41">
        <f t="shared" si="5"/>
        <v>0.52400858660038419</v>
      </c>
      <c r="H41" s="105">
        <v>626.62</v>
      </c>
      <c r="I41" s="105">
        <v>224.12</v>
      </c>
      <c r="J41">
        <f t="shared" si="6"/>
        <v>0.35766493249497305</v>
      </c>
      <c r="K41" s="192">
        <f t="shared" si="3"/>
        <v>1402.0495000000001</v>
      </c>
      <c r="L41" s="191"/>
      <c r="N41" s="84" t="s">
        <v>409</v>
      </c>
      <c r="O41" s="84"/>
      <c r="P41">
        <v>1.77</v>
      </c>
      <c r="T41" s="84" t="s">
        <v>407</v>
      </c>
      <c r="U41" s="193">
        <v>0.19170000000000001</v>
      </c>
      <c r="V41" s="194">
        <v>0.1258</v>
      </c>
      <c r="W41" s="195">
        <f t="shared" si="7"/>
        <v>6.5900000000000014E-2</v>
      </c>
      <c r="X41" s="191"/>
    </row>
    <row r="42" spans="1:24">
      <c r="A42" s="104">
        <v>43388</v>
      </c>
      <c r="B42" s="105">
        <v>1485.53</v>
      </c>
      <c r="C42" s="105">
        <v>874.26</v>
      </c>
      <c r="D42">
        <f t="shared" si="4"/>
        <v>0.58851722954097196</v>
      </c>
      <c r="E42" s="105">
        <v>1418.21</v>
      </c>
      <c r="F42" s="105">
        <v>742.71</v>
      </c>
      <c r="G42">
        <f t="shared" si="5"/>
        <v>0.5236953624639511</v>
      </c>
      <c r="H42" s="105">
        <v>624.28</v>
      </c>
      <c r="I42" s="105">
        <v>223.69</v>
      </c>
      <c r="J42">
        <f t="shared" si="6"/>
        <v>0.35831678093163327</v>
      </c>
      <c r="K42" s="192">
        <f t="shared" si="3"/>
        <v>1402.8295000000001</v>
      </c>
      <c r="L42" s="191"/>
      <c r="N42" s="84" t="s">
        <v>402</v>
      </c>
      <c r="O42" s="84"/>
      <c r="P42">
        <v>0.87</v>
      </c>
      <c r="T42" s="84" t="s">
        <v>394</v>
      </c>
      <c r="U42" s="193">
        <v>0.1754</v>
      </c>
      <c r="V42" s="194">
        <v>0.1134</v>
      </c>
      <c r="W42" s="195">
        <f t="shared" si="7"/>
        <v>6.2E-2</v>
      </c>
      <c r="X42" s="191"/>
    </row>
    <row r="43" spans="1:24">
      <c r="A43" s="104">
        <v>43381</v>
      </c>
      <c r="B43" s="105">
        <v>1489.76</v>
      </c>
      <c r="C43" s="105">
        <v>874.85</v>
      </c>
      <c r="D43">
        <f t="shared" si="4"/>
        <v>0.58724224036086348</v>
      </c>
      <c r="E43" s="105">
        <v>1409.25</v>
      </c>
      <c r="F43" s="105">
        <v>741.03</v>
      </c>
      <c r="G43">
        <f t="shared" si="5"/>
        <v>0.52583288983501864</v>
      </c>
      <c r="H43" s="105">
        <v>617.15</v>
      </c>
      <c r="I43" s="105">
        <v>222.31</v>
      </c>
      <c r="J43">
        <f t="shared" si="6"/>
        <v>0.36022036781981692</v>
      </c>
      <c r="K43" s="192">
        <f t="shared" si="3"/>
        <v>1403.4639999999999</v>
      </c>
      <c r="L43" s="191"/>
      <c r="N43" s="84" t="s">
        <v>403</v>
      </c>
      <c r="O43" s="84"/>
      <c r="P43">
        <v>0.92</v>
      </c>
      <c r="T43" s="84" t="s">
        <v>401</v>
      </c>
      <c r="U43" s="193">
        <v>0.1966</v>
      </c>
      <c r="V43" s="194">
        <v>0.1232</v>
      </c>
      <c r="W43" s="195">
        <f t="shared" si="7"/>
        <v>7.3399999999999993E-2</v>
      </c>
      <c r="X43" s="191"/>
    </row>
    <row r="44" spans="1:24">
      <c r="A44" s="104">
        <v>43374</v>
      </c>
      <c r="B44" s="105">
        <v>1474.65</v>
      </c>
      <c r="C44" s="105">
        <v>871.37</v>
      </c>
      <c r="D44">
        <f t="shared" si="4"/>
        <v>0.5908995354829959</v>
      </c>
      <c r="E44" s="105">
        <v>1381.43</v>
      </c>
      <c r="F44" s="105">
        <v>735.68</v>
      </c>
      <c r="G44">
        <f t="shared" si="5"/>
        <v>0.53254960439544519</v>
      </c>
      <c r="H44" s="105">
        <v>611.37</v>
      </c>
      <c r="I44" s="105">
        <v>221.53</v>
      </c>
      <c r="J44">
        <f t="shared" si="6"/>
        <v>0.36235013167149188</v>
      </c>
      <c r="K44" s="192">
        <f t="shared" si="3"/>
        <v>1401.1975</v>
      </c>
      <c r="L44" s="191"/>
      <c r="N44" s="84" t="s">
        <v>416</v>
      </c>
      <c r="O44" s="84"/>
      <c r="P44">
        <v>0.94</v>
      </c>
      <c r="T44" s="84" t="s">
        <v>67</v>
      </c>
      <c r="U44" s="193">
        <v>0.20669999999999999</v>
      </c>
      <c r="V44" s="194">
        <v>0.1285</v>
      </c>
      <c r="W44" s="195">
        <f t="shared" si="7"/>
        <v>7.8199999999999992E-2</v>
      </c>
      <c r="X44" s="191"/>
    </row>
    <row r="45" spans="1:24">
      <c r="A45" s="104">
        <v>43367</v>
      </c>
      <c r="B45" s="105">
        <v>1474.8</v>
      </c>
      <c r="C45" s="105">
        <v>870.81</v>
      </c>
      <c r="D45">
        <f t="shared" si="4"/>
        <v>0.59045972335231889</v>
      </c>
      <c r="E45" s="105">
        <v>1374.45</v>
      </c>
      <c r="F45" s="105">
        <v>734.07</v>
      </c>
      <c r="G45">
        <f t="shared" si="5"/>
        <v>0.53408272399869039</v>
      </c>
      <c r="H45" s="105">
        <v>604.64</v>
      </c>
      <c r="I45" s="105">
        <v>220.16</v>
      </c>
      <c r="J45">
        <f t="shared" si="6"/>
        <v>0.36411749139984123</v>
      </c>
      <c r="K45" s="192">
        <f t="shared" si="3"/>
        <v>1401.22</v>
      </c>
      <c r="L45" s="191"/>
      <c r="N45" s="84" t="s">
        <v>406</v>
      </c>
      <c r="O45" s="84"/>
      <c r="P45">
        <v>1.08</v>
      </c>
      <c r="T45" s="84" t="s">
        <v>392</v>
      </c>
      <c r="U45" s="193">
        <v>0.18659999999999999</v>
      </c>
      <c r="V45" s="194">
        <v>0.1132</v>
      </c>
      <c r="W45" s="195">
        <f t="shared" si="7"/>
        <v>7.3399999999999993E-2</v>
      </c>
      <c r="X45" s="191"/>
    </row>
    <row r="46" spans="1:24">
      <c r="A46" s="104">
        <v>43360</v>
      </c>
      <c r="B46" s="105">
        <v>1480.38</v>
      </c>
      <c r="C46" s="105">
        <v>872.37</v>
      </c>
      <c r="D46">
        <f t="shared" si="4"/>
        <v>0.58928788554290112</v>
      </c>
      <c r="E46" s="105">
        <v>1378.44</v>
      </c>
      <c r="F46" s="105">
        <v>735.23</v>
      </c>
      <c r="G46">
        <f t="shared" si="5"/>
        <v>0.53337831171469197</v>
      </c>
      <c r="H46" s="105">
        <v>600.14</v>
      </c>
      <c r="I46" s="105">
        <v>219.39</v>
      </c>
      <c r="J46">
        <f t="shared" si="6"/>
        <v>0.36556470156963372</v>
      </c>
      <c r="K46" s="192">
        <f t="shared" si="3"/>
        <v>1402.057</v>
      </c>
      <c r="L46" s="191"/>
      <c r="N46" s="84" t="s">
        <v>405</v>
      </c>
      <c r="O46" s="84"/>
      <c r="P46">
        <v>1.1000000000000001</v>
      </c>
      <c r="T46" s="84" t="s">
        <v>406</v>
      </c>
      <c r="U46" s="193">
        <v>0.15659999999999999</v>
      </c>
      <c r="V46" s="194">
        <v>9.4200000000000006E-2</v>
      </c>
      <c r="W46" s="195">
        <f t="shared" si="7"/>
        <v>6.2399999999999983E-2</v>
      </c>
      <c r="X46" s="191"/>
    </row>
    <row r="47" spans="1:24">
      <c r="A47" s="104">
        <v>43353</v>
      </c>
      <c r="B47" s="105">
        <v>1478.28</v>
      </c>
      <c r="C47" s="105">
        <v>871.27</v>
      </c>
      <c r="D47">
        <f t="shared" si="4"/>
        <v>0.58938090212950189</v>
      </c>
      <c r="E47" s="105">
        <v>1376.58</v>
      </c>
      <c r="F47" s="105">
        <v>734.37</v>
      </c>
      <c r="G47">
        <f t="shared" si="5"/>
        <v>0.53347426230222728</v>
      </c>
      <c r="H47" s="105">
        <v>595.32000000000005</v>
      </c>
      <c r="I47" s="105">
        <v>218.34</v>
      </c>
      <c r="J47">
        <f t="shared" si="6"/>
        <v>0.36676073372303969</v>
      </c>
      <c r="K47" s="192">
        <f t="shared" si="3"/>
        <v>1401.742</v>
      </c>
      <c r="L47" s="191"/>
      <c r="N47" s="84" t="s">
        <v>393</v>
      </c>
      <c r="O47" s="84"/>
      <c r="P47">
        <v>0.94</v>
      </c>
      <c r="T47" s="84" t="s">
        <v>68</v>
      </c>
      <c r="U47" s="193">
        <v>0.29499999999999998</v>
      </c>
      <c r="V47" s="194">
        <v>0.13789999999999999</v>
      </c>
      <c r="W47" s="195">
        <f t="shared" si="7"/>
        <v>0.15709999999999999</v>
      </c>
      <c r="X47" s="191"/>
    </row>
    <row r="48" spans="1:24">
      <c r="A48" s="104">
        <v>43346</v>
      </c>
      <c r="B48" s="105">
        <v>1468.82</v>
      </c>
      <c r="C48" s="105">
        <v>868.52</v>
      </c>
      <c r="D48">
        <f t="shared" si="4"/>
        <v>0.59130458463256219</v>
      </c>
      <c r="E48" s="105">
        <v>1361.53</v>
      </c>
      <c r="F48" s="105">
        <v>731.11</v>
      </c>
      <c r="G48">
        <f t="shared" si="5"/>
        <v>0.53697678347153577</v>
      </c>
      <c r="H48" s="105">
        <v>591.98</v>
      </c>
      <c r="I48" s="105">
        <v>217.93</v>
      </c>
      <c r="J48">
        <f t="shared" si="6"/>
        <v>0.36813743707557689</v>
      </c>
      <c r="K48" s="192">
        <f t="shared" si="3"/>
        <v>1400.3229999999999</v>
      </c>
      <c r="L48" s="191"/>
      <c r="N48" s="84" t="s">
        <v>407</v>
      </c>
      <c r="O48" s="84"/>
      <c r="P48">
        <v>1.87</v>
      </c>
      <c r="T48" s="84" t="s">
        <v>403</v>
      </c>
      <c r="U48" s="193">
        <v>0.22459999999999999</v>
      </c>
      <c r="V48" s="194">
        <v>0.1007</v>
      </c>
      <c r="W48" s="195">
        <f t="shared" si="7"/>
        <v>0.1239</v>
      </c>
      <c r="X48" s="191"/>
    </row>
    <row r="49" spans="1:24">
      <c r="A49" s="104">
        <v>43339</v>
      </c>
      <c r="B49" s="105">
        <v>1463.7</v>
      </c>
      <c r="C49" s="105">
        <v>867.54</v>
      </c>
      <c r="D49">
        <f t="shared" si="4"/>
        <v>0.59270342283254762</v>
      </c>
      <c r="E49" s="105">
        <v>1353.89</v>
      </c>
      <c r="F49" s="105">
        <v>729.8</v>
      </c>
      <c r="G49">
        <f t="shared" si="5"/>
        <v>0.53903936065706959</v>
      </c>
      <c r="H49" s="105">
        <v>592.13</v>
      </c>
      <c r="I49" s="105">
        <v>218.15</v>
      </c>
      <c r="J49">
        <f t="shared" si="6"/>
        <v>0.36841571952105112</v>
      </c>
      <c r="K49" s="192">
        <f t="shared" ref="K49:K82" si="8">B49*0.15+1.18*1000</f>
        <v>1399.5550000000001</v>
      </c>
      <c r="L49" s="191"/>
      <c r="N49" s="84" t="s">
        <v>417</v>
      </c>
      <c r="O49" s="84"/>
      <c r="P49">
        <v>1.32</v>
      </c>
      <c r="T49" s="84" t="s">
        <v>413</v>
      </c>
      <c r="U49" s="193">
        <v>0.31259999999999999</v>
      </c>
      <c r="V49" s="194">
        <v>0.1011</v>
      </c>
      <c r="W49" s="195">
        <f t="shared" si="7"/>
        <v>0.21149999999999999</v>
      </c>
      <c r="X49" s="191"/>
    </row>
    <row r="50" spans="1:24">
      <c r="A50" s="104">
        <v>43332</v>
      </c>
      <c r="B50" s="105">
        <v>1461</v>
      </c>
      <c r="C50" s="105">
        <v>868.19</v>
      </c>
      <c r="D50">
        <f t="shared" si="4"/>
        <v>0.59424366872005474</v>
      </c>
      <c r="E50" s="105">
        <v>1351.35</v>
      </c>
      <c r="F50" s="105">
        <v>729.98</v>
      </c>
      <c r="G50">
        <f t="shared" si="5"/>
        <v>0.54018574018574028</v>
      </c>
      <c r="H50" s="105">
        <v>590.94000000000005</v>
      </c>
      <c r="I50" s="105">
        <v>217.67</v>
      </c>
      <c r="J50">
        <f t="shared" si="6"/>
        <v>0.36834534808948449</v>
      </c>
      <c r="K50" s="192">
        <f t="shared" si="8"/>
        <v>1399.15</v>
      </c>
      <c r="L50" s="191"/>
      <c r="N50" s="84" t="s">
        <v>412</v>
      </c>
      <c r="O50" s="84"/>
      <c r="P50">
        <v>0.78</v>
      </c>
      <c r="T50" s="84" t="s">
        <v>408</v>
      </c>
      <c r="U50" s="193" t="s">
        <v>389</v>
      </c>
      <c r="V50" s="194" t="s">
        <v>389</v>
      </c>
      <c r="W50" s="196"/>
      <c r="X50" s="191"/>
    </row>
    <row r="51" spans="1:24">
      <c r="A51" s="104">
        <v>43325</v>
      </c>
      <c r="B51" s="105">
        <v>1460.62</v>
      </c>
      <c r="C51" s="105">
        <v>868.54</v>
      </c>
      <c r="D51">
        <f t="shared" si="4"/>
        <v>0.59463789349728202</v>
      </c>
      <c r="E51" s="105">
        <v>1347.81</v>
      </c>
      <c r="F51" s="105">
        <v>729.58</v>
      </c>
      <c r="G51">
        <f t="shared" si="5"/>
        <v>0.54130775109251306</v>
      </c>
      <c r="H51" s="105">
        <v>592.71</v>
      </c>
      <c r="I51" s="105">
        <v>218.06</v>
      </c>
      <c r="J51">
        <f t="shared" si="6"/>
        <v>0.36790335914696898</v>
      </c>
      <c r="K51" s="192">
        <f t="shared" si="8"/>
        <v>1399.0930000000001</v>
      </c>
      <c r="L51" s="191"/>
      <c r="N51" s="84" t="s">
        <v>419</v>
      </c>
      <c r="O51" s="84"/>
      <c r="P51">
        <f>AVERAGE(P20:P50)</f>
        <v>1.1025555555555557</v>
      </c>
      <c r="Q51">
        <f>0.5</f>
        <v>0.5</v>
      </c>
      <c r="T51" s="84" t="s">
        <v>512</v>
      </c>
      <c r="U51" s="193" t="s">
        <v>389</v>
      </c>
      <c r="V51" s="194" t="s">
        <v>389</v>
      </c>
      <c r="W51" s="196"/>
      <c r="X51" s="191"/>
    </row>
    <row r="52" spans="1:24">
      <c r="A52" s="104">
        <v>43318</v>
      </c>
      <c r="B52" s="105">
        <v>1461.97</v>
      </c>
      <c r="C52" s="105">
        <v>869.41</v>
      </c>
      <c r="D52">
        <f t="shared" si="4"/>
        <v>0.59468388544224571</v>
      </c>
      <c r="E52" s="105">
        <v>1348.04</v>
      </c>
      <c r="F52" s="105">
        <v>730.09</v>
      </c>
      <c r="G52">
        <f t="shared" si="5"/>
        <v>0.54159372125456218</v>
      </c>
      <c r="H52" s="105">
        <v>595.69000000000005</v>
      </c>
      <c r="I52" s="105">
        <v>218.86</v>
      </c>
      <c r="J52">
        <f t="shared" si="6"/>
        <v>0.36740586546693749</v>
      </c>
      <c r="K52" s="192">
        <f t="shared" si="8"/>
        <v>1399.2954999999999</v>
      </c>
      <c r="L52" s="191"/>
      <c r="T52" s="84" t="s">
        <v>513</v>
      </c>
      <c r="U52" s="193" t="s">
        <v>389</v>
      </c>
      <c r="V52" s="194" t="s">
        <v>389</v>
      </c>
      <c r="W52" s="196"/>
      <c r="X52" s="191"/>
    </row>
    <row r="53" spans="1:24">
      <c r="A53" s="104">
        <v>43311</v>
      </c>
      <c r="B53" s="105">
        <v>1454.67</v>
      </c>
      <c r="C53" s="105">
        <v>868.49</v>
      </c>
      <c r="D53">
        <f t="shared" si="4"/>
        <v>0.59703575381357965</v>
      </c>
      <c r="E53" s="105">
        <v>1344.93</v>
      </c>
      <c r="F53" s="105">
        <v>729.75</v>
      </c>
      <c r="G53">
        <f t="shared" si="5"/>
        <v>0.54259329481831764</v>
      </c>
      <c r="H53" s="105">
        <v>595.25</v>
      </c>
      <c r="I53" s="105">
        <v>218.76</v>
      </c>
      <c r="J53">
        <f t="shared" si="6"/>
        <v>0.36750944981100375</v>
      </c>
      <c r="K53" s="192">
        <f t="shared" si="8"/>
        <v>1398.2004999999999</v>
      </c>
      <c r="L53" s="191"/>
      <c r="T53" s="84" t="s">
        <v>410</v>
      </c>
      <c r="U53" s="193">
        <f>AVERAGE(U20:U52)</f>
        <v>0.17650666666666665</v>
      </c>
      <c r="V53" s="194"/>
      <c r="W53" s="197">
        <f>AVERAGE(W20:W49)</f>
        <v>5.836333333333333E-2</v>
      </c>
      <c r="X53" s="191">
        <f>W53/U53</f>
        <v>0.33065795437377249</v>
      </c>
    </row>
    <row r="54" spans="1:24">
      <c r="A54" s="104">
        <v>43304</v>
      </c>
      <c r="B54" s="105">
        <v>1446.45</v>
      </c>
      <c r="C54" s="105">
        <v>866.22</v>
      </c>
      <c r="D54">
        <f t="shared" si="4"/>
        <v>0.59885927615887169</v>
      </c>
      <c r="E54" s="105">
        <v>1340.9</v>
      </c>
      <c r="F54" s="105">
        <v>728.44</v>
      </c>
      <c r="G54">
        <f t="shared" si="5"/>
        <v>0.54324707286151097</v>
      </c>
      <c r="H54" s="105">
        <v>592.71</v>
      </c>
      <c r="I54" s="105">
        <v>217.92</v>
      </c>
      <c r="J54">
        <f t="shared" si="6"/>
        <v>0.36766715594472843</v>
      </c>
      <c r="K54" s="192">
        <f t="shared" si="8"/>
        <v>1396.9675</v>
      </c>
      <c r="L54" s="191"/>
    </row>
    <row r="55" spans="1:24">
      <c r="A55" s="104">
        <v>43297</v>
      </c>
      <c r="B55" s="105">
        <v>1454.53</v>
      </c>
      <c r="C55" s="105">
        <v>869.18</v>
      </c>
      <c r="D55">
        <f t="shared" si="4"/>
        <v>0.59756759915574098</v>
      </c>
      <c r="E55" s="105">
        <v>1350.41</v>
      </c>
      <c r="F55" s="105">
        <v>730.65</v>
      </c>
      <c r="G55">
        <f t="shared" si="5"/>
        <v>0.54105790093379047</v>
      </c>
      <c r="H55" s="105">
        <v>590.97</v>
      </c>
      <c r="I55" s="105">
        <v>217.72</v>
      </c>
      <c r="J55">
        <f t="shared" si="6"/>
        <v>0.3684112560705281</v>
      </c>
      <c r="K55" s="192">
        <f t="shared" si="8"/>
        <v>1398.1795</v>
      </c>
      <c r="L55" s="191"/>
    </row>
    <row r="56" spans="1:24">
      <c r="A56" s="104">
        <v>43290</v>
      </c>
      <c r="B56" s="105">
        <v>1453.74</v>
      </c>
      <c r="C56" s="105">
        <v>869</v>
      </c>
      <c r="D56">
        <f t="shared" si="4"/>
        <v>0.59776851431480182</v>
      </c>
      <c r="E56" s="105">
        <v>1350.81</v>
      </c>
      <c r="F56" s="105">
        <v>730.48</v>
      </c>
      <c r="G56">
        <f t="shared" si="5"/>
        <v>0.54077183319637856</v>
      </c>
      <c r="H56" s="105">
        <v>582.66</v>
      </c>
      <c r="I56" s="105">
        <v>216.04</v>
      </c>
      <c r="J56">
        <f t="shared" si="6"/>
        <v>0.37078227439673223</v>
      </c>
      <c r="K56" s="192">
        <f t="shared" si="8"/>
        <v>1398.0609999999999</v>
      </c>
      <c r="L56" s="191"/>
    </row>
    <row r="57" spans="1:24">
      <c r="A57" s="104">
        <v>43283</v>
      </c>
      <c r="B57" s="105">
        <v>1448.21</v>
      </c>
      <c r="C57" s="105">
        <v>866.55</v>
      </c>
      <c r="D57">
        <f t="shared" si="4"/>
        <v>0.59835935396109674</v>
      </c>
      <c r="E57" s="105">
        <v>1345.34</v>
      </c>
      <c r="F57" s="105">
        <v>728.53</v>
      </c>
      <c r="G57">
        <f t="shared" si="5"/>
        <v>0.5415211024722375</v>
      </c>
      <c r="H57" s="105">
        <v>569.87</v>
      </c>
      <c r="I57" s="105">
        <v>213.1</v>
      </c>
      <c r="J57">
        <f t="shared" si="6"/>
        <v>0.37394493480969343</v>
      </c>
      <c r="K57" s="192">
        <f t="shared" si="8"/>
        <v>1397.2315000000001</v>
      </c>
      <c r="L57" s="191"/>
    </row>
    <row r="58" spans="1:24">
      <c r="A58" s="104">
        <v>43276</v>
      </c>
      <c r="B58" s="105">
        <v>1447.25</v>
      </c>
      <c r="C58" s="105">
        <v>867.77</v>
      </c>
      <c r="D58">
        <f t="shared" si="4"/>
        <v>0.59959923993781306</v>
      </c>
      <c r="E58" s="105">
        <v>1346.01</v>
      </c>
      <c r="F58" s="105">
        <v>729.6</v>
      </c>
      <c r="G58">
        <f t="shared" si="5"/>
        <v>0.54204649296810581</v>
      </c>
      <c r="H58" s="105">
        <v>569.04999999999995</v>
      </c>
      <c r="I58" s="105">
        <v>213.41</v>
      </c>
      <c r="J58">
        <f t="shared" si="6"/>
        <v>0.37502855636587296</v>
      </c>
      <c r="K58" s="192">
        <f t="shared" si="8"/>
        <v>1397.0875000000001</v>
      </c>
      <c r="L58" s="191"/>
    </row>
    <row r="59" spans="1:24">
      <c r="A59" s="104">
        <v>43269</v>
      </c>
      <c r="B59" s="105">
        <v>1456.75</v>
      </c>
      <c r="C59" s="105">
        <v>870.63</v>
      </c>
      <c r="D59">
        <f t="shared" si="4"/>
        <v>0.59765230822035353</v>
      </c>
      <c r="E59" s="105">
        <v>1355.07</v>
      </c>
      <c r="F59" s="105">
        <v>731.73</v>
      </c>
      <c r="G59">
        <f t="shared" si="5"/>
        <v>0.53999424383980166</v>
      </c>
      <c r="H59" s="105">
        <v>567.61</v>
      </c>
      <c r="I59" s="105">
        <v>213.56</v>
      </c>
      <c r="J59">
        <f t="shared" si="6"/>
        <v>0.37624425221542962</v>
      </c>
      <c r="K59" s="192">
        <f t="shared" si="8"/>
        <v>1398.5125</v>
      </c>
      <c r="L59" s="191"/>
    </row>
    <row r="60" spans="1:24">
      <c r="A60" s="104">
        <v>43262</v>
      </c>
      <c r="B60" s="105">
        <v>1462.59</v>
      </c>
      <c r="C60" s="105">
        <v>871.17</v>
      </c>
      <c r="D60">
        <f t="shared" si="4"/>
        <v>0.59563514040161636</v>
      </c>
      <c r="E60" s="105">
        <v>1359.61</v>
      </c>
      <c r="F60" s="105">
        <v>732.17</v>
      </c>
      <c r="G60">
        <f t="shared" si="5"/>
        <v>0.53851472113326615</v>
      </c>
      <c r="H60" s="105">
        <v>567.01</v>
      </c>
      <c r="I60" s="105">
        <v>213.68</v>
      </c>
      <c r="J60">
        <f t="shared" si="6"/>
        <v>0.37685402373855842</v>
      </c>
      <c r="K60" s="192">
        <f t="shared" si="8"/>
        <v>1399.3885</v>
      </c>
      <c r="L60" s="191"/>
    </row>
    <row r="61" spans="1:24">
      <c r="A61" s="104">
        <v>43255</v>
      </c>
      <c r="B61" s="105">
        <v>1471.61</v>
      </c>
      <c r="C61" s="105">
        <v>873.32</v>
      </c>
      <c r="D61">
        <f t="shared" si="4"/>
        <v>0.5934452742234696</v>
      </c>
      <c r="E61" s="105">
        <v>1369.86</v>
      </c>
      <c r="F61" s="105">
        <v>734.05</v>
      </c>
      <c r="G61">
        <f t="shared" si="5"/>
        <v>0.53585767888689351</v>
      </c>
      <c r="H61" s="105">
        <v>567.91999999999996</v>
      </c>
      <c r="I61" s="105">
        <v>213.71</v>
      </c>
      <c r="J61">
        <f t="shared" si="6"/>
        <v>0.37630300042259479</v>
      </c>
      <c r="K61" s="192">
        <f t="shared" si="8"/>
        <v>1400.7415000000001</v>
      </c>
      <c r="L61" s="191"/>
    </row>
    <row r="62" spans="1:24">
      <c r="A62" s="104">
        <v>43248</v>
      </c>
      <c r="B62" s="105">
        <v>1469.36</v>
      </c>
      <c r="C62" s="105">
        <v>873.09</v>
      </c>
      <c r="D62">
        <f t="shared" si="4"/>
        <v>0.59419747373005938</v>
      </c>
      <c r="E62" s="105">
        <v>1366.92</v>
      </c>
      <c r="F62" s="105">
        <v>733.6</v>
      </c>
      <c r="G62">
        <f t="shared" si="5"/>
        <v>0.53668100547215636</v>
      </c>
      <c r="H62" s="105">
        <v>567.57000000000005</v>
      </c>
      <c r="I62" s="105">
        <v>213.52</v>
      </c>
      <c r="J62">
        <f t="shared" si="6"/>
        <v>0.37620029247493697</v>
      </c>
      <c r="K62" s="192">
        <f t="shared" si="8"/>
        <v>1400.404</v>
      </c>
      <c r="L62" s="191"/>
    </row>
    <row r="63" spans="1:24">
      <c r="A63" s="104">
        <v>43241</v>
      </c>
      <c r="B63" s="105">
        <v>1456.9</v>
      </c>
      <c r="C63" s="105">
        <v>870.82</v>
      </c>
      <c r="D63">
        <f t="shared" si="4"/>
        <v>0.59772118882558856</v>
      </c>
      <c r="E63" s="105">
        <v>1352.5</v>
      </c>
      <c r="F63" s="105">
        <v>731.16</v>
      </c>
      <c r="G63">
        <f t="shared" si="5"/>
        <v>0.54059889094269864</v>
      </c>
      <c r="H63" s="105">
        <v>568.03</v>
      </c>
      <c r="I63" s="105">
        <v>213.57</v>
      </c>
      <c r="J63">
        <f t="shared" si="6"/>
        <v>0.37598366283470946</v>
      </c>
      <c r="K63" s="192">
        <f t="shared" si="8"/>
        <v>1398.5350000000001</v>
      </c>
      <c r="L63" s="191"/>
    </row>
    <row r="64" spans="1:24">
      <c r="A64" s="104">
        <v>43234</v>
      </c>
      <c r="B64" s="105">
        <v>1433.62</v>
      </c>
      <c r="C64" s="105">
        <v>866.46</v>
      </c>
      <c r="D64">
        <f t="shared" si="4"/>
        <v>0.60438609952428124</v>
      </c>
      <c r="E64" s="105">
        <v>1329.72</v>
      </c>
      <c r="F64" s="105">
        <v>727.13</v>
      </c>
      <c r="G64">
        <f t="shared" si="5"/>
        <v>0.546829407694853</v>
      </c>
      <c r="H64" s="105">
        <v>565.96</v>
      </c>
      <c r="I64" s="105">
        <v>213.63</v>
      </c>
      <c r="J64">
        <f t="shared" si="6"/>
        <v>0.37746483850448792</v>
      </c>
      <c r="K64" s="192">
        <f t="shared" si="8"/>
        <v>1395.0429999999999</v>
      </c>
      <c r="L64" s="191"/>
    </row>
    <row r="65" spans="1:12">
      <c r="A65" s="104">
        <v>43227</v>
      </c>
      <c r="B65" s="105">
        <v>1415.06</v>
      </c>
      <c r="C65" s="105">
        <v>863.01</v>
      </c>
      <c r="D65">
        <f t="shared" si="4"/>
        <v>0.60987519963817793</v>
      </c>
      <c r="E65" s="105">
        <v>1311.96</v>
      </c>
      <c r="F65" s="105">
        <v>724.04</v>
      </c>
      <c r="G65">
        <f t="shared" si="5"/>
        <v>0.5518765816030976</v>
      </c>
      <c r="H65" s="105">
        <v>557.61</v>
      </c>
      <c r="I65" s="105">
        <v>212.13</v>
      </c>
      <c r="J65">
        <f t="shared" si="6"/>
        <v>0.38042718028729755</v>
      </c>
      <c r="K65" s="192">
        <f t="shared" si="8"/>
        <v>1392.259</v>
      </c>
      <c r="L65" s="191"/>
    </row>
    <row r="66" spans="1:12">
      <c r="A66" s="104">
        <v>43220</v>
      </c>
      <c r="B66" s="105">
        <v>1407.72</v>
      </c>
      <c r="C66" s="105">
        <v>861.99</v>
      </c>
      <c r="D66">
        <f t="shared" si="4"/>
        <v>0.61233057710340122</v>
      </c>
      <c r="E66" s="105">
        <v>1304.9000000000001</v>
      </c>
      <c r="F66" s="105">
        <v>723.01</v>
      </c>
      <c r="G66">
        <f t="shared" si="5"/>
        <v>0.55407310905050189</v>
      </c>
      <c r="H66" s="105">
        <v>556.02</v>
      </c>
      <c r="I66" s="105">
        <v>212.06</v>
      </c>
      <c r="J66">
        <f t="shared" si="6"/>
        <v>0.38138915866335743</v>
      </c>
      <c r="K66" s="192">
        <f t="shared" si="8"/>
        <v>1391.1579999999999</v>
      </c>
      <c r="L66" s="191"/>
    </row>
    <row r="67" spans="1:12">
      <c r="A67" s="104">
        <v>43213</v>
      </c>
      <c r="B67" s="105">
        <v>1396.8</v>
      </c>
      <c r="C67" s="105">
        <v>861.13</v>
      </c>
      <c r="D67">
        <f t="shared" si="4"/>
        <v>0.61650200458190152</v>
      </c>
      <c r="E67" s="105">
        <v>1293.73</v>
      </c>
      <c r="F67" s="105">
        <v>721.76</v>
      </c>
      <c r="G67">
        <f t="shared" si="5"/>
        <v>0.55789075000193233</v>
      </c>
      <c r="H67" s="105">
        <v>555.23</v>
      </c>
      <c r="I67" s="105">
        <v>212.24</v>
      </c>
      <c r="J67">
        <f t="shared" si="6"/>
        <v>0.38225600201718207</v>
      </c>
      <c r="K67" s="192">
        <f t="shared" si="8"/>
        <v>1389.52</v>
      </c>
      <c r="L67" s="191"/>
    </row>
    <row r="68" spans="1:12">
      <c r="A68" s="104">
        <v>43206</v>
      </c>
      <c r="B68" s="105">
        <v>1392.17</v>
      </c>
      <c r="C68" s="105">
        <v>862</v>
      </c>
      <c r="D68">
        <f t="shared" si="4"/>
        <v>0.61917725565124948</v>
      </c>
      <c r="E68" s="105">
        <v>1287.5999999999999</v>
      </c>
      <c r="F68" s="105">
        <v>721.87</v>
      </c>
      <c r="G68">
        <f t="shared" si="5"/>
        <v>0.56063218390804603</v>
      </c>
      <c r="H68" s="105">
        <v>556.57000000000005</v>
      </c>
      <c r="I68" s="105">
        <v>212.71</v>
      </c>
      <c r="J68">
        <f t="shared" si="6"/>
        <v>0.38218013906606535</v>
      </c>
      <c r="K68" s="192">
        <f t="shared" si="8"/>
        <v>1388.8254999999999</v>
      </c>
      <c r="L68" s="191"/>
    </row>
    <row r="69" spans="1:12">
      <c r="A69" s="104">
        <v>43199</v>
      </c>
      <c r="B69" s="105">
        <v>1378.85</v>
      </c>
      <c r="C69" s="105">
        <v>858.82</v>
      </c>
      <c r="D69">
        <f t="shared" si="4"/>
        <v>0.62285237698081741</v>
      </c>
      <c r="E69" s="105">
        <v>1274.54</v>
      </c>
      <c r="F69" s="105">
        <v>718.92</v>
      </c>
      <c r="G69">
        <f t="shared" si="5"/>
        <v>0.56406232836945092</v>
      </c>
      <c r="H69" s="105">
        <v>554.66999999999996</v>
      </c>
      <c r="I69" s="105">
        <v>212.05</v>
      </c>
      <c r="J69">
        <f t="shared" si="6"/>
        <v>0.38229938522004081</v>
      </c>
      <c r="K69" s="192">
        <f t="shared" si="8"/>
        <v>1386.8274999999999</v>
      </c>
      <c r="L69" s="191"/>
    </row>
    <row r="70" spans="1:12">
      <c r="A70" s="104">
        <v>43185</v>
      </c>
      <c r="B70" s="105">
        <v>1354.45</v>
      </c>
      <c r="C70" s="105">
        <v>854.44</v>
      </c>
      <c r="D70">
        <f t="shared" si="4"/>
        <v>0.63083908597585736</v>
      </c>
      <c r="E70" s="105">
        <v>1261.79</v>
      </c>
      <c r="F70" s="105">
        <v>716.44</v>
      </c>
      <c r="G70">
        <f t="shared" si="5"/>
        <v>0.56779654300636406</v>
      </c>
      <c r="H70" s="105">
        <v>556.96</v>
      </c>
      <c r="I70" s="105">
        <v>212.17</v>
      </c>
      <c r="J70">
        <f t="shared" si="6"/>
        <v>0.38094297615627687</v>
      </c>
      <c r="K70" s="192">
        <f t="shared" si="8"/>
        <v>1383.1675</v>
      </c>
      <c r="L70" s="191"/>
    </row>
    <row r="71" spans="1:12">
      <c r="A71" s="104">
        <v>43178</v>
      </c>
      <c r="B71" s="105">
        <v>1347.88</v>
      </c>
      <c r="C71" s="105">
        <v>853.15</v>
      </c>
      <c r="D71">
        <f t="shared" si="4"/>
        <v>0.63295693978692458</v>
      </c>
      <c r="E71" s="105">
        <v>1250.8599999999999</v>
      </c>
      <c r="F71" s="105">
        <v>714.46</v>
      </c>
      <c r="G71">
        <f t="shared" si="5"/>
        <v>0.57117503157827421</v>
      </c>
      <c r="H71" s="105">
        <v>556.38</v>
      </c>
      <c r="I71" s="105">
        <v>212.15</v>
      </c>
      <c r="J71">
        <f t="shared" si="6"/>
        <v>0.38130414464934037</v>
      </c>
      <c r="K71" s="192">
        <f t="shared" si="8"/>
        <v>1382.182</v>
      </c>
      <c r="L71" s="191"/>
    </row>
    <row r="72" spans="1:12">
      <c r="A72" s="104">
        <v>43171</v>
      </c>
      <c r="B72" s="105">
        <v>1345.02</v>
      </c>
      <c r="C72" s="105">
        <v>851.33</v>
      </c>
      <c r="D72">
        <f t="shared" si="4"/>
        <v>0.63294969591530237</v>
      </c>
      <c r="E72" s="105">
        <v>1249.26</v>
      </c>
      <c r="F72" s="105">
        <v>713.4</v>
      </c>
      <c r="G72">
        <f t="shared" si="5"/>
        <v>0.57105806637529422</v>
      </c>
      <c r="H72" s="105">
        <v>556.03</v>
      </c>
      <c r="I72" s="105">
        <v>212.2</v>
      </c>
      <c r="J72">
        <f t="shared" si="6"/>
        <v>0.38163408449184394</v>
      </c>
      <c r="K72" s="192">
        <f t="shared" si="8"/>
        <v>1381.7529999999999</v>
      </c>
      <c r="L72" s="191"/>
    </row>
    <row r="73" spans="1:12">
      <c r="A73" s="104">
        <v>43164</v>
      </c>
      <c r="B73" s="105">
        <v>1352.08</v>
      </c>
      <c r="C73" s="105">
        <v>851.98</v>
      </c>
      <c r="D73">
        <f t="shared" si="4"/>
        <v>0.63012543636471219</v>
      </c>
      <c r="E73" s="105">
        <v>1254.21</v>
      </c>
      <c r="F73" s="105">
        <v>713.74</v>
      </c>
      <c r="G73">
        <f t="shared" si="5"/>
        <v>0.5690753542070307</v>
      </c>
      <c r="H73" s="105">
        <v>558.77</v>
      </c>
      <c r="I73" s="105">
        <v>212.77</v>
      </c>
      <c r="J73">
        <f t="shared" si="6"/>
        <v>0.38078279077258981</v>
      </c>
      <c r="K73" s="192">
        <f t="shared" si="8"/>
        <v>1382.8119999999999</v>
      </c>
      <c r="L73" s="191"/>
    </row>
    <row r="74" spans="1:12">
      <c r="A74" s="104">
        <v>43157</v>
      </c>
      <c r="B74" s="105">
        <v>1357.02</v>
      </c>
      <c r="C74" s="105">
        <v>854.77</v>
      </c>
      <c r="D74">
        <f t="shared" si="4"/>
        <v>0.62988754771484579</v>
      </c>
      <c r="E74" s="105">
        <v>1254.55</v>
      </c>
      <c r="F74" s="105">
        <v>715.04</v>
      </c>
      <c r="G74">
        <f t="shared" si="5"/>
        <v>0.56995735522697377</v>
      </c>
      <c r="H74" s="105">
        <v>561.9</v>
      </c>
      <c r="I74" s="105">
        <v>213.52</v>
      </c>
      <c r="J74">
        <f t="shared" si="6"/>
        <v>0.37999644064780214</v>
      </c>
      <c r="K74" s="192">
        <f t="shared" si="8"/>
        <v>1383.5529999999999</v>
      </c>
      <c r="L74" s="191"/>
    </row>
    <row r="75" spans="1:12">
      <c r="A75" s="104">
        <v>43150</v>
      </c>
      <c r="B75" s="105">
        <v>1358.27</v>
      </c>
      <c r="C75" s="105">
        <v>854.6</v>
      </c>
      <c r="D75">
        <f t="shared" si="4"/>
        <v>0.62918271035950146</v>
      </c>
      <c r="E75" s="105">
        <v>1253.1099999999999</v>
      </c>
      <c r="F75" s="105">
        <v>714.52</v>
      </c>
      <c r="G75">
        <f t="shared" si="5"/>
        <v>0.57019734899569874</v>
      </c>
      <c r="H75" s="105">
        <v>563.04</v>
      </c>
      <c r="I75" s="105">
        <v>213.97</v>
      </c>
      <c r="J75">
        <f t="shared" si="6"/>
        <v>0.38002628587666953</v>
      </c>
      <c r="K75" s="192">
        <f t="shared" si="8"/>
        <v>1383.7404999999999</v>
      </c>
      <c r="L75" s="191"/>
    </row>
    <row r="76" spans="1:12">
      <c r="A76" s="104">
        <v>43143</v>
      </c>
      <c r="B76" s="105">
        <v>1373.46</v>
      </c>
      <c r="C76" s="105">
        <v>857.02</v>
      </c>
      <c r="D76">
        <f t="shared" si="4"/>
        <v>0.62398613720093776</v>
      </c>
      <c r="E76" s="105">
        <v>1268.9100000000001</v>
      </c>
      <c r="F76" s="105">
        <v>716.61</v>
      </c>
      <c r="G76">
        <f t="shared" si="5"/>
        <v>0.56474454453034495</v>
      </c>
      <c r="H76" s="105">
        <v>569.79999999999995</v>
      </c>
      <c r="I76" s="105">
        <v>214.89</v>
      </c>
      <c r="J76">
        <f t="shared" si="6"/>
        <v>0.37713232713232714</v>
      </c>
      <c r="K76" s="192">
        <f t="shared" si="8"/>
        <v>1386.019</v>
      </c>
      <c r="L76" s="191"/>
    </row>
    <row r="77" spans="1:12">
      <c r="A77" s="104">
        <v>43136</v>
      </c>
      <c r="B77" s="105">
        <v>1384.23</v>
      </c>
      <c r="C77" s="105">
        <v>859.44</v>
      </c>
      <c r="D77">
        <f t="shared" si="4"/>
        <v>0.62087947812141053</v>
      </c>
      <c r="E77" s="105">
        <v>1280.07</v>
      </c>
      <c r="F77" s="105">
        <v>718.68</v>
      </c>
      <c r="G77">
        <f t="shared" si="5"/>
        <v>0.5614380463568398</v>
      </c>
      <c r="H77" s="105">
        <v>575.63</v>
      </c>
      <c r="I77" s="105">
        <v>216.13</v>
      </c>
      <c r="J77">
        <f t="shared" si="6"/>
        <v>0.37546687976651666</v>
      </c>
      <c r="K77" s="192">
        <f t="shared" si="8"/>
        <v>1387.6345000000001</v>
      </c>
      <c r="L77" s="191"/>
    </row>
    <row r="78" spans="1:12">
      <c r="A78" s="104">
        <v>43129</v>
      </c>
      <c r="B78" s="105">
        <v>1386.53</v>
      </c>
      <c r="C78" s="105">
        <v>861.08</v>
      </c>
      <c r="D78">
        <f t="shared" si="4"/>
        <v>0.62103236136253814</v>
      </c>
      <c r="E78" s="105">
        <v>1282.8499999999999</v>
      </c>
      <c r="F78" s="105">
        <v>719.9</v>
      </c>
      <c r="G78">
        <f t="shared" si="5"/>
        <v>0.56117238960127847</v>
      </c>
      <c r="H78" s="105">
        <v>579.15</v>
      </c>
      <c r="I78" s="105">
        <v>216.86</v>
      </c>
      <c r="J78">
        <f t="shared" si="6"/>
        <v>0.37444530777864116</v>
      </c>
      <c r="K78" s="192">
        <f t="shared" si="8"/>
        <v>1387.9794999999999</v>
      </c>
      <c r="L78" s="191"/>
    </row>
    <row r="79" spans="1:12">
      <c r="A79" s="104">
        <v>43122</v>
      </c>
      <c r="B79" s="105">
        <v>1379.69</v>
      </c>
      <c r="C79" s="105">
        <v>859.35</v>
      </c>
      <c r="D79">
        <f t="shared" si="4"/>
        <v>0.62285730852582821</v>
      </c>
      <c r="E79" s="105">
        <v>1280.74</v>
      </c>
      <c r="F79" s="105">
        <v>719.16</v>
      </c>
      <c r="G79">
        <f t="shared" si="5"/>
        <v>0.56151912175773377</v>
      </c>
      <c r="H79" s="105">
        <v>577.98</v>
      </c>
      <c r="I79" s="105">
        <v>216.41</v>
      </c>
      <c r="J79">
        <f t="shared" si="6"/>
        <v>0.37442472057856674</v>
      </c>
      <c r="K79" s="192">
        <f t="shared" si="8"/>
        <v>1386.9535000000001</v>
      </c>
      <c r="L79" s="191"/>
    </row>
    <row r="80" spans="1:12">
      <c r="A80" s="104">
        <v>43115</v>
      </c>
      <c r="B80" s="105">
        <v>1375.96</v>
      </c>
      <c r="C80" s="105">
        <v>857.61</v>
      </c>
      <c r="D80">
        <f t="shared" si="4"/>
        <v>0.62328120003488474</v>
      </c>
      <c r="E80" s="105">
        <v>1279.32</v>
      </c>
      <c r="F80" s="105">
        <v>718.24</v>
      </c>
      <c r="G80">
        <f t="shared" si="5"/>
        <v>0.5614232561048057</v>
      </c>
      <c r="H80" s="105">
        <v>579.63</v>
      </c>
      <c r="I80" s="105">
        <v>216.77</v>
      </c>
      <c r="J80">
        <f t="shared" si="6"/>
        <v>0.37397995272846474</v>
      </c>
      <c r="K80" s="192">
        <f t="shared" si="8"/>
        <v>1386.394</v>
      </c>
      <c r="L80" s="191"/>
    </row>
    <row r="81" spans="1:12">
      <c r="A81" s="104">
        <v>43108</v>
      </c>
      <c r="B81" s="105">
        <v>1377.59</v>
      </c>
      <c r="C81" s="105">
        <v>858.63</v>
      </c>
      <c r="D81">
        <f t="shared" si="4"/>
        <v>0.62328414114504316</v>
      </c>
      <c r="E81" s="105">
        <v>1279.79</v>
      </c>
      <c r="F81" s="105">
        <v>718.79</v>
      </c>
      <c r="G81">
        <f t="shared" si="5"/>
        <v>0.56164683268348714</v>
      </c>
      <c r="H81" s="105">
        <v>580.87</v>
      </c>
      <c r="I81" s="105">
        <v>217.03</v>
      </c>
      <c r="J81">
        <f t="shared" si="6"/>
        <v>0.37362921135538074</v>
      </c>
      <c r="K81" s="192">
        <f t="shared" si="8"/>
        <v>1386.6385</v>
      </c>
      <c r="L81" s="191"/>
    </row>
    <row r="82" spans="1:12">
      <c r="A82" s="104">
        <v>43101</v>
      </c>
      <c r="B82" s="105">
        <v>1370.7</v>
      </c>
      <c r="C82" s="105">
        <v>855.45</v>
      </c>
      <c r="D82">
        <f>C82/B82</f>
        <v>0.62409717662508213</v>
      </c>
      <c r="E82" s="105">
        <v>1256.5999999999999</v>
      </c>
      <c r="F82" s="105">
        <v>704.98</v>
      </c>
      <c r="G82">
        <f>F82/E82</f>
        <v>0.56102180487028497</v>
      </c>
      <c r="H82" s="105">
        <v>581.09</v>
      </c>
      <c r="I82" s="105">
        <v>216.68</v>
      </c>
      <c r="J82">
        <f>I82/H82</f>
        <v>0.37288543943279007</v>
      </c>
      <c r="K82" s="192">
        <f t="shared" si="8"/>
        <v>1385.605</v>
      </c>
      <c r="L82" s="191"/>
    </row>
    <row r="83" spans="1:12">
      <c r="A83" t="s">
        <v>267</v>
      </c>
      <c r="B83">
        <f>AVERAGE(B33:B82)</f>
        <v>1426.4474</v>
      </c>
      <c r="C83">
        <f>AVERAGE(C33:C82)</f>
        <v>864.5139999999999</v>
      </c>
      <c r="E83">
        <f>AVERAGE(E33:E82)</f>
        <v>1334.8912000000003</v>
      </c>
      <c r="F83" s="105"/>
      <c r="H83">
        <f>AVERAGE(H33:H82)</f>
        <v>585.65679999999998</v>
      </c>
      <c r="K83">
        <f>AVERAGE(K33:K82)</f>
        <v>1393.96711</v>
      </c>
      <c r="L83">
        <f>0.15*C83</f>
        <v>129.67709999999997</v>
      </c>
    </row>
    <row r="84" spans="1:12">
      <c r="A84" t="s">
        <v>439</v>
      </c>
      <c r="B84">
        <f>B83/1000</f>
        <v>1.4264474</v>
      </c>
      <c r="E84">
        <f>E83/1000</f>
        <v>1.3348912000000002</v>
      </c>
      <c r="H84">
        <f>H83/1000</f>
        <v>0.58565679999999998</v>
      </c>
      <c r="K84">
        <f>K83/1000</f>
        <v>1.39396711</v>
      </c>
    </row>
    <row r="85" spans="1:12">
      <c r="A85" t="s">
        <v>507</v>
      </c>
      <c r="C85" s="34">
        <f>AVERAGE(D33:D82)</f>
        <v>0.60654700400491446</v>
      </c>
      <c r="F85" s="34">
        <f>AVERAGE(G33:G82)</f>
        <v>0.54577572867500679</v>
      </c>
      <c r="I85" s="34">
        <f>AVERAGE(J33:J82)</f>
        <v>0.37097619931450077</v>
      </c>
      <c r="L85" s="34">
        <f>L83/K83</f>
        <v>9.3027374225493717E-2</v>
      </c>
    </row>
  </sheetData>
  <mergeCells count="4">
    <mergeCell ref="Q1:T1"/>
    <mergeCell ref="E1:G1"/>
    <mergeCell ref="H1:P1"/>
    <mergeCell ref="C1:D1"/>
  </mergeCells>
  <hyperlinks>
    <hyperlink ref="B14" r:id="rId1" display="https://ec.europa.eu/energy/en/data-analysis/weekly-oil-bulletin" xr:uid="{4457824A-B2FA-4571-989A-DC08E006A7AD}"/>
    <hyperlink ref="K14" r:id="rId2" xr:uid="{477F2055-4F7D-4895-B3CF-3A1157976651}"/>
    <hyperlink ref="N18" r:id="rId3" xr:uid="{E78A6150-853C-4A62-8FAB-EB28E4C6B769}"/>
    <hyperlink ref="Q14" r:id="rId4" xr:uid="{1C13C70A-BA55-4714-9D56-F20940AFAD51}"/>
    <hyperlink ref="U10" r:id="rId5" xr:uid="{5BDD9D0E-8CA9-48CC-A3C6-8EAA0D673075}"/>
  </hyperlinks>
  <pageMargins left="0.7" right="0.7" top="0.75" bottom="0.75" header="0.3" footer="0.3"/>
  <pageSetup paperSize="9" orientation="portrait" horizontalDpi="4294967294" verticalDpi="0" r:id="rId6"/>
  <ignoredErrors>
    <ignoredError sqref="E3:E5 E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8EFA-E206-466D-975B-A86C809108EB}">
  <dimension ref="A1:AU349"/>
  <sheetViews>
    <sheetView tabSelected="1" zoomScale="70" zoomScaleNormal="70" workbookViewId="0">
      <pane xSplit="1" topLeftCell="L1" activePane="topRight" state="frozen"/>
      <selection pane="topRight" activeCell="V22" sqref="V22"/>
    </sheetView>
  </sheetViews>
  <sheetFormatPr defaultRowHeight="14.5"/>
  <cols>
    <col min="1" max="1" width="22.6328125" bestFit="1" customWidth="1"/>
    <col min="2" max="2" width="15" bestFit="1" customWidth="1"/>
    <col min="3" max="3" width="20.08984375" customWidth="1"/>
    <col min="4" max="4" width="20.08984375" bestFit="1" customWidth="1"/>
    <col min="5" max="5" width="14.54296875" customWidth="1"/>
    <col min="6" max="6" width="23.26953125" bestFit="1" customWidth="1"/>
    <col min="7" max="7" width="28.36328125" bestFit="1" customWidth="1"/>
    <col min="8" max="8" width="6" customWidth="1"/>
    <col min="9" max="9" width="14.7265625" bestFit="1" customWidth="1"/>
    <col min="10" max="10" width="11.81640625" bestFit="1" customWidth="1"/>
    <col min="11" max="11" width="18.6328125" bestFit="1" customWidth="1"/>
    <col min="12" max="12" width="11.81640625" bestFit="1" customWidth="1"/>
    <col min="13" max="13" width="12.453125" bestFit="1" customWidth="1"/>
    <col min="14" max="18" width="11.81640625" bestFit="1" customWidth="1"/>
    <col min="19" max="19" width="11.81640625" style="9" customWidth="1"/>
    <col min="20" max="20" width="21.81640625" bestFit="1" customWidth="1"/>
    <col min="21" max="21" width="15" customWidth="1"/>
    <col min="22" max="22" width="21.08984375" bestFit="1" customWidth="1"/>
    <col min="23" max="23" width="16.1796875" style="9" customWidth="1"/>
    <col min="24" max="24" width="16.1796875" customWidth="1"/>
    <col min="25" max="25" width="21.1796875" customWidth="1"/>
    <col min="26" max="26" width="12.36328125" bestFit="1" customWidth="1"/>
    <col min="27" max="27" width="6.54296875" customWidth="1"/>
    <col min="28" max="28" width="6.36328125" bestFit="1" customWidth="1"/>
    <col min="29" max="29" width="8.54296875" bestFit="1" customWidth="1"/>
    <col min="30" max="30" width="6.26953125" bestFit="1" customWidth="1"/>
    <col min="31" max="31" width="10.36328125" customWidth="1"/>
    <col min="32" max="32" width="12.81640625" bestFit="1" customWidth="1"/>
    <col min="33" max="33" width="5.1796875" bestFit="1" customWidth="1"/>
  </cols>
  <sheetData>
    <row r="1" spans="1:33">
      <c r="A1" s="3" t="s">
        <v>3</v>
      </c>
      <c r="B1" s="3" t="s">
        <v>541</v>
      </c>
      <c r="C1" s="102" t="s">
        <v>32</v>
      </c>
      <c r="D1" s="108" t="s">
        <v>20</v>
      </c>
      <c r="E1" s="108" t="s">
        <v>36</v>
      </c>
      <c r="F1" s="103" t="s">
        <v>58</v>
      </c>
      <c r="G1" s="108" t="s">
        <v>545</v>
      </c>
      <c r="H1" s="324" t="s">
        <v>38</v>
      </c>
      <c r="I1" s="325"/>
      <c r="J1" s="326"/>
      <c r="K1" s="324" t="s">
        <v>37</v>
      </c>
      <c r="L1" s="325"/>
      <c r="M1" s="325"/>
      <c r="N1" s="325"/>
      <c r="O1" s="325"/>
      <c r="P1" s="325"/>
      <c r="Q1" s="325"/>
      <c r="R1" s="325"/>
      <c r="S1" s="300" t="s">
        <v>6</v>
      </c>
      <c r="T1" s="255" t="s">
        <v>40</v>
      </c>
      <c r="U1" s="321" t="s">
        <v>63</v>
      </c>
      <c r="V1" s="322"/>
      <c r="W1" s="323"/>
      <c r="X1" s="3"/>
      <c r="Y1" s="40"/>
      <c r="Z1" s="40" t="s">
        <v>3</v>
      </c>
      <c r="AA1" s="330" t="s">
        <v>521</v>
      </c>
      <c r="AB1" s="330"/>
      <c r="AC1" s="330"/>
      <c r="AD1" s="330"/>
      <c r="AE1" s="330"/>
      <c r="AF1" s="330"/>
      <c r="AG1" s="330"/>
    </row>
    <row r="2" spans="1:33" s="5" customFormat="1">
      <c r="A2" s="4" t="s">
        <v>202</v>
      </c>
      <c r="B2" s="4"/>
      <c r="C2" s="66"/>
      <c r="D2" s="4"/>
      <c r="E2" s="4"/>
      <c r="F2" s="72"/>
      <c r="G2" s="66" t="s">
        <v>546</v>
      </c>
      <c r="H2" s="66" t="s">
        <v>82</v>
      </c>
      <c r="I2" s="4" t="s">
        <v>85</v>
      </c>
      <c r="J2" s="63" t="s">
        <v>66</v>
      </c>
      <c r="K2" s="66" t="s">
        <v>503</v>
      </c>
      <c r="L2" s="4" t="s">
        <v>42</v>
      </c>
      <c r="M2" s="4" t="s">
        <v>76</v>
      </c>
      <c r="N2" s="4" t="s">
        <v>268</v>
      </c>
      <c r="O2" s="4" t="s">
        <v>271</v>
      </c>
      <c r="P2" s="4" t="s">
        <v>272</v>
      </c>
      <c r="Q2" s="4" t="s">
        <v>289</v>
      </c>
      <c r="R2" s="4" t="s">
        <v>290</v>
      </c>
      <c r="S2" s="301" t="s">
        <v>277</v>
      </c>
      <c r="T2" s="256" t="s">
        <v>466</v>
      </c>
      <c r="U2" s="7" t="s">
        <v>522</v>
      </c>
      <c r="V2" s="4" t="s">
        <v>543</v>
      </c>
      <c r="W2" s="295" t="s">
        <v>544</v>
      </c>
      <c r="X2" s="4"/>
      <c r="Y2" s="27"/>
      <c r="Z2" s="40"/>
      <c r="AA2" s="4" t="s">
        <v>456</v>
      </c>
      <c r="AB2" s="4" t="s">
        <v>458</v>
      </c>
      <c r="AC2" s="4" t="s">
        <v>457</v>
      </c>
      <c r="AD2" s="4" t="s">
        <v>460</v>
      </c>
      <c r="AE2" s="4" t="s">
        <v>462</v>
      </c>
      <c r="AF2" s="4" t="s">
        <v>459</v>
      </c>
      <c r="AG2" s="240" t="s">
        <v>463</v>
      </c>
    </row>
    <row r="3" spans="1:33">
      <c r="A3" s="331" t="s">
        <v>0</v>
      </c>
      <c r="B3" s="247" t="s">
        <v>550</v>
      </c>
      <c r="C3" t="s">
        <v>33</v>
      </c>
      <c r="D3" t="s">
        <v>297</v>
      </c>
      <c r="E3" s="2" t="s">
        <v>299</v>
      </c>
      <c r="F3" s="109" t="s">
        <v>298</v>
      </c>
      <c r="G3" s="277">
        <v>8000</v>
      </c>
      <c r="H3" s="59">
        <v>44</v>
      </c>
      <c r="J3" s="72"/>
      <c r="K3" s="59">
        <v>4.4000000000000004</v>
      </c>
      <c r="N3" s="34">
        <f>1/(K3/100)</f>
        <v>22.727272727272727</v>
      </c>
      <c r="S3" s="302">
        <f>N3/'Fuels, properties and prices'!$F$3</f>
        <v>0.70794084502934207</v>
      </c>
      <c r="T3" s="257">
        <v>926</v>
      </c>
      <c r="U3" s="161">
        <v>9112.0655737704928</v>
      </c>
      <c r="V3" s="47">
        <f>1.213*U3</f>
        <v>11052.935540983608</v>
      </c>
      <c r="W3" s="296">
        <f>ROUND(V3/(G3)/0.001,-1)</f>
        <v>1380</v>
      </c>
      <c r="X3" s="320"/>
      <c r="Z3" s="40" t="s">
        <v>0</v>
      </c>
      <c r="AA3" s="34">
        <f>T7/T21</f>
        <v>0.71715049656226126</v>
      </c>
      <c r="AB3" s="34">
        <f>T15/T21</f>
        <v>0.84186401833460656</v>
      </c>
      <c r="AC3" s="34">
        <f>T21/T21</f>
        <v>1</v>
      </c>
      <c r="AD3" s="34">
        <f>T29/T21</f>
        <v>1.1408199643493762</v>
      </c>
      <c r="AE3" s="34">
        <f>T38/T21</f>
        <v>1.0294663319873405</v>
      </c>
      <c r="AF3" s="34">
        <f>T45/T21</f>
        <v>1.1957219251336899</v>
      </c>
      <c r="AG3" s="34">
        <f>T56/T21</f>
        <v>1.6860198624904508</v>
      </c>
    </row>
    <row r="4" spans="1:33">
      <c r="A4" s="327"/>
      <c r="B4" s="11" t="s">
        <v>551</v>
      </c>
      <c r="C4" s="2" t="s">
        <v>73</v>
      </c>
      <c r="D4" s="2" t="s">
        <v>49</v>
      </c>
      <c r="E4" s="2" t="s">
        <v>50</v>
      </c>
      <c r="F4" s="110" t="s">
        <v>298</v>
      </c>
      <c r="G4" s="277">
        <v>8000</v>
      </c>
      <c r="H4" s="59">
        <v>51</v>
      </c>
      <c r="J4" s="72"/>
      <c r="K4" s="59">
        <v>5.0999999999999996</v>
      </c>
      <c r="N4" s="34">
        <f>1/(K4/100)</f>
        <v>19.607843137254903</v>
      </c>
      <c r="S4" s="302">
        <f>N4/'Fuels, properties and prices'!$F$3</f>
        <v>0.610772493750805</v>
      </c>
      <c r="T4" s="257">
        <v>1015</v>
      </c>
      <c r="U4" s="160">
        <v>9603.8700000000008</v>
      </c>
      <c r="V4" s="47">
        <f t="shared" ref="V4:V67" si="0">1.213*U4</f>
        <v>11649.494310000002</v>
      </c>
      <c r="W4" s="296">
        <f t="shared" ref="W4:W67" si="1">ROUND(V4/(G4)/0.001,-1)</f>
        <v>1460</v>
      </c>
      <c r="X4" s="320"/>
      <c r="Z4" s="40" t="s">
        <v>1</v>
      </c>
      <c r="AA4" s="34">
        <f>T59/T71</f>
        <v>0.90747136884202872</v>
      </c>
      <c r="AB4" s="34">
        <f>T65/T71</f>
        <v>0.91037993092165059</v>
      </c>
      <c r="AC4" s="34">
        <f>T71/T71</f>
        <v>1</v>
      </c>
      <c r="AD4" s="34">
        <f>T81/T71</f>
        <v>1.1590619887293219</v>
      </c>
      <c r="AE4" s="34">
        <f>T89/T71</f>
        <v>1.0209052899472824</v>
      </c>
      <c r="AF4" s="34">
        <f>T96/T71</f>
        <v>1.1759316487911289</v>
      </c>
      <c r="AG4" s="34">
        <f>T102/T71</f>
        <v>1.5076046779373449</v>
      </c>
    </row>
    <row r="5" spans="1:33">
      <c r="A5" s="327"/>
      <c r="B5" s="11"/>
      <c r="C5" s="2" t="s">
        <v>331</v>
      </c>
      <c r="D5" s="2" t="s">
        <v>343</v>
      </c>
      <c r="E5" s="2" t="s">
        <v>299</v>
      </c>
      <c r="F5" s="110" t="s">
        <v>298</v>
      </c>
      <c r="G5" s="277">
        <v>8000</v>
      </c>
      <c r="H5" s="59">
        <v>44</v>
      </c>
      <c r="J5" s="72"/>
      <c r="K5" s="59">
        <v>4.4000000000000004</v>
      </c>
      <c r="N5" s="34">
        <f>1/(K5/100)</f>
        <v>22.727272727272727</v>
      </c>
      <c r="S5" s="302">
        <f>N5/'Fuels, properties and prices'!$F$3</f>
        <v>0.70794084502934207</v>
      </c>
      <c r="T5" s="257">
        <v>929</v>
      </c>
      <c r="U5" s="160">
        <v>8571.0819672131129</v>
      </c>
      <c r="V5" s="47">
        <f t="shared" si="0"/>
        <v>10396.722426229506</v>
      </c>
      <c r="W5" s="296">
        <f t="shared" si="1"/>
        <v>1300</v>
      </c>
      <c r="X5" s="320"/>
      <c r="Z5" s="40" t="s">
        <v>2</v>
      </c>
      <c r="AA5" s="34">
        <f>T112/(T21*T117)</f>
        <v>0.70473565246154701</v>
      </c>
      <c r="AB5" s="34">
        <f>T116/(T117*T21)</f>
        <v>0.84186401833460667</v>
      </c>
      <c r="AC5" s="34">
        <f>(T117*T21)/(T117*T21)</f>
        <v>1</v>
      </c>
      <c r="AD5" s="34"/>
      <c r="AE5" s="34">
        <f>T118/(T117*T21)</f>
        <v>0.82346451607822146</v>
      </c>
      <c r="AF5" s="34">
        <f>T121/(T117*T21)</f>
        <v>1.0524126050181513</v>
      </c>
      <c r="AG5" s="34"/>
    </row>
    <row r="6" spans="1:33">
      <c r="A6" s="327"/>
      <c r="B6" s="11"/>
      <c r="C6" t="s">
        <v>307</v>
      </c>
      <c r="D6" t="s">
        <v>308</v>
      </c>
      <c r="E6" t="s">
        <v>309</v>
      </c>
      <c r="F6" s="110" t="s">
        <v>298</v>
      </c>
      <c r="G6" s="277">
        <v>8000</v>
      </c>
      <c r="H6" s="59">
        <v>45</v>
      </c>
      <c r="J6" s="72"/>
      <c r="K6" s="59">
        <v>4.5</v>
      </c>
      <c r="N6" s="34">
        <f>1/(K6/100)</f>
        <v>22.222222222222221</v>
      </c>
      <c r="S6" s="302">
        <f>N6/'Fuels, properties and prices'!$F$3</f>
        <v>0.69220882625091218</v>
      </c>
      <c r="T6" s="257">
        <v>885</v>
      </c>
      <c r="U6" s="161">
        <v>11969.393281433388</v>
      </c>
      <c r="V6" s="47">
        <f t="shared" si="0"/>
        <v>14518.874050378699</v>
      </c>
      <c r="W6" s="296">
        <f t="shared" si="1"/>
        <v>1810</v>
      </c>
      <c r="X6" s="320"/>
      <c r="Z6" s="40" t="s">
        <v>530</v>
      </c>
      <c r="AA6" s="34">
        <f>T127/T137</f>
        <v>0.78608058608058606</v>
      </c>
      <c r="AB6" s="34">
        <f>T132/T137</f>
        <v>0.91794871794871791</v>
      </c>
      <c r="AC6" s="34">
        <f>T137/T137</f>
        <v>1</v>
      </c>
      <c r="AD6" s="34"/>
      <c r="AE6" s="34">
        <f>T143/T137</f>
        <v>0.90329670329670331</v>
      </c>
      <c r="AF6" s="34"/>
      <c r="AG6" s="34"/>
    </row>
    <row r="7" spans="1:33">
      <c r="A7" s="327"/>
      <c r="B7" s="11"/>
      <c r="C7" s="43" t="s">
        <v>267</v>
      </c>
      <c r="D7" s="43"/>
      <c r="E7" s="43"/>
      <c r="F7" s="110" t="s">
        <v>298</v>
      </c>
      <c r="G7" s="277">
        <v>8000</v>
      </c>
      <c r="H7" s="67">
        <f>AVERAGE(H3:H6)</f>
        <v>46</v>
      </c>
      <c r="I7" s="44"/>
      <c r="J7" s="62"/>
      <c r="K7" s="67">
        <f>AVERAGE(K3:K6)</f>
        <v>4.5999999999999996</v>
      </c>
      <c r="L7" s="44"/>
      <c r="M7" s="44"/>
      <c r="N7" s="34">
        <f>1/(K7/100)</f>
        <v>21.739130434782609</v>
      </c>
      <c r="S7" s="302">
        <f>N7/'Fuels, properties and prices'!$F$3</f>
        <v>0.67716080828893588</v>
      </c>
      <c r="T7" s="258">
        <f>AVERAGE(T3:T6)</f>
        <v>938.75</v>
      </c>
      <c r="U7" s="151">
        <f>AVERAGE(U3:U6)</f>
        <v>9814.1027056042494</v>
      </c>
      <c r="V7" s="47">
        <f t="shared" si="0"/>
        <v>11904.506581897955</v>
      </c>
      <c r="W7" s="296">
        <f t="shared" si="1"/>
        <v>1490</v>
      </c>
      <c r="X7" s="320"/>
      <c r="Z7" s="40" t="s">
        <v>540</v>
      </c>
      <c r="AA7" s="34">
        <f>T148/T159</f>
        <v>0.67248062015503884</v>
      </c>
      <c r="AB7" s="34">
        <f>T154/T159</f>
        <v>0.90406976744186052</v>
      </c>
      <c r="AC7" s="34">
        <f>T159/T159</f>
        <v>1</v>
      </c>
      <c r="AD7" s="34">
        <f>T165/T159</f>
        <v>1.2362122788761707</v>
      </c>
      <c r="AE7" s="34">
        <f>T173/T159</f>
        <v>0.99224806201550397</v>
      </c>
      <c r="AF7" s="34">
        <f>T176/T159</f>
        <v>1.367845993756504</v>
      </c>
    </row>
    <row r="8" spans="1:33">
      <c r="A8" s="327"/>
      <c r="B8" s="11"/>
      <c r="C8" s="41"/>
      <c r="D8" s="41"/>
      <c r="E8" s="41"/>
      <c r="F8" s="72"/>
      <c r="H8" s="60"/>
      <c r="I8" s="40"/>
      <c r="J8" s="73"/>
      <c r="K8" s="60"/>
      <c r="L8" s="40"/>
      <c r="M8" s="40"/>
      <c r="N8" s="54"/>
      <c r="O8" s="40"/>
      <c r="P8" s="40"/>
      <c r="Q8" s="40"/>
      <c r="R8" s="40"/>
      <c r="S8" s="303"/>
      <c r="T8" s="259"/>
      <c r="U8" s="284"/>
      <c r="V8" s="47"/>
      <c r="W8" s="296"/>
      <c r="X8" s="320"/>
      <c r="Z8" s="40" t="s">
        <v>542</v>
      </c>
      <c r="AA8" s="34"/>
      <c r="AB8" s="34">
        <f>T183/T188</f>
        <v>0.83596570397111913</v>
      </c>
      <c r="AC8" s="34">
        <f>T188/T188</f>
        <v>1</v>
      </c>
      <c r="AD8" s="34">
        <f>T192/T188</f>
        <v>1.0810018050541517</v>
      </c>
      <c r="AE8" s="34">
        <f>T196/T188</f>
        <v>1.0018050541516246</v>
      </c>
      <c r="AF8" s="34">
        <f>T199/T188</f>
        <v>1.2082581227436824</v>
      </c>
      <c r="AG8" s="34"/>
    </row>
    <row r="9" spans="1:33">
      <c r="A9" s="327"/>
      <c r="B9" s="11"/>
      <c r="C9" s="2" t="s">
        <v>33</v>
      </c>
      <c r="D9" s="2" t="s">
        <v>113</v>
      </c>
      <c r="E9" s="2" t="s">
        <v>114</v>
      </c>
      <c r="F9" s="113" t="s">
        <v>60</v>
      </c>
      <c r="G9" s="278">
        <v>10000</v>
      </c>
      <c r="H9" s="68">
        <v>70</v>
      </c>
      <c r="I9" s="2"/>
      <c r="J9" s="74"/>
      <c r="K9" s="68">
        <v>4.5999999999999996</v>
      </c>
      <c r="L9" s="2"/>
      <c r="M9" s="2"/>
      <c r="N9" s="34">
        <f t="shared" ref="N9:N14" si="2">1/(K9/100)</f>
        <v>21.739130434782609</v>
      </c>
      <c r="O9" s="2"/>
      <c r="P9" s="2"/>
      <c r="Q9" s="2"/>
      <c r="R9" s="2"/>
      <c r="S9" s="302">
        <f>N9/'Fuels, properties and prices'!$F$3</f>
        <v>0.67716080828893588</v>
      </c>
      <c r="T9" s="257">
        <v>1180</v>
      </c>
      <c r="U9" s="160">
        <v>15142.86</v>
      </c>
      <c r="V9" s="47">
        <f t="shared" si="0"/>
        <v>18368.289180000003</v>
      </c>
      <c r="W9" s="296">
        <f t="shared" si="1"/>
        <v>1840</v>
      </c>
      <c r="X9" s="320"/>
      <c r="Z9" s="40" t="s">
        <v>520</v>
      </c>
      <c r="AA9" s="34"/>
      <c r="AB9" s="34"/>
      <c r="AC9" s="34">
        <f>T204/T204</f>
        <v>1</v>
      </c>
      <c r="AD9" s="34">
        <f>T211/T204</f>
        <v>1.0635172687574435</v>
      </c>
      <c r="AE9" s="34">
        <f>T214/T204</f>
        <v>0.94918618499404528</v>
      </c>
      <c r="AF9" s="34">
        <f>T217/T204</f>
        <v>1.1802302500992459</v>
      </c>
      <c r="AG9" s="34">
        <f>T225/T204</f>
        <v>1.3936085748312823</v>
      </c>
    </row>
    <row r="10" spans="1:33">
      <c r="A10" s="327"/>
      <c r="B10" s="11"/>
      <c r="C10" s="2" t="s">
        <v>118</v>
      </c>
      <c r="D10" s="2" t="s">
        <v>120</v>
      </c>
      <c r="E10" s="2" t="s">
        <v>121</v>
      </c>
      <c r="F10" s="113" t="s">
        <v>60</v>
      </c>
      <c r="G10" s="278">
        <v>10000</v>
      </c>
      <c r="H10" s="68">
        <v>66</v>
      </c>
      <c r="I10" s="2"/>
      <c r="J10" s="74"/>
      <c r="K10" s="68">
        <v>5.2</v>
      </c>
      <c r="L10" s="2"/>
      <c r="M10" s="2"/>
      <c r="N10" s="34">
        <f t="shared" si="2"/>
        <v>19.23076923076923</v>
      </c>
      <c r="O10" s="2"/>
      <c r="P10" s="2"/>
      <c r="Q10" s="2"/>
      <c r="R10" s="2"/>
      <c r="S10" s="302">
        <f>N10/'Fuels, properties and prices'!$F$3</f>
        <v>0.59902686887098167</v>
      </c>
      <c r="T10" s="257">
        <v>1165</v>
      </c>
      <c r="U10" s="160">
        <v>11862.79</v>
      </c>
      <c r="V10" s="47">
        <f t="shared" si="0"/>
        <v>14389.564270000003</v>
      </c>
      <c r="W10" s="296">
        <f t="shared" si="1"/>
        <v>1440</v>
      </c>
      <c r="X10" s="320"/>
      <c r="Z10" s="40" t="s">
        <v>31</v>
      </c>
      <c r="AA10" s="54"/>
      <c r="AB10" s="54"/>
      <c r="AC10" s="54"/>
      <c r="AD10" s="34">
        <f>T228/T159</f>
        <v>1.1191860465116279</v>
      </c>
      <c r="AE10" s="54"/>
      <c r="AF10" s="34">
        <f>T231/T159</f>
        <v>1.0982558139534884</v>
      </c>
      <c r="AG10" s="54"/>
    </row>
    <row r="11" spans="1:33" s="40" customFormat="1">
      <c r="A11" s="327"/>
      <c r="B11" s="248"/>
      <c r="C11" s="2" t="s">
        <v>48</v>
      </c>
      <c r="D11" s="2" t="s">
        <v>151</v>
      </c>
      <c r="E11" t="s">
        <v>50</v>
      </c>
      <c r="F11" s="113" t="s">
        <v>60</v>
      </c>
      <c r="G11" s="278">
        <v>10000</v>
      </c>
      <c r="H11" s="59">
        <v>51</v>
      </c>
      <c r="I11"/>
      <c r="J11" s="72"/>
      <c r="K11" s="59">
        <v>5.4</v>
      </c>
      <c r="L11"/>
      <c r="M11"/>
      <c r="N11" s="34">
        <f>1/(K11/100)</f>
        <v>18.518518518518515</v>
      </c>
      <c r="O11"/>
      <c r="P11"/>
      <c r="Q11"/>
      <c r="R11"/>
      <c r="S11" s="302">
        <f>N11/'Fuels, properties and prices'!$F$3</f>
        <v>0.57684068854242676</v>
      </c>
      <c r="T11" s="257">
        <v>1105</v>
      </c>
      <c r="U11" s="160">
        <v>11694.03</v>
      </c>
      <c r="V11" s="47">
        <f t="shared" si="0"/>
        <v>14184.858390000001</v>
      </c>
      <c r="W11" s="296">
        <f t="shared" si="1"/>
        <v>1420</v>
      </c>
      <c r="X11" s="320"/>
    </row>
    <row r="12" spans="1:33" s="40" customFormat="1">
      <c r="A12" s="327"/>
      <c r="B12" s="248"/>
      <c r="C12" s="2" t="s">
        <v>331</v>
      </c>
      <c r="D12" s="2" t="s">
        <v>345</v>
      </c>
      <c r="E12" t="s">
        <v>346</v>
      </c>
      <c r="F12" s="113" t="s">
        <v>60</v>
      </c>
      <c r="G12" s="278">
        <v>10000</v>
      </c>
      <c r="H12" s="59">
        <v>70</v>
      </c>
      <c r="I12"/>
      <c r="J12" s="72"/>
      <c r="K12" s="59">
        <v>4.7</v>
      </c>
      <c r="L12"/>
      <c r="M12"/>
      <c r="N12" s="34">
        <f t="shared" si="2"/>
        <v>21.276595744680851</v>
      </c>
      <c r="O12"/>
      <c r="P12"/>
      <c r="Q12"/>
      <c r="R12"/>
      <c r="S12" s="302">
        <f>N12/'Fuels, properties and prices'!$F$3</f>
        <v>0.6627531315168308</v>
      </c>
      <c r="T12" s="257">
        <v>1122</v>
      </c>
      <c r="U12" s="160">
        <v>12743.213114754099</v>
      </c>
      <c r="V12" s="47">
        <f t="shared" si="0"/>
        <v>15457.517508196723</v>
      </c>
      <c r="W12" s="296">
        <f t="shared" si="1"/>
        <v>1550</v>
      </c>
      <c r="X12" s="320"/>
      <c r="AG12" s="34"/>
    </row>
    <row r="13" spans="1:33">
      <c r="A13" s="327"/>
      <c r="B13" s="248"/>
      <c r="C13" s="2" t="s">
        <v>362</v>
      </c>
      <c r="D13" s="2" t="s">
        <v>363</v>
      </c>
      <c r="E13" t="s">
        <v>365</v>
      </c>
      <c r="F13" s="113" t="s">
        <v>60</v>
      </c>
      <c r="G13" s="278">
        <v>10000</v>
      </c>
      <c r="H13" s="59">
        <v>66</v>
      </c>
      <c r="J13" s="72"/>
      <c r="K13" s="59">
        <v>4.2</v>
      </c>
      <c r="N13" s="34">
        <f t="shared" si="2"/>
        <v>23.809523809523807</v>
      </c>
      <c r="S13" s="302">
        <f>N13/'Fuels, properties and prices'!$F$3</f>
        <v>0.74165231384026298</v>
      </c>
      <c r="T13" s="257">
        <v>940</v>
      </c>
      <c r="U13" s="160">
        <v>10874.360655737706</v>
      </c>
      <c r="V13" s="47">
        <f t="shared" si="0"/>
        <v>13190.599475409839</v>
      </c>
      <c r="W13" s="296">
        <f t="shared" si="1"/>
        <v>1320</v>
      </c>
      <c r="X13" s="320"/>
    </row>
    <row r="14" spans="1:33">
      <c r="A14" s="327"/>
      <c r="B14" s="248"/>
      <c r="C14" s="2" t="s">
        <v>70</v>
      </c>
      <c r="D14" s="2" t="s">
        <v>366</v>
      </c>
      <c r="E14" t="s">
        <v>368</v>
      </c>
      <c r="F14" s="113" t="s">
        <v>60</v>
      </c>
      <c r="G14" s="278">
        <v>10000</v>
      </c>
      <c r="H14" s="59">
        <v>51</v>
      </c>
      <c r="J14" s="72"/>
      <c r="K14" s="59">
        <v>4.3</v>
      </c>
      <c r="N14" s="34">
        <f t="shared" si="2"/>
        <v>23.255813953488374</v>
      </c>
      <c r="S14" s="302">
        <f>N14/'Fuels, properties and prices'!$F$3</f>
        <v>0.72440458561141985</v>
      </c>
      <c r="T14" s="257">
        <v>1100</v>
      </c>
      <c r="U14" s="160">
        <v>11202.229508196719</v>
      </c>
      <c r="V14" s="47">
        <f t="shared" si="0"/>
        <v>13588.30439344262</v>
      </c>
      <c r="W14" s="296">
        <f t="shared" si="1"/>
        <v>1360</v>
      </c>
      <c r="X14" s="320"/>
    </row>
    <row r="15" spans="1:33">
      <c r="A15" s="327"/>
      <c r="B15" s="11"/>
      <c r="C15" s="43" t="s">
        <v>267</v>
      </c>
      <c r="D15" s="43"/>
      <c r="E15" s="43"/>
      <c r="F15" s="113" t="s">
        <v>60</v>
      </c>
      <c r="G15" s="278">
        <v>10000</v>
      </c>
      <c r="H15" s="67">
        <f>AVERAGE(H9:H14)</f>
        <v>62.333333333333336</v>
      </c>
      <c r="I15" s="44"/>
      <c r="J15" s="62"/>
      <c r="K15" s="254">
        <f>AVERAGE(K9:K14)</f>
        <v>4.7333333333333334</v>
      </c>
      <c r="L15" s="44"/>
      <c r="M15" s="44"/>
      <c r="N15" s="34">
        <f>1/(K15/100)</f>
        <v>21.126760563380284</v>
      </c>
      <c r="S15" s="302">
        <f>N15/'Fuels, properties and prices'!$F$3</f>
        <v>0.65808585594276869</v>
      </c>
      <c r="T15" s="258">
        <f>AVERAGE(T9:T14)</f>
        <v>1102</v>
      </c>
      <c r="U15" s="151">
        <f>AVERAGE(U9:U14)</f>
        <v>12253.247213114753</v>
      </c>
      <c r="V15" s="47">
        <f t="shared" si="0"/>
        <v>14863.188869508196</v>
      </c>
      <c r="W15" s="296">
        <f t="shared" si="1"/>
        <v>1490</v>
      </c>
      <c r="X15" s="320"/>
    </row>
    <row r="16" spans="1:33">
      <c r="A16" s="327"/>
      <c r="B16" s="11"/>
      <c r="F16" s="72"/>
      <c r="H16" s="59"/>
      <c r="J16" s="72"/>
      <c r="K16" s="59"/>
      <c r="S16" s="302"/>
      <c r="T16" s="257"/>
      <c r="U16" s="161"/>
      <c r="V16" s="47"/>
      <c r="W16" s="296"/>
      <c r="X16" s="320"/>
    </row>
    <row r="17" spans="1:27">
      <c r="A17" s="327"/>
      <c r="B17" s="11"/>
      <c r="C17" s="2" t="s">
        <v>33</v>
      </c>
      <c r="D17" s="2" t="s">
        <v>34</v>
      </c>
      <c r="E17" t="s">
        <v>39</v>
      </c>
      <c r="F17" s="90" t="s">
        <v>59</v>
      </c>
      <c r="G17" s="90">
        <v>15000</v>
      </c>
      <c r="H17" s="59">
        <v>96</v>
      </c>
      <c r="J17" s="72"/>
      <c r="K17" s="59">
        <v>5.9</v>
      </c>
      <c r="N17" s="34">
        <f>1/(K17/100)</f>
        <v>16.949152542372879</v>
      </c>
      <c r="S17" s="302">
        <f>N17/'Fuels, properties and prices'!$F$3</f>
        <v>0.52795588442866181</v>
      </c>
      <c r="T17" s="257">
        <v>1336</v>
      </c>
      <c r="U17" s="160">
        <v>19726.82</v>
      </c>
      <c r="V17" s="47">
        <f t="shared" si="0"/>
        <v>23928.632660000003</v>
      </c>
      <c r="W17" s="296">
        <f t="shared" si="1"/>
        <v>1600</v>
      </c>
      <c r="X17" s="320"/>
    </row>
    <row r="18" spans="1:27">
      <c r="A18" s="327"/>
      <c r="B18" s="11"/>
      <c r="C18" s="2" t="s">
        <v>140</v>
      </c>
      <c r="D18" s="2" t="s">
        <v>312</v>
      </c>
      <c r="E18" t="s">
        <v>313</v>
      </c>
      <c r="F18" s="90" t="s">
        <v>59</v>
      </c>
      <c r="G18" s="90">
        <v>15000</v>
      </c>
      <c r="H18" s="59">
        <v>92</v>
      </c>
      <c r="J18" s="72"/>
      <c r="K18" s="59">
        <v>5.5</v>
      </c>
      <c r="N18" s="34">
        <f>1/(K18/100)</f>
        <v>18.181818181818183</v>
      </c>
      <c r="S18" s="302">
        <f>N18/'Fuels, properties and prices'!$F$3</f>
        <v>0.56635267602347372</v>
      </c>
      <c r="T18" s="257">
        <v>1268</v>
      </c>
      <c r="U18" s="160">
        <v>20235.01639344262</v>
      </c>
      <c r="V18" s="47">
        <f t="shared" si="0"/>
        <v>24545.0748852459</v>
      </c>
      <c r="W18" s="296">
        <f t="shared" si="1"/>
        <v>1640</v>
      </c>
      <c r="X18" s="320"/>
    </row>
    <row r="19" spans="1:27">
      <c r="A19" s="327"/>
      <c r="B19" s="11"/>
      <c r="C19" s="2" t="s">
        <v>331</v>
      </c>
      <c r="D19" s="2" t="s">
        <v>349</v>
      </c>
      <c r="E19" t="s">
        <v>351</v>
      </c>
      <c r="F19" s="90" t="s">
        <v>59</v>
      </c>
      <c r="G19" s="90">
        <v>15000</v>
      </c>
      <c r="H19" s="59">
        <v>110</v>
      </c>
      <c r="J19" s="72"/>
      <c r="K19" s="59">
        <v>4.9000000000000004</v>
      </c>
      <c r="N19" s="34">
        <f>1/(K19/100)</f>
        <v>20.408163265306122</v>
      </c>
      <c r="O19" s="49"/>
      <c r="S19" s="302">
        <f>N19/'Fuels, properties and prices'!$F$3</f>
        <v>0.63570198329165406</v>
      </c>
      <c r="T19" s="257">
        <v>1277</v>
      </c>
      <c r="U19" s="160">
        <v>19521.901639344262</v>
      </c>
      <c r="V19" s="47">
        <f t="shared" si="0"/>
        <v>23680.066688524592</v>
      </c>
      <c r="W19" s="296">
        <f t="shared" si="1"/>
        <v>1580</v>
      </c>
      <c r="X19" s="320"/>
    </row>
    <row r="20" spans="1:27" s="40" customFormat="1">
      <c r="A20" s="327"/>
      <c r="B20" s="11"/>
      <c r="C20" s="2" t="s">
        <v>70</v>
      </c>
      <c r="D20" s="2" t="s">
        <v>64</v>
      </c>
      <c r="E20" s="2" t="s">
        <v>115</v>
      </c>
      <c r="F20" s="114" t="s">
        <v>59</v>
      </c>
      <c r="G20" s="90">
        <v>15000</v>
      </c>
      <c r="H20" s="59">
        <v>73</v>
      </c>
      <c r="I20"/>
      <c r="J20" s="72"/>
      <c r="K20" s="59">
        <v>5.6</v>
      </c>
      <c r="L20"/>
      <c r="M20"/>
      <c r="N20" s="34">
        <f>1/(K20/100)</f>
        <v>17.857142857142858</v>
      </c>
      <c r="O20"/>
      <c r="P20"/>
      <c r="Q20"/>
      <c r="R20"/>
      <c r="S20" s="302">
        <f>N20/'Fuels, properties and prices'!$F$3</f>
        <v>0.55623923538019737</v>
      </c>
      <c r="T20" s="257">
        <v>1355</v>
      </c>
      <c r="U20" s="160">
        <v>16120.26</v>
      </c>
      <c r="V20" s="47">
        <f t="shared" si="0"/>
        <v>19553.875380000001</v>
      </c>
      <c r="W20" s="296">
        <f t="shared" si="1"/>
        <v>1300</v>
      </c>
      <c r="X20" s="320"/>
      <c r="Z20"/>
    </row>
    <row r="21" spans="1:27">
      <c r="A21" s="327"/>
      <c r="B21" s="11"/>
      <c r="C21" s="43" t="s">
        <v>267</v>
      </c>
      <c r="D21" s="43"/>
      <c r="E21" s="43"/>
      <c r="F21" s="114" t="s">
        <v>59</v>
      </c>
      <c r="G21" s="90">
        <v>15000</v>
      </c>
      <c r="H21" s="67">
        <f>AVERAGE(H17:H20)</f>
        <v>92.75</v>
      </c>
      <c r="I21" s="44"/>
      <c r="J21" s="62"/>
      <c r="K21" s="254">
        <f>AVERAGE(K17:K20)</f>
        <v>5.4749999999999996</v>
      </c>
      <c r="L21" s="44"/>
      <c r="M21" s="44"/>
      <c r="N21" s="34">
        <f>1/(K21/100)</f>
        <v>18.264840182648403</v>
      </c>
      <c r="S21" s="302">
        <f>N21/'Fuels, properties and prices'!$F$3</f>
        <v>0.56893876130211962</v>
      </c>
      <c r="T21" s="258">
        <f>AVERAGE(T17:T20)</f>
        <v>1309</v>
      </c>
      <c r="U21" s="151">
        <f>AVERAGE(U17:U20)</f>
        <v>18900.999508196717</v>
      </c>
      <c r="V21" s="47">
        <f t="shared" si="0"/>
        <v>22926.91240344262</v>
      </c>
      <c r="W21" s="296">
        <f t="shared" si="1"/>
        <v>1530</v>
      </c>
      <c r="X21" s="320"/>
      <c r="Z21" s="6"/>
      <c r="AA21" s="6"/>
    </row>
    <row r="22" spans="1:27">
      <c r="A22" s="327"/>
      <c r="B22" s="11"/>
      <c r="C22" s="40"/>
      <c r="F22" s="72"/>
      <c r="H22" s="59"/>
      <c r="J22" s="72"/>
      <c r="K22" s="86">
        <f>K21/K15</f>
        <v>1.1566901408450703</v>
      </c>
      <c r="N22" s="34"/>
      <c r="S22" s="302"/>
      <c r="T22" s="257"/>
      <c r="U22" s="161"/>
      <c r="V22" s="47"/>
      <c r="W22" s="296"/>
      <c r="X22" s="320"/>
      <c r="Z22" s="6"/>
      <c r="AA22" s="6"/>
    </row>
    <row r="23" spans="1:27">
      <c r="A23" s="327"/>
      <c r="B23" s="11"/>
      <c r="C23" s="2" t="s">
        <v>45</v>
      </c>
      <c r="D23" s="2" t="s">
        <v>94</v>
      </c>
      <c r="E23" s="2" t="s">
        <v>99</v>
      </c>
      <c r="F23" s="114" t="s">
        <v>100</v>
      </c>
      <c r="G23" s="90">
        <v>15000</v>
      </c>
      <c r="H23" s="68">
        <v>110</v>
      </c>
      <c r="I23" s="2"/>
      <c r="J23" s="74"/>
      <c r="K23" s="68">
        <v>5</v>
      </c>
      <c r="L23" s="2"/>
      <c r="M23" s="2"/>
      <c r="N23" s="48">
        <f>1/(K23/100)</f>
        <v>20</v>
      </c>
      <c r="O23" s="2"/>
      <c r="P23" s="2"/>
      <c r="Q23" s="2"/>
      <c r="R23" s="2"/>
      <c r="S23" s="302">
        <f>N23/'Fuels, properties and prices'!$F$3</f>
        <v>0.62298794362582099</v>
      </c>
      <c r="T23" s="257">
        <v>1305</v>
      </c>
      <c r="U23" s="160">
        <v>25341.57</v>
      </c>
      <c r="V23" s="47">
        <f t="shared" si="0"/>
        <v>30739.324410000001</v>
      </c>
      <c r="W23" s="296">
        <f t="shared" si="1"/>
        <v>2050</v>
      </c>
      <c r="X23" s="320"/>
      <c r="Z23" s="6"/>
      <c r="AA23" s="6"/>
    </row>
    <row r="24" spans="1:27">
      <c r="A24" s="327"/>
      <c r="B24" s="11"/>
      <c r="C24" s="246" t="s">
        <v>273</v>
      </c>
      <c r="D24" s="55"/>
      <c r="E24" s="55"/>
      <c r="F24" s="114" t="s">
        <v>100</v>
      </c>
      <c r="G24" s="90">
        <v>15000</v>
      </c>
      <c r="H24" s="69">
        <f>H23/H17</f>
        <v>1.1458333333333333</v>
      </c>
      <c r="I24" s="55"/>
      <c r="J24" s="65"/>
      <c r="K24" s="87">
        <f>K23/K17</f>
        <v>0.84745762711864403</v>
      </c>
      <c r="L24" s="55"/>
      <c r="M24" s="55"/>
      <c r="N24" s="55">
        <f>N23/N17</f>
        <v>1.1800000000000002</v>
      </c>
      <c r="O24" s="55"/>
      <c r="P24" s="55"/>
      <c r="Q24" s="55"/>
      <c r="R24" s="55"/>
      <c r="S24" s="302">
        <f>S23/S17</f>
        <v>1.1800000000000002</v>
      </c>
      <c r="T24" s="260">
        <f>T23/T17</f>
        <v>0.97679640718562877</v>
      </c>
      <c r="U24" s="285"/>
      <c r="V24" s="47"/>
      <c r="W24" s="296"/>
      <c r="X24" s="320"/>
      <c r="Z24" s="6"/>
      <c r="AA24" s="6"/>
    </row>
    <row r="25" spans="1:27">
      <c r="A25" s="327"/>
      <c r="B25" s="11"/>
      <c r="F25" s="72"/>
      <c r="H25" s="59"/>
      <c r="J25" s="72"/>
      <c r="K25" s="59"/>
      <c r="N25" s="34"/>
      <c r="S25" s="302"/>
      <c r="T25" s="257"/>
      <c r="U25" s="161"/>
      <c r="V25" s="47"/>
      <c r="W25" s="296"/>
      <c r="X25" s="320"/>
      <c r="Z25" s="6"/>
      <c r="AA25" s="6"/>
    </row>
    <row r="26" spans="1:27">
      <c r="A26" s="327"/>
      <c r="B26" s="11"/>
      <c r="C26" s="2" t="s">
        <v>33</v>
      </c>
      <c r="D26" s="2" t="s">
        <v>148</v>
      </c>
      <c r="E26" t="s">
        <v>149</v>
      </c>
      <c r="F26" s="89" t="s">
        <v>61</v>
      </c>
      <c r="G26" s="89">
        <v>20000</v>
      </c>
      <c r="H26" s="59">
        <v>110</v>
      </c>
      <c r="J26" s="72"/>
      <c r="K26" s="59">
        <v>5.3</v>
      </c>
      <c r="N26" s="34">
        <f>1/(K26/100)</f>
        <v>18.867924528301888</v>
      </c>
      <c r="S26" s="302">
        <f>N26/'Fuels, properties and prices'!$F$3</f>
        <v>0.58772447511869907</v>
      </c>
      <c r="T26" s="257">
        <v>1413</v>
      </c>
      <c r="U26" s="160">
        <v>28033.61</v>
      </c>
      <c r="V26" s="47">
        <f t="shared" si="0"/>
        <v>34004.768930000006</v>
      </c>
      <c r="W26" s="296">
        <f t="shared" si="1"/>
        <v>1700</v>
      </c>
      <c r="X26" s="320"/>
      <c r="Z26" s="6"/>
      <c r="AA26" s="6"/>
    </row>
    <row r="27" spans="1:27">
      <c r="A27" s="327"/>
      <c r="B27" s="11"/>
      <c r="C27" s="2" t="s">
        <v>304</v>
      </c>
      <c r="D27" s="30">
        <v>6</v>
      </c>
      <c r="E27" t="s">
        <v>305</v>
      </c>
      <c r="F27" s="89" t="s">
        <v>61</v>
      </c>
      <c r="G27" s="89">
        <v>20000</v>
      </c>
      <c r="H27" s="59">
        <v>121</v>
      </c>
      <c r="J27" s="72"/>
      <c r="K27" s="59">
        <v>6.2</v>
      </c>
      <c r="N27" s="34">
        <f>1/(K27/100)</f>
        <v>16.129032258064516</v>
      </c>
      <c r="S27" s="302">
        <f>N27/'Fuels, properties and prices'!$F$3</f>
        <v>0.50240963195630728</v>
      </c>
      <c r="T27" s="257">
        <v>1562</v>
      </c>
      <c r="U27" s="160">
        <v>27021.901639344273</v>
      </c>
      <c r="V27" s="47">
        <f t="shared" si="0"/>
        <v>32777.566688524603</v>
      </c>
      <c r="W27" s="296">
        <f t="shared" si="1"/>
        <v>1640</v>
      </c>
      <c r="X27" s="320"/>
      <c r="Z27" s="6"/>
      <c r="AA27" s="6"/>
    </row>
    <row r="28" spans="1:27">
      <c r="A28" s="327"/>
      <c r="B28" s="11"/>
      <c r="C28" s="2" t="s">
        <v>118</v>
      </c>
      <c r="D28" s="30" t="s">
        <v>318</v>
      </c>
      <c r="E28" t="s">
        <v>320</v>
      </c>
      <c r="F28" s="89" t="s">
        <v>61</v>
      </c>
      <c r="G28" s="89">
        <v>20000</v>
      </c>
      <c r="H28" s="59">
        <v>110</v>
      </c>
      <c r="J28" s="72"/>
      <c r="K28" s="59">
        <v>5.6</v>
      </c>
      <c r="N28" s="34">
        <f>1/(K28/100)</f>
        <v>17.857142857142858</v>
      </c>
      <c r="S28" s="302">
        <f>N28/'Fuels, properties and prices'!$F$3</f>
        <v>0.55623923538019737</v>
      </c>
      <c r="T28" s="257">
        <v>1505</v>
      </c>
      <c r="U28" s="160">
        <v>27349.770491803272</v>
      </c>
      <c r="V28" s="47">
        <f t="shared" si="0"/>
        <v>33175.27160655737</v>
      </c>
      <c r="W28" s="296">
        <f t="shared" si="1"/>
        <v>1660</v>
      </c>
      <c r="X28" s="320"/>
    </row>
    <row r="29" spans="1:27">
      <c r="A29" s="327"/>
      <c r="B29" s="11"/>
      <c r="C29" s="43" t="s">
        <v>267</v>
      </c>
      <c r="D29" s="43"/>
      <c r="E29" s="43"/>
      <c r="F29" s="89" t="s">
        <v>61</v>
      </c>
      <c r="G29" s="89">
        <v>20000</v>
      </c>
      <c r="H29" s="67">
        <f>AVERAGE(H26:H28)</f>
        <v>113.66666666666667</v>
      </c>
      <c r="I29" s="44"/>
      <c r="J29" s="62"/>
      <c r="K29" s="67">
        <f>AVERAGE(K26:K28)</f>
        <v>5.7</v>
      </c>
      <c r="L29" s="44"/>
      <c r="M29" s="44"/>
      <c r="N29" s="34">
        <f>1/(K29/100)</f>
        <v>17.543859649122805</v>
      </c>
      <c r="S29" s="302">
        <f>N29/'Fuels, properties and prices'!$F$3</f>
        <v>0.54648065230335163</v>
      </c>
      <c r="T29" s="258">
        <f>AVERAGE(T26:T28)</f>
        <v>1493.3333333333333</v>
      </c>
      <c r="U29" s="151">
        <f>AVERAGE(U26:U28)</f>
        <v>27468.427377049182</v>
      </c>
      <c r="V29" s="47">
        <f t="shared" si="0"/>
        <v>33319.202408360659</v>
      </c>
      <c r="W29" s="296">
        <f t="shared" si="1"/>
        <v>1670</v>
      </c>
      <c r="X29" s="320"/>
      <c r="Z29" s="6"/>
      <c r="AA29" s="6"/>
    </row>
    <row r="30" spans="1:27">
      <c r="A30" s="327"/>
      <c r="B30" s="11"/>
      <c r="C30" s="40"/>
      <c r="D30" s="2"/>
      <c r="E30" s="2"/>
      <c r="F30" s="74"/>
      <c r="G30" s="2"/>
      <c r="H30" s="59"/>
      <c r="J30" s="72"/>
      <c r="K30" s="59"/>
      <c r="N30" s="34"/>
      <c r="S30" s="302"/>
      <c r="T30" s="257"/>
      <c r="U30" s="160"/>
      <c r="V30" s="47"/>
      <c r="W30" s="296"/>
      <c r="X30" s="320"/>
    </row>
    <row r="31" spans="1:27">
      <c r="A31" s="327"/>
      <c r="B31" s="11"/>
      <c r="C31" s="2" t="s">
        <v>71</v>
      </c>
      <c r="D31" s="2" t="s">
        <v>87</v>
      </c>
      <c r="E31" s="2" t="s">
        <v>95</v>
      </c>
      <c r="F31" s="115" t="s">
        <v>461</v>
      </c>
      <c r="G31" s="280">
        <v>15000</v>
      </c>
      <c r="H31" s="68">
        <v>88</v>
      </c>
      <c r="I31" s="2"/>
      <c r="J31" s="74"/>
      <c r="K31" s="68">
        <v>5.7</v>
      </c>
      <c r="L31" s="2"/>
      <c r="M31" s="2"/>
      <c r="N31" s="34">
        <f>1/(K31/100)</f>
        <v>17.543859649122805</v>
      </c>
      <c r="S31" s="302">
        <f>N31/'Fuels, properties and prices'!$F$3</f>
        <v>0.54648065230335163</v>
      </c>
      <c r="T31" s="257">
        <v>1420</v>
      </c>
      <c r="U31" s="160">
        <v>14808.79</v>
      </c>
      <c r="V31" s="47">
        <f t="shared" si="0"/>
        <v>17963.062270000002</v>
      </c>
      <c r="W31" s="296">
        <f t="shared" si="1"/>
        <v>1200</v>
      </c>
      <c r="X31" s="320"/>
    </row>
    <row r="32" spans="1:27">
      <c r="A32" s="327"/>
      <c r="B32" s="11"/>
      <c r="C32" s="2" t="s">
        <v>102</v>
      </c>
      <c r="D32" s="2" t="s">
        <v>103</v>
      </c>
      <c r="E32" s="2" t="s">
        <v>295</v>
      </c>
      <c r="F32" s="115" t="s">
        <v>461</v>
      </c>
      <c r="G32" s="280">
        <v>15000</v>
      </c>
      <c r="H32" s="68">
        <v>103</v>
      </c>
      <c r="I32" s="2"/>
      <c r="J32" s="74"/>
      <c r="K32" s="68">
        <v>6</v>
      </c>
      <c r="L32" s="2"/>
      <c r="M32" s="2"/>
      <c r="N32" s="34">
        <f t="shared" ref="N32:N37" si="3">1/(K32/100)</f>
        <v>16.666666666666668</v>
      </c>
      <c r="S32" s="302">
        <f>N32/'Fuels, properties and prices'!$F$3</f>
        <v>0.51915661968818416</v>
      </c>
      <c r="T32" s="257">
        <v>1395</v>
      </c>
      <c r="U32" s="160">
        <v>21038.295081967211</v>
      </c>
      <c r="V32" s="47">
        <f t="shared" si="0"/>
        <v>25519.45193442623</v>
      </c>
      <c r="W32" s="296">
        <f t="shared" si="1"/>
        <v>1700</v>
      </c>
      <c r="X32" s="320"/>
    </row>
    <row r="33" spans="1:44">
      <c r="A33" s="327"/>
      <c r="B33" s="11"/>
      <c r="C33" t="s">
        <v>118</v>
      </c>
      <c r="D33" t="s">
        <v>197</v>
      </c>
      <c r="E33" t="s">
        <v>198</v>
      </c>
      <c r="F33" s="115" t="s">
        <v>461</v>
      </c>
      <c r="G33" s="280">
        <v>15000</v>
      </c>
      <c r="H33" s="59">
        <v>87</v>
      </c>
      <c r="J33" s="72"/>
      <c r="K33" s="59">
        <v>6</v>
      </c>
      <c r="N33" s="34">
        <f t="shared" si="3"/>
        <v>16.666666666666668</v>
      </c>
      <c r="S33" s="302">
        <f>N33/'Fuels, properties and prices'!$F$3</f>
        <v>0.51915661968818416</v>
      </c>
      <c r="T33" s="257">
        <v>1277</v>
      </c>
      <c r="U33" s="161">
        <v>16650</v>
      </c>
      <c r="V33" s="47">
        <f t="shared" si="0"/>
        <v>20196.45</v>
      </c>
      <c r="W33" s="296">
        <f t="shared" si="1"/>
        <v>1350</v>
      </c>
      <c r="X33" s="320"/>
    </row>
    <row r="34" spans="1:44">
      <c r="A34" s="327"/>
      <c r="B34" s="11"/>
      <c r="C34" t="s">
        <v>69</v>
      </c>
      <c r="D34" t="s">
        <v>256</v>
      </c>
      <c r="E34" t="s">
        <v>259</v>
      </c>
      <c r="F34" s="115" t="s">
        <v>461</v>
      </c>
      <c r="G34" s="280">
        <v>15000</v>
      </c>
      <c r="H34" s="59">
        <v>83</v>
      </c>
      <c r="J34" s="72"/>
      <c r="K34" s="59">
        <v>6.5</v>
      </c>
      <c r="N34" s="34">
        <f t="shared" si="3"/>
        <v>15.384615384615383</v>
      </c>
      <c r="S34" s="302">
        <f>N34/'Fuels, properties and prices'!$F$3</f>
        <v>0.47922149509678535</v>
      </c>
      <c r="T34" s="257">
        <v>1277</v>
      </c>
      <c r="U34" s="161">
        <v>15431.73770491804</v>
      </c>
      <c r="V34" s="47">
        <f t="shared" si="0"/>
        <v>18718.697836065585</v>
      </c>
      <c r="W34" s="296">
        <f t="shared" si="1"/>
        <v>1250</v>
      </c>
      <c r="X34" s="320"/>
      <c r="Z34" s="6"/>
      <c r="AA34" s="6"/>
    </row>
    <row r="35" spans="1:44">
      <c r="A35" s="327"/>
      <c r="B35" s="11"/>
      <c r="C35" s="2" t="s">
        <v>331</v>
      </c>
      <c r="D35" s="2" t="s">
        <v>348</v>
      </c>
      <c r="E35" t="s">
        <v>346</v>
      </c>
      <c r="F35" s="115" t="s">
        <v>461</v>
      </c>
      <c r="G35" s="280">
        <v>15000</v>
      </c>
      <c r="H35" s="59">
        <v>85</v>
      </c>
      <c r="J35" s="72"/>
      <c r="K35" s="59">
        <v>5</v>
      </c>
      <c r="N35" s="34">
        <f t="shared" si="3"/>
        <v>20</v>
      </c>
      <c r="S35" s="302">
        <f>N35/'Fuels, properties and prices'!$F$3</f>
        <v>0.62298794362582099</v>
      </c>
      <c r="T35" s="257">
        <v>1187</v>
      </c>
      <c r="U35" s="161">
        <v>15628.45901639345</v>
      </c>
      <c r="V35" s="47">
        <f t="shared" si="0"/>
        <v>18957.320786885255</v>
      </c>
      <c r="W35" s="296">
        <f t="shared" si="1"/>
        <v>1260</v>
      </c>
      <c r="X35" s="320"/>
      <c r="Z35" s="6"/>
      <c r="AA35" s="6"/>
    </row>
    <row r="36" spans="1:44">
      <c r="A36" s="327"/>
      <c r="B36" s="11"/>
      <c r="C36" t="s">
        <v>70</v>
      </c>
      <c r="D36" t="s">
        <v>359</v>
      </c>
      <c r="E36" t="s">
        <v>361</v>
      </c>
      <c r="F36" s="115" t="s">
        <v>461</v>
      </c>
      <c r="G36" s="280">
        <v>15000</v>
      </c>
      <c r="H36" s="59">
        <v>85</v>
      </c>
      <c r="J36" s="72"/>
      <c r="K36" s="59">
        <v>6</v>
      </c>
      <c r="N36" s="34">
        <f>1/(K36/100)</f>
        <v>16.666666666666668</v>
      </c>
      <c r="S36" s="302">
        <f>N36/'Fuels, properties and prices'!$F$3</f>
        <v>0.51915661968818416</v>
      </c>
      <c r="T36" s="257">
        <v>1460</v>
      </c>
      <c r="U36" s="161">
        <v>19931.737704918032</v>
      </c>
      <c r="V36" s="47">
        <f t="shared" si="0"/>
        <v>24177.197836065574</v>
      </c>
      <c r="W36" s="296">
        <f t="shared" si="1"/>
        <v>1610</v>
      </c>
      <c r="X36" s="320"/>
      <c r="Z36" s="6"/>
      <c r="AA36" s="6"/>
    </row>
    <row r="37" spans="1:44">
      <c r="A37" s="327"/>
      <c r="B37" s="11"/>
      <c r="C37" s="2" t="s">
        <v>105</v>
      </c>
      <c r="D37" s="2" t="s">
        <v>356</v>
      </c>
      <c r="E37" s="2" t="s">
        <v>358</v>
      </c>
      <c r="F37" s="115" t="s">
        <v>461</v>
      </c>
      <c r="G37" s="280">
        <v>15000</v>
      </c>
      <c r="H37" s="68">
        <v>97</v>
      </c>
      <c r="I37" s="2"/>
      <c r="J37" s="74"/>
      <c r="K37" s="68">
        <v>6.7</v>
      </c>
      <c r="L37" s="2"/>
      <c r="M37" s="2"/>
      <c r="N37" s="34">
        <f t="shared" si="3"/>
        <v>14.925373134328357</v>
      </c>
      <c r="S37" s="302">
        <f>N37/'Fuels, properties and prices'!$F$3</f>
        <v>0.46491637584016487</v>
      </c>
      <c r="T37" s="257">
        <v>1417</v>
      </c>
      <c r="U37" s="160">
        <v>14071.081967213118</v>
      </c>
      <c r="V37" s="47">
        <f t="shared" si="0"/>
        <v>17068.222426229513</v>
      </c>
      <c r="W37" s="296">
        <f t="shared" si="1"/>
        <v>1140</v>
      </c>
      <c r="X37" s="320"/>
    </row>
    <row r="38" spans="1:44">
      <c r="A38" s="327"/>
      <c r="B38" s="11"/>
      <c r="C38" s="43" t="s">
        <v>267</v>
      </c>
      <c r="D38" s="43"/>
      <c r="E38" s="43"/>
      <c r="F38" s="115" t="s">
        <v>461</v>
      </c>
      <c r="G38" s="280">
        <v>15000</v>
      </c>
      <c r="H38" s="67">
        <f>AVERAGE(H31:H37)</f>
        <v>89.714285714285708</v>
      </c>
      <c r="I38" s="44"/>
      <c r="J38" s="62"/>
      <c r="K38" s="254">
        <f>AVERAGE(K31:K37)</f>
        <v>5.9857142857142867</v>
      </c>
      <c r="L38" s="44"/>
      <c r="M38" s="44"/>
      <c r="N38" s="34">
        <f>1/(K38/100)</f>
        <v>16.706443914081142</v>
      </c>
      <c r="S38" s="302">
        <f>N38/'Fuels, properties and prices'!$F$3</f>
        <v>0.52039565696667611</v>
      </c>
      <c r="T38" s="258">
        <f>AVERAGE(T31:T37)</f>
        <v>1347.5714285714287</v>
      </c>
      <c r="U38" s="151">
        <f>AVERAGE(U31:U37)</f>
        <v>16794.300210772835</v>
      </c>
      <c r="V38" s="47">
        <f t="shared" si="0"/>
        <v>20371.486155667451</v>
      </c>
      <c r="W38" s="296">
        <f t="shared" si="1"/>
        <v>1360</v>
      </c>
      <c r="X38" s="320"/>
      <c r="Z38" s="6"/>
      <c r="AA38" s="6"/>
    </row>
    <row r="39" spans="1:44">
      <c r="A39" s="327"/>
      <c r="B39" s="11"/>
      <c r="F39" s="72"/>
      <c r="H39" s="59"/>
      <c r="J39" s="72"/>
      <c r="K39" s="59"/>
      <c r="S39" s="302"/>
      <c r="T39" s="257"/>
      <c r="U39" s="161"/>
      <c r="V39" s="47"/>
      <c r="W39" s="296"/>
      <c r="X39" s="320"/>
    </row>
    <row r="40" spans="1:44">
      <c r="A40" s="327"/>
      <c r="B40" s="11"/>
      <c r="C40" s="2" t="s">
        <v>70</v>
      </c>
      <c r="D40" s="2" t="s">
        <v>123</v>
      </c>
      <c r="E40" s="2" t="s">
        <v>124</v>
      </c>
      <c r="F40" s="116" t="s">
        <v>191</v>
      </c>
      <c r="G40" s="281">
        <v>20000</v>
      </c>
      <c r="H40" s="68">
        <v>112</v>
      </c>
      <c r="I40" s="2"/>
      <c r="J40" s="74"/>
      <c r="K40" s="68">
        <v>6.8</v>
      </c>
      <c r="L40" s="2"/>
      <c r="M40" s="2"/>
      <c r="N40" s="34">
        <f t="shared" ref="N40:N45" si="4">1/(K40/100)</f>
        <v>14.705882352941176</v>
      </c>
      <c r="S40" s="302">
        <f>N40/'Fuels, properties and prices'!$F$3</f>
        <v>0.45807937031310364</v>
      </c>
      <c r="T40" s="257">
        <v>1660</v>
      </c>
      <c r="U40" s="160">
        <v>25781.51</v>
      </c>
      <c r="V40" s="47">
        <f t="shared" si="0"/>
        <v>31272.97163</v>
      </c>
      <c r="W40" s="296">
        <f t="shared" si="1"/>
        <v>1560</v>
      </c>
      <c r="X40" s="320"/>
    </row>
    <row r="41" spans="1:44">
      <c r="A41" s="327"/>
      <c r="B41" s="11"/>
      <c r="C41" s="2" t="s">
        <v>72</v>
      </c>
      <c r="D41" s="2" t="s">
        <v>321</v>
      </c>
      <c r="E41" s="2" t="s">
        <v>322</v>
      </c>
      <c r="F41" s="116" t="s">
        <v>191</v>
      </c>
      <c r="G41" s="281">
        <v>20000</v>
      </c>
      <c r="H41" s="68">
        <v>88</v>
      </c>
      <c r="I41" s="2"/>
      <c r="J41" s="74"/>
      <c r="K41" s="68">
        <v>6.3</v>
      </c>
      <c r="L41" s="2"/>
      <c r="M41" s="2"/>
      <c r="N41" s="34">
        <f t="shared" si="4"/>
        <v>15.873015873015873</v>
      </c>
      <c r="S41" s="302">
        <f>N41/'Fuels, properties and prices'!$F$3</f>
        <v>0.49443487589350876</v>
      </c>
      <c r="T41" s="257">
        <v>1579</v>
      </c>
      <c r="U41" s="160">
        <v>23046.491803278692</v>
      </c>
      <c r="V41" s="47">
        <f t="shared" si="0"/>
        <v>27955.394557377054</v>
      </c>
      <c r="W41" s="296">
        <f t="shared" si="1"/>
        <v>1400</v>
      </c>
      <c r="X41" s="320"/>
    </row>
    <row r="42" spans="1:44">
      <c r="A42" s="327"/>
      <c r="B42" s="11"/>
      <c r="C42" s="2" t="s">
        <v>128</v>
      </c>
      <c r="D42" s="2" t="s">
        <v>129</v>
      </c>
      <c r="E42" s="2" t="s">
        <v>130</v>
      </c>
      <c r="F42" s="116" t="s">
        <v>191</v>
      </c>
      <c r="G42" s="281">
        <v>20000</v>
      </c>
      <c r="H42" s="68">
        <v>110</v>
      </c>
      <c r="I42" s="2"/>
      <c r="J42" s="74"/>
      <c r="K42" s="68">
        <v>6.7</v>
      </c>
      <c r="L42" s="2"/>
      <c r="M42" s="2"/>
      <c r="N42" s="34">
        <f t="shared" si="4"/>
        <v>14.925373134328357</v>
      </c>
      <c r="S42" s="302">
        <f>N42/'Fuels, properties and prices'!$F$3</f>
        <v>0.46491637584016487</v>
      </c>
      <c r="T42" s="257">
        <v>1470</v>
      </c>
      <c r="U42" s="160">
        <v>23825.18</v>
      </c>
      <c r="V42" s="47">
        <f t="shared" si="0"/>
        <v>28899.943340000002</v>
      </c>
      <c r="W42" s="296">
        <f t="shared" si="1"/>
        <v>1440</v>
      </c>
      <c r="X42" s="320"/>
    </row>
    <row r="43" spans="1:44">
      <c r="A43" s="327"/>
      <c r="B43" s="11"/>
      <c r="C43" t="s">
        <v>142</v>
      </c>
      <c r="D43" s="58">
        <v>5008</v>
      </c>
      <c r="E43" t="s">
        <v>329</v>
      </c>
      <c r="F43" s="116" t="s">
        <v>191</v>
      </c>
      <c r="G43" s="281">
        <v>20000</v>
      </c>
      <c r="H43" s="59">
        <v>96</v>
      </c>
      <c r="J43" s="72"/>
      <c r="K43" s="59">
        <v>5.3</v>
      </c>
      <c r="N43" s="34">
        <f t="shared" si="4"/>
        <v>18.867924528301888</v>
      </c>
      <c r="S43" s="302">
        <f>N43/'Fuels, properties and prices'!$F$3</f>
        <v>0.58772447511869907</v>
      </c>
      <c r="T43" s="257">
        <v>1518</v>
      </c>
      <c r="U43" s="161">
        <v>23071.081967213122</v>
      </c>
      <c r="V43" s="47">
        <f t="shared" si="0"/>
        <v>27985.22242622952</v>
      </c>
      <c r="W43" s="296">
        <f t="shared" si="1"/>
        <v>1400</v>
      </c>
      <c r="X43" s="320"/>
    </row>
    <row r="44" spans="1:44">
      <c r="A44" s="327"/>
      <c r="B44" s="11"/>
      <c r="C44" s="2" t="s">
        <v>331</v>
      </c>
      <c r="D44" s="2" t="s">
        <v>332</v>
      </c>
      <c r="E44" s="2" t="s">
        <v>333</v>
      </c>
      <c r="F44" s="116" t="s">
        <v>191</v>
      </c>
      <c r="G44" s="281">
        <v>20000</v>
      </c>
      <c r="H44" s="68">
        <v>110</v>
      </c>
      <c r="I44" s="2"/>
      <c r="J44" s="74"/>
      <c r="K44" s="68">
        <v>6.3</v>
      </c>
      <c r="L44" s="2"/>
      <c r="M44" s="2"/>
      <c r="N44" s="34">
        <f t="shared" si="4"/>
        <v>15.873015873015873</v>
      </c>
      <c r="S44" s="302">
        <f>N44/'Fuels, properties and prices'!$F$3</f>
        <v>0.49443487589350876</v>
      </c>
      <c r="T44" s="257">
        <v>1599</v>
      </c>
      <c r="U44" s="160">
        <v>23886.655737704918</v>
      </c>
      <c r="V44" s="47">
        <f t="shared" si="0"/>
        <v>28974.513409836069</v>
      </c>
      <c r="W44" s="296">
        <f t="shared" si="1"/>
        <v>1450</v>
      </c>
      <c r="X44" s="320"/>
    </row>
    <row r="45" spans="1:44">
      <c r="A45" s="327"/>
      <c r="B45" s="11"/>
      <c r="C45" s="43" t="s">
        <v>267</v>
      </c>
      <c r="D45" s="43"/>
      <c r="E45" s="43"/>
      <c r="F45" s="116" t="s">
        <v>191</v>
      </c>
      <c r="G45" s="281">
        <v>20000</v>
      </c>
      <c r="H45" s="67">
        <f>AVERAGE(H40:H44)</f>
        <v>103.2</v>
      </c>
      <c r="I45" s="44"/>
      <c r="J45" s="62"/>
      <c r="K45" s="67">
        <f>AVERAGE(K40:K44)</f>
        <v>6.28</v>
      </c>
      <c r="L45" s="44"/>
      <c r="M45" s="44"/>
      <c r="N45" s="34">
        <f t="shared" si="4"/>
        <v>15.923566878980889</v>
      </c>
      <c r="S45" s="302">
        <f>N45/'Fuels, properties and prices'!$F$3</f>
        <v>0.49600950925622683</v>
      </c>
      <c r="T45" s="258">
        <f>AVERAGE(T40:T44)</f>
        <v>1565.2</v>
      </c>
      <c r="U45" s="151">
        <f>AVERAGE(U40:U44)</f>
        <v>23922.183901639342</v>
      </c>
      <c r="V45" s="47">
        <f t="shared" si="0"/>
        <v>29017.609072688523</v>
      </c>
      <c r="W45" s="296">
        <f t="shared" si="1"/>
        <v>1450</v>
      </c>
      <c r="X45" s="320"/>
      <c r="Z45" s="6"/>
      <c r="AA45" s="6"/>
      <c r="AQ45" s="40"/>
      <c r="AR45" s="222"/>
    </row>
    <row r="46" spans="1:44">
      <c r="A46" s="327"/>
      <c r="B46" s="11"/>
      <c r="C46" s="95" t="s">
        <v>426</v>
      </c>
      <c r="D46" s="95"/>
      <c r="E46" s="95"/>
      <c r="F46" s="117"/>
      <c r="G46" s="95"/>
      <c r="H46" s="96">
        <f>H45/H38</f>
        <v>1.1503184713375798</v>
      </c>
      <c r="I46" s="97"/>
      <c r="J46" s="98"/>
      <c r="K46" s="250">
        <f>K45/K38</f>
        <v>1.0491646778042958</v>
      </c>
      <c r="L46" s="251"/>
      <c r="M46" s="251"/>
      <c r="N46" s="252">
        <f>N45/N38</f>
        <v>0.95313921747042774</v>
      </c>
      <c r="O46" s="251"/>
      <c r="P46" s="251"/>
      <c r="Q46" s="251"/>
      <c r="R46" s="251"/>
      <c r="S46" s="302">
        <f>S45/S38</f>
        <v>0.95313921747042774</v>
      </c>
      <c r="T46" s="261">
        <f>T45/T38</f>
        <v>1.1614968726810133</v>
      </c>
      <c r="U46" s="286"/>
      <c r="V46" s="47"/>
      <c r="W46" s="296"/>
      <c r="X46" s="320"/>
      <c r="Z46" s="6"/>
      <c r="AA46" s="6"/>
      <c r="AQ46" s="40"/>
      <c r="AR46" s="85"/>
    </row>
    <row r="47" spans="1:44">
      <c r="A47" s="327"/>
      <c r="B47" s="11"/>
      <c r="C47" s="41"/>
      <c r="D47" s="41"/>
      <c r="E47" s="41"/>
      <c r="F47" s="72"/>
      <c r="H47" s="59"/>
      <c r="I47" s="40"/>
      <c r="J47" s="73"/>
      <c r="K47" s="60"/>
      <c r="L47" s="40"/>
      <c r="M47" s="40"/>
      <c r="N47" s="54"/>
      <c r="O47" s="40"/>
      <c r="P47" s="40"/>
      <c r="Q47" s="40"/>
      <c r="R47" s="40"/>
      <c r="S47" s="303"/>
      <c r="T47" s="259"/>
      <c r="U47" s="284"/>
      <c r="V47" s="47"/>
      <c r="W47" s="296"/>
      <c r="X47" s="320"/>
      <c r="Z47" s="6"/>
      <c r="AA47" s="6"/>
      <c r="AQ47" s="40"/>
    </row>
    <row r="48" spans="1:44">
      <c r="A48" s="327"/>
      <c r="B48" s="11"/>
      <c r="C48" s="2" t="s">
        <v>192</v>
      </c>
      <c r="D48" s="2" t="s">
        <v>193</v>
      </c>
      <c r="E48" s="2" t="s">
        <v>195</v>
      </c>
      <c r="F48" s="116" t="s">
        <v>422</v>
      </c>
      <c r="G48" s="281">
        <v>20000</v>
      </c>
      <c r="H48" s="68">
        <v>155</v>
      </c>
      <c r="I48" s="2"/>
      <c r="J48" s="74"/>
      <c r="K48" s="68">
        <v>7.7</v>
      </c>
      <c r="L48" s="2"/>
      <c r="M48" s="2"/>
      <c r="N48" s="34">
        <f>1/(K48/100)</f>
        <v>12.987012987012987</v>
      </c>
      <c r="S48" s="302">
        <f>N48/'Fuels, properties and prices'!$F$3</f>
        <v>0.40453762573105262</v>
      </c>
      <c r="T48" s="257">
        <v>1735</v>
      </c>
      <c r="U48" s="160">
        <v>50624</v>
      </c>
      <c r="V48" s="47">
        <f t="shared" si="0"/>
        <v>61406.912000000004</v>
      </c>
      <c r="W48" s="296">
        <f t="shared" si="1"/>
        <v>3070</v>
      </c>
      <c r="X48" s="320"/>
    </row>
    <row r="49" spans="1:47">
      <c r="A49" s="327"/>
      <c r="B49" s="11"/>
      <c r="C49" s="246" t="s">
        <v>273</v>
      </c>
      <c r="D49" s="55"/>
      <c r="E49" s="55"/>
      <c r="F49" s="116" t="s">
        <v>422</v>
      </c>
      <c r="G49" s="281">
        <v>20000</v>
      </c>
      <c r="H49" s="87">
        <f>H48/H44</f>
        <v>1.4090909090909092</v>
      </c>
      <c r="I49" s="55"/>
      <c r="J49" s="65"/>
      <c r="K49" s="87">
        <f>K48/K44</f>
        <v>1.2222222222222223</v>
      </c>
      <c r="L49" s="55"/>
      <c r="M49" s="55"/>
      <c r="N49" s="56">
        <f>N48/N44</f>
        <v>0.81818181818181812</v>
      </c>
      <c r="O49" s="55"/>
      <c r="P49" s="55"/>
      <c r="Q49" s="55"/>
      <c r="R49" s="55"/>
      <c r="S49" s="302">
        <f>S48/S44</f>
        <v>0.81818181818181812</v>
      </c>
      <c r="T49" s="260">
        <f>T48/T44</f>
        <v>1.08505315822389</v>
      </c>
      <c r="U49" s="287">
        <f>U48/U44</f>
        <v>2.1193423037487151</v>
      </c>
      <c r="V49" s="47"/>
      <c r="W49" s="296"/>
      <c r="X49" s="320"/>
      <c r="Z49" s="6"/>
      <c r="AA49" s="6"/>
      <c r="AU49" s="239"/>
    </row>
    <row r="50" spans="1:47">
      <c r="A50" s="327"/>
      <c r="B50" s="11"/>
      <c r="C50" s="40"/>
      <c r="F50" s="72"/>
      <c r="H50" s="59"/>
      <c r="J50" s="72"/>
      <c r="K50" s="86"/>
      <c r="S50" s="302"/>
      <c r="T50" s="262"/>
      <c r="U50" s="161"/>
      <c r="V50" s="47"/>
      <c r="W50" s="296"/>
      <c r="X50" s="320"/>
      <c r="Z50" s="6"/>
      <c r="AA50" s="6"/>
    </row>
    <row r="51" spans="1:47">
      <c r="A51" s="327"/>
      <c r="B51" s="249" t="s">
        <v>538</v>
      </c>
      <c r="C51" s="2" t="s">
        <v>324</v>
      </c>
      <c r="D51" s="2" t="s">
        <v>371</v>
      </c>
      <c r="E51" s="2"/>
      <c r="F51" s="118" t="s">
        <v>516</v>
      </c>
      <c r="G51" s="282">
        <v>25000</v>
      </c>
      <c r="H51" s="68">
        <f>H56/H49</f>
        <v>158.96774193548387</v>
      </c>
      <c r="I51" s="2"/>
      <c r="J51" s="74"/>
      <c r="K51" s="88">
        <f>K56/K49</f>
        <v>7.2409090909090903</v>
      </c>
      <c r="L51" s="2"/>
      <c r="M51" s="2"/>
      <c r="N51" s="34">
        <f>1/(K51/100)</f>
        <v>13.810420590081607</v>
      </c>
      <c r="S51" s="302">
        <f>N51/'Fuels, properties and prices'!$F$3</f>
        <v>0.43018627620113192</v>
      </c>
      <c r="T51" s="263">
        <f>T56/T49</f>
        <v>2034.0017291066281</v>
      </c>
      <c r="U51" s="170">
        <f>U56/U49</f>
        <v>26860.30096717077</v>
      </c>
      <c r="V51" s="47">
        <f t="shared" si="0"/>
        <v>32581.545073178146</v>
      </c>
      <c r="W51" s="296">
        <f t="shared" si="1"/>
        <v>1300</v>
      </c>
      <c r="X51" s="320"/>
    </row>
    <row r="52" spans="1:47">
      <c r="A52" s="327"/>
      <c r="B52" s="11"/>
      <c r="C52" s="43" t="s">
        <v>267</v>
      </c>
      <c r="D52" s="43"/>
      <c r="E52" s="43"/>
      <c r="F52" s="118" t="s">
        <v>516</v>
      </c>
      <c r="G52" s="282">
        <v>25000</v>
      </c>
      <c r="H52" s="67">
        <f>AVERAGE(H51)</f>
        <v>158.96774193548387</v>
      </c>
      <c r="I52" s="44"/>
      <c r="J52" s="62"/>
      <c r="K52" s="253">
        <f>AVERAGE(K51)</f>
        <v>7.2409090909090903</v>
      </c>
      <c r="L52" s="44"/>
      <c r="M52" s="44"/>
      <c r="N52" s="34">
        <f>1/(K52/100)</f>
        <v>13.810420590081607</v>
      </c>
      <c r="S52" s="302">
        <f>N52/'Fuels, properties and prices'!$F$3</f>
        <v>0.43018627620113192</v>
      </c>
      <c r="T52" s="258">
        <f>AVERAGE(T51)</f>
        <v>2034.0017291066281</v>
      </c>
      <c r="U52" s="151">
        <f>AVERAGE(U51)</f>
        <v>26860.30096717077</v>
      </c>
      <c r="V52" s="47">
        <f t="shared" si="0"/>
        <v>32581.545073178146</v>
      </c>
      <c r="W52" s="296">
        <f t="shared" si="1"/>
        <v>1300</v>
      </c>
      <c r="X52" s="320"/>
      <c r="Z52" s="6"/>
      <c r="AA52" s="6"/>
    </row>
    <row r="53" spans="1:47">
      <c r="A53" s="327"/>
      <c r="B53" s="11"/>
      <c r="C53" s="41"/>
      <c r="D53" s="41"/>
      <c r="E53" s="41"/>
      <c r="F53" s="112"/>
      <c r="G53" s="41"/>
      <c r="H53" s="59"/>
      <c r="I53" s="40"/>
      <c r="J53" s="73"/>
      <c r="K53" s="60"/>
      <c r="L53" s="40"/>
      <c r="M53" s="40"/>
      <c r="N53" s="54"/>
      <c r="O53" s="40"/>
      <c r="P53" s="40"/>
      <c r="Q53" s="40"/>
      <c r="R53" s="40"/>
      <c r="S53" s="303"/>
      <c r="T53" s="259"/>
      <c r="U53" s="284"/>
      <c r="V53" s="47"/>
      <c r="W53" s="296"/>
      <c r="X53" s="320"/>
      <c r="Z53" s="6"/>
      <c r="AA53" s="6"/>
    </row>
    <row r="54" spans="1:47">
      <c r="A54" s="327"/>
      <c r="B54" s="11"/>
      <c r="C54" s="2" t="s">
        <v>334</v>
      </c>
      <c r="D54" s="2" t="s">
        <v>335</v>
      </c>
      <c r="E54" s="2" t="s">
        <v>336</v>
      </c>
      <c r="F54" s="118" t="s">
        <v>517</v>
      </c>
      <c r="G54" s="282">
        <v>25000</v>
      </c>
      <c r="H54" s="59">
        <v>228</v>
      </c>
      <c r="J54" s="72"/>
      <c r="K54" s="86">
        <v>8.1</v>
      </c>
      <c r="N54" s="34">
        <f t="shared" ref="N54:N59" si="5">1/(K54/100)</f>
        <v>12.345679012345679</v>
      </c>
      <c r="S54" s="302">
        <f>N54/'Fuels, properties and prices'!$F$3</f>
        <v>0.38456045902828456</v>
      </c>
      <c r="T54" s="257">
        <v>2229</v>
      </c>
      <c r="U54" s="160">
        <v>57213</v>
      </c>
      <c r="V54" s="47">
        <f t="shared" si="0"/>
        <v>69399.369000000006</v>
      </c>
      <c r="W54" s="296">
        <f t="shared" si="1"/>
        <v>2780</v>
      </c>
      <c r="X54" s="320"/>
    </row>
    <row r="55" spans="1:47">
      <c r="A55" s="327"/>
      <c r="B55" s="11"/>
      <c r="C55" s="2" t="s">
        <v>183</v>
      </c>
      <c r="D55" s="2" t="s">
        <v>184</v>
      </c>
      <c r="E55" s="2" t="s">
        <v>341</v>
      </c>
      <c r="F55" s="118" t="s">
        <v>517</v>
      </c>
      <c r="G55" s="282">
        <v>25000</v>
      </c>
      <c r="H55" s="68">
        <v>220</v>
      </c>
      <c r="I55" s="2"/>
      <c r="J55" s="74"/>
      <c r="K55" s="68">
        <v>9.6</v>
      </c>
      <c r="L55" s="2"/>
      <c r="M55" s="2"/>
      <c r="N55" s="34">
        <f t="shared" si="5"/>
        <v>10.416666666666666</v>
      </c>
      <c r="S55" s="302">
        <f>N55/'Fuels, properties and prices'!$F$3</f>
        <v>0.32447288730511509</v>
      </c>
      <c r="T55" s="264">
        <v>2185</v>
      </c>
      <c r="U55" s="161">
        <v>56639.344262295082</v>
      </c>
      <c r="V55" s="47">
        <f t="shared" si="0"/>
        <v>68703.524590163943</v>
      </c>
      <c r="W55" s="296">
        <f t="shared" si="1"/>
        <v>2750</v>
      </c>
      <c r="X55" s="320"/>
    </row>
    <row r="56" spans="1:47">
      <c r="A56" s="327"/>
      <c r="B56" s="11"/>
      <c r="C56" s="43" t="s">
        <v>267</v>
      </c>
      <c r="D56" s="43"/>
      <c r="E56" s="43"/>
      <c r="F56" s="118" t="s">
        <v>517</v>
      </c>
      <c r="G56" s="282">
        <v>25000</v>
      </c>
      <c r="H56" s="67">
        <f>AVERAGE(H54:H55)</f>
        <v>224</v>
      </c>
      <c r="I56" s="44"/>
      <c r="J56" s="62"/>
      <c r="K56" s="67">
        <f>AVERAGE(K54:K55)</f>
        <v>8.85</v>
      </c>
      <c r="L56" s="44"/>
      <c r="M56" s="44"/>
      <c r="N56" s="34">
        <f t="shared" si="5"/>
        <v>11.299435028248588</v>
      </c>
      <c r="S56" s="302">
        <f>N56/'Fuels, properties and prices'!$F$3</f>
        <v>0.35197058961910793</v>
      </c>
      <c r="T56" s="258">
        <f>AVERAGE(T54:T55)</f>
        <v>2207</v>
      </c>
      <c r="U56" s="151">
        <f>AVERAGE(U54:U55)</f>
        <v>56926.172131147541</v>
      </c>
      <c r="V56" s="47">
        <f t="shared" si="0"/>
        <v>69051.446795081967</v>
      </c>
      <c r="W56" s="296">
        <f t="shared" si="1"/>
        <v>2760</v>
      </c>
      <c r="X56" s="320"/>
      <c r="Z56" s="6"/>
      <c r="AA56" s="6"/>
    </row>
    <row r="57" spans="1:47">
      <c r="A57" s="327"/>
      <c r="B57" s="11"/>
      <c r="C57" s="91" t="s">
        <v>425</v>
      </c>
      <c r="D57" s="91"/>
      <c r="E57" s="91"/>
      <c r="F57" s="119"/>
      <c r="G57" s="91"/>
      <c r="H57" s="92">
        <f>AVERAGE(H7,H15,H21,H29,H38,H45)</f>
        <v>84.61071428571428</v>
      </c>
      <c r="I57" s="93"/>
      <c r="J57" s="94"/>
      <c r="K57" s="92">
        <f>AVERAGE(K7,K15,K21,K29,K38,K45)</f>
        <v>5.4623412698412706</v>
      </c>
      <c r="L57" s="93"/>
      <c r="M57" s="93"/>
      <c r="N57" s="34">
        <f t="shared" si="5"/>
        <v>18.307168128092055</v>
      </c>
      <c r="O57" s="93"/>
      <c r="P57" s="93"/>
      <c r="Q57" s="93"/>
      <c r="R57" s="93"/>
      <c r="S57" s="303">
        <f>N57/'Fuels, properties and prices'!$F$3</f>
        <v>0.57025725128661198</v>
      </c>
      <c r="T57" s="265">
        <f>AVERAGE(T7,T15,T21,T29,T38,T45)</f>
        <v>1292.6424603174603</v>
      </c>
      <c r="U57" s="190">
        <f>AVERAGE(U7,U15,U21,U29,U38,U45)</f>
        <v>18192.210152729516</v>
      </c>
      <c r="V57" s="47">
        <f t="shared" si="0"/>
        <v>22067.150915260903</v>
      </c>
      <c r="W57" s="296"/>
      <c r="X57" s="320"/>
      <c r="Z57" s="6"/>
      <c r="AA57" s="6"/>
    </row>
    <row r="58" spans="1:47">
      <c r="A58" s="327" t="s">
        <v>1</v>
      </c>
      <c r="B58" s="247" t="s">
        <v>550</v>
      </c>
      <c r="C58" s="2" t="s">
        <v>48</v>
      </c>
      <c r="D58" s="2" t="s">
        <v>49</v>
      </c>
      <c r="E58" s="2" t="s">
        <v>52</v>
      </c>
      <c r="F58" s="110" t="s">
        <v>298</v>
      </c>
      <c r="G58" s="277">
        <v>8000</v>
      </c>
      <c r="H58" s="59">
        <v>70</v>
      </c>
      <c r="J58" s="72"/>
      <c r="K58" s="59">
        <v>3.6</v>
      </c>
      <c r="N58" s="34">
        <f t="shared" si="5"/>
        <v>27.777777777777775</v>
      </c>
      <c r="S58" s="302">
        <f>N58/'Fuels, properties and prices'!$F$4</f>
        <v>0.78993583825147373</v>
      </c>
      <c r="T58" s="257">
        <v>1248</v>
      </c>
      <c r="U58" s="160">
        <v>12882.56</v>
      </c>
      <c r="V58" s="47">
        <f t="shared" si="0"/>
        <v>15626.54528</v>
      </c>
      <c r="W58" s="296">
        <f t="shared" si="1"/>
        <v>1950</v>
      </c>
      <c r="X58" s="320"/>
      <c r="Z58" s="6"/>
      <c r="AA58" s="6"/>
    </row>
    <row r="59" spans="1:47">
      <c r="A59" s="327"/>
      <c r="B59" s="11" t="s">
        <v>551</v>
      </c>
      <c r="C59" s="43" t="s">
        <v>267</v>
      </c>
      <c r="D59" s="43"/>
      <c r="E59" s="43"/>
      <c r="F59" s="110" t="s">
        <v>298</v>
      </c>
      <c r="G59" s="277">
        <v>8000</v>
      </c>
      <c r="H59" s="67">
        <f>AVERAGE(H58)</f>
        <v>70</v>
      </c>
      <c r="I59" s="44"/>
      <c r="J59" s="62"/>
      <c r="K59" s="67">
        <f>AVERAGE(K58)</f>
        <v>3.6</v>
      </c>
      <c r="L59" s="44"/>
      <c r="M59" s="44"/>
      <c r="N59" s="34">
        <f t="shared" si="5"/>
        <v>27.777777777777775</v>
      </c>
      <c r="S59" s="302">
        <f>N59/'Fuels, properties and prices'!$F$4</f>
        <v>0.78993583825147373</v>
      </c>
      <c r="T59" s="258">
        <f>AVERAGE(T58)</f>
        <v>1248</v>
      </c>
      <c r="U59" s="164">
        <f>AVERAGE(U58)</f>
        <v>12882.56</v>
      </c>
      <c r="V59" s="47">
        <f t="shared" si="0"/>
        <v>15626.54528</v>
      </c>
      <c r="W59" s="296">
        <f t="shared" si="1"/>
        <v>1950</v>
      </c>
      <c r="X59" s="320"/>
      <c r="Y59" s="319"/>
      <c r="Z59" s="6"/>
      <c r="AA59" s="6"/>
    </row>
    <row r="60" spans="1:47">
      <c r="A60" s="327"/>
      <c r="B60" s="11"/>
      <c r="C60" s="41"/>
      <c r="D60" s="41"/>
      <c r="E60" s="41"/>
      <c r="F60" s="112"/>
      <c r="G60" s="41"/>
      <c r="H60" s="60"/>
      <c r="I60" s="40"/>
      <c r="J60" s="73"/>
      <c r="K60" s="60"/>
      <c r="L60" s="40"/>
      <c r="M60" s="40"/>
      <c r="N60" s="54"/>
      <c r="O60" s="40"/>
      <c r="P60" s="40"/>
      <c r="Q60" s="40"/>
      <c r="R60" s="40"/>
      <c r="S60" s="303"/>
      <c r="T60" s="266"/>
      <c r="U60" s="284"/>
      <c r="V60" s="47"/>
      <c r="W60" s="296"/>
      <c r="X60" s="320"/>
    </row>
    <row r="61" spans="1:47" ht="16.5" customHeight="1">
      <c r="A61" s="327"/>
      <c r="B61" s="11"/>
      <c r="C61" s="2" t="s">
        <v>33</v>
      </c>
      <c r="D61" s="2" t="s">
        <v>113</v>
      </c>
      <c r="E61" s="2" t="s">
        <v>56</v>
      </c>
      <c r="F61" s="113" t="s">
        <v>60</v>
      </c>
      <c r="G61" s="278">
        <v>10000</v>
      </c>
      <c r="H61" s="68">
        <v>70</v>
      </c>
      <c r="I61" s="2"/>
      <c r="J61" s="74"/>
      <c r="K61" s="68">
        <v>3.7</v>
      </c>
      <c r="L61" s="2"/>
      <c r="M61" s="2"/>
      <c r="N61" s="34">
        <f>1/(K61/100)</f>
        <v>27.027027027027025</v>
      </c>
      <c r="O61" s="2"/>
      <c r="P61" s="2"/>
      <c r="Q61" s="2"/>
      <c r="R61" s="2"/>
      <c r="S61" s="302">
        <f>N61/'Fuels, properties and prices'!$F$4</f>
        <v>0.76858622100143392</v>
      </c>
      <c r="T61" s="257">
        <v>1280</v>
      </c>
      <c r="U61" s="160">
        <v>17054.62</v>
      </c>
      <c r="V61" s="47">
        <f t="shared" si="0"/>
        <v>20687.254059999999</v>
      </c>
      <c r="W61" s="296">
        <f t="shared" si="1"/>
        <v>2070</v>
      </c>
      <c r="X61" s="320"/>
    </row>
    <row r="62" spans="1:47" ht="16.5" customHeight="1">
      <c r="A62" s="327"/>
      <c r="B62" s="11"/>
      <c r="C62" s="2" t="s">
        <v>118</v>
      </c>
      <c r="D62" s="2" t="s">
        <v>120</v>
      </c>
      <c r="E62" s="2" t="s">
        <v>122</v>
      </c>
      <c r="F62" s="113" t="s">
        <v>60</v>
      </c>
      <c r="G62" s="278">
        <v>10000</v>
      </c>
      <c r="H62" s="68">
        <v>66</v>
      </c>
      <c r="I62" s="2"/>
      <c r="J62" s="74"/>
      <c r="K62" s="68">
        <v>4.0999999999999996</v>
      </c>
      <c r="L62" s="2"/>
      <c r="M62" s="2"/>
      <c r="N62" s="34">
        <f>1/(K62/100)</f>
        <v>24.390243902439028</v>
      </c>
      <c r="O62" s="2"/>
      <c r="P62" s="2"/>
      <c r="Q62" s="2"/>
      <c r="R62" s="2"/>
      <c r="S62" s="302">
        <f>N62/'Fuels, properties and prices'!$F$4</f>
        <v>0.69360219944031865</v>
      </c>
      <c r="T62" s="257">
        <v>1261</v>
      </c>
      <c r="U62" s="160">
        <v>13795.56</v>
      </c>
      <c r="V62" s="47">
        <f t="shared" si="0"/>
        <v>16734.014279999999</v>
      </c>
      <c r="W62" s="296">
        <f t="shared" si="1"/>
        <v>1670</v>
      </c>
      <c r="X62" s="320"/>
    </row>
    <row r="63" spans="1:47" s="40" customFormat="1">
      <c r="A63" s="327"/>
      <c r="B63" s="11"/>
      <c r="C63" s="2" t="s">
        <v>331</v>
      </c>
      <c r="D63" s="2" t="s">
        <v>345</v>
      </c>
      <c r="E63" s="2" t="s">
        <v>347</v>
      </c>
      <c r="F63" s="113" t="s">
        <v>60</v>
      </c>
      <c r="G63" s="278">
        <v>10000</v>
      </c>
      <c r="H63" s="68">
        <v>59</v>
      </c>
      <c r="I63" s="2"/>
      <c r="J63" s="74"/>
      <c r="K63" s="68">
        <v>3.8</v>
      </c>
      <c r="L63" s="2"/>
      <c r="M63" s="2"/>
      <c r="N63" s="34">
        <f>1/(K63/100)</f>
        <v>26.315789473684212</v>
      </c>
      <c r="O63" s="2"/>
      <c r="P63" s="2"/>
      <c r="Q63" s="2"/>
      <c r="R63" s="2"/>
      <c r="S63" s="302">
        <f>N63/'Fuels, properties and prices'!$F$4</f>
        <v>0.74836026781718579</v>
      </c>
      <c r="T63" s="257">
        <v>1247</v>
      </c>
      <c r="U63" s="160">
        <v>13357.967213114754</v>
      </c>
      <c r="V63" s="47">
        <f t="shared" si="0"/>
        <v>16203.214229508198</v>
      </c>
      <c r="W63" s="296">
        <f t="shared" si="1"/>
        <v>1620</v>
      </c>
      <c r="X63" s="320"/>
      <c r="Z63" s="46"/>
      <c r="AA63" s="46"/>
    </row>
    <row r="64" spans="1:47">
      <c r="A64" s="327"/>
      <c r="B64" s="248"/>
      <c r="C64" s="2" t="s">
        <v>48</v>
      </c>
      <c r="D64" s="2" t="s">
        <v>151</v>
      </c>
      <c r="E64" t="s">
        <v>154</v>
      </c>
      <c r="F64" s="113" t="s">
        <v>60</v>
      </c>
      <c r="G64" s="278">
        <v>10000</v>
      </c>
      <c r="H64" s="59">
        <v>70</v>
      </c>
      <c r="J64" s="72"/>
      <c r="K64" s="59">
        <v>3.4</v>
      </c>
      <c r="N64" s="34">
        <f>1/(K64/100)</f>
        <v>29.411764705882351</v>
      </c>
      <c r="S64" s="302">
        <f>N64/'Fuels, properties and prices'!$F$4</f>
        <v>0.83640265226626642</v>
      </c>
      <c r="T64" s="257">
        <v>1220</v>
      </c>
      <c r="U64" s="160">
        <v>12513.7</v>
      </c>
      <c r="V64" s="47">
        <f t="shared" si="0"/>
        <v>15179.118100000002</v>
      </c>
      <c r="W64" s="296">
        <f t="shared" si="1"/>
        <v>1520</v>
      </c>
      <c r="X64" s="320"/>
      <c r="Z64" s="6"/>
      <c r="AA64" s="6"/>
    </row>
    <row r="65" spans="1:27">
      <c r="A65" s="327"/>
      <c r="B65" s="11"/>
      <c r="C65" s="43" t="s">
        <v>267</v>
      </c>
      <c r="D65" s="43"/>
      <c r="E65" s="43"/>
      <c r="F65" s="113" t="s">
        <v>60</v>
      </c>
      <c r="G65" s="278">
        <v>10000</v>
      </c>
      <c r="H65" s="67">
        <f>AVERAGE(H61:H64)</f>
        <v>66.25</v>
      </c>
      <c r="I65" s="44"/>
      <c r="J65" s="62"/>
      <c r="K65" s="67">
        <f>AVERAGE(K61:K64)</f>
        <v>3.75</v>
      </c>
      <c r="L65" s="44"/>
      <c r="M65" s="44"/>
      <c r="N65" s="34">
        <f>1/(K65/100)</f>
        <v>26.666666666666668</v>
      </c>
      <c r="S65" s="302">
        <f>N65/'Fuels, properties and prices'!$F$4</f>
        <v>0.75833840472141489</v>
      </c>
      <c r="T65" s="258">
        <f>AVERAGE(T61:T64)</f>
        <v>1252</v>
      </c>
      <c r="U65" s="164">
        <f>AVERAGE(U61:U64)</f>
        <v>14180.461803278689</v>
      </c>
      <c r="V65" s="47">
        <f t="shared" si="0"/>
        <v>17200.900167377051</v>
      </c>
      <c r="W65" s="296">
        <f t="shared" si="1"/>
        <v>1720</v>
      </c>
      <c r="X65" s="320"/>
      <c r="Z65" s="6"/>
      <c r="AA65" s="6"/>
    </row>
    <row r="66" spans="1:27">
      <c r="A66" s="327"/>
      <c r="B66" s="11"/>
      <c r="F66" s="72"/>
      <c r="H66" s="59"/>
      <c r="J66" s="72"/>
      <c r="K66" s="59"/>
      <c r="S66" s="302"/>
      <c r="T66" s="257"/>
      <c r="U66" s="161"/>
      <c r="V66" s="47"/>
      <c r="W66" s="296"/>
      <c r="X66" s="320"/>
    </row>
    <row r="67" spans="1:27">
      <c r="A67" s="327"/>
      <c r="B67" s="11"/>
      <c r="C67" s="2" t="s">
        <v>33</v>
      </c>
      <c r="D67" s="2" t="s">
        <v>34</v>
      </c>
      <c r="E67" t="s">
        <v>56</v>
      </c>
      <c r="F67" s="90" t="s">
        <v>59</v>
      </c>
      <c r="G67" s="90">
        <v>15000</v>
      </c>
      <c r="H67" s="59">
        <v>84</v>
      </c>
      <c r="J67" s="72"/>
      <c r="K67" s="59">
        <v>4.9000000000000004</v>
      </c>
      <c r="N67" s="34">
        <f>1/(K67/100)</f>
        <v>20.408163265306122</v>
      </c>
      <c r="S67" s="302">
        <f>N67/'Fuels, properties and prices'!$F$4</f>
        <v>0.58036102402149103</v>
      </c>
      <c r="T67" s="257">
        <v>1336</v>
      </c>
      <c r="U67" s="160">
        <v>21284.19</v>
      </c>
      <c r="V67" s="47">
        <f t="shared" si="0"/>
        <v>25817.722470000001</v>
      </c>
      <c r="W67" s="296">
        <f t="shared" si="1"/>
        <v>1720</v>
      </c>
      <c r="X67" s="320"/>
    </row>
    <row r="68" spans="1:27">
      <c r="A68" s="327"/>
      <c r="B68" s="11"/>
      <c r="C68" s="2" t="s">
        <v>140</v>
      </c>
      <c r="D68" s="2" t="s">
        <v>312</v>
      </c>
      <c r="E68" t="s">
        <v>314</v>
      </c>
      <c r="F68" s="90" t="s">
        <v>59</v>
      </c>
      <c r="G68" s="90">
        <v>15000</v>
      </c>
      <c r="H68" s="59">
        <v>81</v>
      </c>
      <c r="J68" s="72"/>
      <c r="K68" s="59">
        <v>3.7</v>
      </c>
      <c r="N68" s="34">
        <f>1/(K68/100)</f>
        <v>27.027027027027025</v>
      </c>
      <c r="S68" s="302">
        <f>N68/'Fuels, properties and prices'!$F$4</f>
        <v>0.76858622100143392</v>
      </c>
      <c r="T68" s="257">
        <v>1350</v>
      </c>
      <c r="U68" s="160">
        <v>20382.557377049183</v>
      </c>
      <c r="V68" s="47">
        <f t="shared" ref="V68:V131" si="6">1.213*U68</f>
        <v>24724.04209836066</v>
      </c>
      <c r="W68" s="296">
        <f t="shared" ref="W68:W131" si="7">ROUND(V68/(G68)/0.001,-1)</f>
        <v>1650</v>
      </c>
      <c r="X68" s="320"/>
      <c r="Z68" s="6"/>
      <c r="AA68" s="6"/>
    </row>
    <row r="69" spans="1:27" ht="15.5" customHeight="1">
      <c r="A69" s="327"/>
      <c r="B69" s="11"/>
      <c r="C69" s="2" t="s">
        <v>331</v>
      </c>
      <c r="D69" s="2" t="s">
        <v>349</v>
      </c>
      <c r="E69" t="s">
        <v>347</v>
      </c>
      <c r="F69" s="90" t="s">
        <v>59</v>
      </c>
      <c r="G69" s="90">
        <v>15000</v>
      </c>
      <c r="H69" s="59">
        <v>85</v>
      </c>
      <c r="J69" s="72"/>
      <c r="K69" s="59">
        <v>4.0999999999999996</v>
      </c>
      <c r="N69" s="34">
        <f>1/(K69/100)</f>
        <v>24.390243902439028</v>
      </c>
      <c r="O69" s="49"/>
      <c r="S69" s="302">
        <f>N69/'Fuels, properties and prices'!$F$4</f>
        <v>0.69360219944031865</v>
      </c>
      <c r="T69" s="257">
        <v>1305</v>
      </c>
      <c r="U69" s="160">
        <v>20009.606298096885</v>
      </c>
      <c r="V69" s="47">
        <f t="shared" si="6"/>
        <v>24271.652439591522</v>
      </c>
      <c r="W69" s="296">
        <f t="shared" si="7"/>
        <v>1620</v>
      </c>
      <c r="X69" s="320"/>
    </row>
    <row r="70" spans="1:27" s="40" customFormat="1">
      <c r="A70" s="327"/>
      <c r="B70" s="11"/>
      <c r="C70" s="2" t="s">
        <v>70</v>
      </c>
      <c r="D70" s="2" t="s">
        <v>64</v>
      </c>
      <c r="E70" s="2" t="s">
        <v>65</v>
      </c>
      <c r="F70" s="114" t="s">
        <v>59</v>
      </c>
      <c r="G70" s="90">
        <v>15000</v>
      </c>
      <c r="H70" s="59">
        <v>82</v>
      </c>
      <c r="I70"/>
      <c r="J70" s="72"/>
      <c r="K70" s="59">
        <v>4.3</v>
      </c>
      <c r="L70"/>
      <c r="M70"/>
      <c r="N70" s="34">
        <f>1/(K70/100)</f>
        <v>23.255813953488374</v>
      </c>
      <c r="O70"/>
      <c r="P70"/>
      <c r="Q70"/>
      <c r="R70"/>
      <c r="S70" s="302">
        <f>N70/'Fuels, properties and prices'!$F$4</f>
        <v>0.66134163202448981</v>
      </c>
      <c r="T70" s="257">
        <v>1510</v>
      </c>
      <c r="U70" s="160">
        <v>19276</v>
      </c>
      <c r="V70" s="47">
        <f t="shared" si="6"/>
        <v>23381.788</v>
      </c>
      <c r="W70" s="296">
        <f t="shared" si="7"/>
        <v>1560</v>
      </c>
      <c r="X70" s="320"/>
      <c r="Z70" s="46"/>
      <c r="AA70" s="46"/>
    </row>
    <row r="71" spans="1:27">
      <c r="A71" s="327"/>
      <c r="B71" s="11"/>
      <c r="C71" s="43" t="s">
        <v>267</v>
      </c>
      <c r="D71" s="43"/>
      <c r="E71" s="43"/>
      <c r="F71" s="114" t="s">
        <v>59</v>
      </c>
      <c r="G71" s="90">
        <v>15000</v>
      </c>
      <c r="H71" s="67">
        <f>AVERAGE(H67:H70)</f>
        <v>83</v>
      </c>
      <c r="I71" s="44"/>
      <c r="J71" s="62"/>
      <c r="K71" s="67">
        <f>AVERAGE(K67:K70)</f>
        <v>4.25</v>
      </c>
      <c r="L71" s="44"/>
      <c r="M71" s="44"/>
      <c r="N71" s="34">
        <f>1/(K71/100)</f>
        <v>23.52941176470588</v>
      </c>
      <c r="S71" s="302">
        <f>N71/'Fuels, properties and prices'!$F$4</f>
        <v>0.66912212181301312</v>
      </c>
      <c r="T71" s="258">
        <f>AVERAGE(T67:T70)</f>
        <v>1375.25</v>
      </c>
      <c r="U71" s="151">
        <f>AVERAGE(U67:U70)</f>
        <v>20238.088418786516</v>
      </c>
      <c r="V71" s="47">
        <f t="shared" si="6"/>
        <v>24548.801251988047</v>
      </c>
      <c r="W71" s="296">
        <f t="shared" si="7"/>
        <v>1640</v>
      </c>
      <c r="X71" s="320"/>
      <c r="Z71" s="6"/>
      <c r="AA71" s="6"/>
    </row>
    <row r="72" spans="1:27" ht="15.5" customHeight="1">
      <c r="A72" s="327"/>
      <c r="B72" s="11"/>
      <c r="C72" s="2"/>
      <c r="D72" s="2"/>
      <c r="E72" s="2"/>
      <c r="F72" s="74"/>
      <c r="G72" s="2"/>
      <c r="H72" s="59"/>
      <c r="J72" s="72"/>
      <c r="K72" s="59"/>
      <c r="N72" s="34"/>
      <c r="S72" s="302"/>
      <c r="T72" s="257"/>
      <c r="U72" s="160"/>
      <c r="V72" s="47"/>
      <c r="W72" s="296"/>
      <c r="X72" s="320"/>
    </row>
    <row r="73" spans="1:27">
      <c r="A73" s="327"/>
      <c r="B73" s="11"/>
      <c r="C73" s="2" t="s">
        <v>45</v>
      </c>
      <c r="D73" s="2" t="s">
        <v>94</v>
      </c>
      <c r="E73" s="2" t="s">
        <v>101</v>
      </c>
      <c r="F73" s="114" t="s">
        <v>100</v>
      </c>
      <c r="G73" s="90">
        <v>15000</v>
      </c>
      <c r="H73" s="68">
        <v>110</v>
      </c>
      <c r="I73" s="2"/>
      <c r="J73" s="74"/>
      <c r="K73" s="68">
        <v>4.5999999999999996</v>
      </c>
      <c r="L73" s="2"/>
      <c r="M73" s="2"/>
      <c r="N73" s="48">
        <f>1/(K73/100)</f>
        <v>21.739130434782609</v>
      </c>
      <c r="O73" s="2"/>
      <c r="P73" s="2"/>
      <c r="Q73" s="2"/>
      <c r="R73" s="2"/>
      <c r="S73" s="302">
        <f>N73/'Fuels, properties and prices'!$F$3</f>
        <v>0.67716080828893588</v>
      </c>
      <c r="T73" s="257">
        <v>1415</v>
      </c>
      <c r="U73" s="160">
        <v>26939.93</v>
      </c>
      <c r="V73" s="47">
        <f t="shared" si="6"/>
        <v>32678.135090000003</v>
      </c>
      <c r="W73" s="296">
        <f t="shared" si="7"/>
        <v>2180</v>
      </c>
      <c r="X73" s="320"/>
    </row>
    <row r="74" spans="1:27">
      <c r="A74" s="327"/>
      <c r="B74" s="11"/>
      <c r="C74" s="246" t="s">
        <v>273</v>
      </c>
      <c r="D74" s="55"/>
      <c r="E74" s="55"/>
      <c r="F74" s="114" t="s">
        <v>100</v>
      </c>
      <c r="G74" s="90">
        <v>15000</v>
      </c>
      <c r="H74" s="69">
        <f>H73/H67</f>
        <v>1.3095238095238095</v>
      </c>
      <c r="I74" s="55"/>
      <c r="J74" s="65"/>
      <c r="K74" s="87">
        <f>K73/K67</f>
        <v>0.93877551020408145</v>
      </c>
      <c r="L74" s="55"/>
      <c r="M74" s="55"/>
      <c r="N74" s="55">
        <f>N73/N67</f>
        <v>1.0652173913043479</v>
      </c>
      <c r="O74" s="55"/>
      <c r="P74" s="55"/>
      <c r="Q74" s="55"/>
      <c r="R74" s="55"/>
      <c r="S74" s="302">
        <f>S73/S67</f>
        <v>1.1667923589986986</v>
      </c>
      <c r="T74" s="260"/>
      <c r="U74" s="285"/>
      <c r="V74" s="47"/>
      <c r="W74" s="296">
        <f t="shared" si="7"/>
        <v>0</v>
      </c>
      <c r="X74" s="320"/>
      <c r="Z74" s="6"/>
      <c r="AA74" s="6"/>
    </row>
    <row r="75" spans="1:27">
      <c r="A75" s="327"/>
      <c r="B75" s="11"/>
      <c r="F75" s="72"/>
      <c r="H75" s="59"/>
      <c r="J75" s="72"/>
      <c r="K75" s="59"/>
      <c r="N75" s="34"/>
      <c r="S75" s="302"/>
      <c r="T75" s="257"/>
      <c r="U75" s="161"/>
      <c r="V75" s="47"/>
      <c r="W75" s="296"/>
      <c r="X75" s="320"/>
      <c r="Z75" s="6"/>
      <c r="AA75" s="6"/>
    </row>
    <row r="76" spans="1:27">
      <c r="A76" s="327"/>
      <c r="B76" s="11"/>
      <c r="C76" s="2" t="s">
        <v>33</v>
      </c>
      <c r="D76" s="2" t="s">
        <v>148</v>
      </c>
      <c r="E76" t="s">
        <v>150</v>
      </c>
      <c r="F76" s="89" t="s">
        <v>61</v>
      </c>
      <c r="G76" s="89">
        <v>20000</v>
      </c>
      <c r="H76" s="59">
        <v>110</v>
      </c>
      <c r="J76" s="72"/>
      <c r="K76" s="59">
        <v>4.3</v>
      </c>
      <c r="N76" s="34">
        <f t="shared" ref="N76:N81" si="8">1/(K76/100)</f>
        <v>23.255813953488374</v>
      </c>
      <c r="S76" s="302">
        <f>N76/'Fuels, properties and prices'!$F$4</f>
        <v>0.66134163202448981</v>
      </c>
      <c r="T76" s="257">
        <v>1544</v>
      </c>
      <c r="U76" s="160">
        <v>30159.66</v>
      </c>
      <c r="V76" s="47">
        <f t="shared" si="6"/>
        <v>36583.667580000001</v>
      </c>
      <c r="W76" s="296">
        <f t="shared" si="7"/>
        <v>1830</v>
      </c>
      <c r="X76" s="320"/>
      <c r="Z76" s="6"/>
      <c r="AA76" s="6"/>
    </row>
    <row r="77" spans="1:27">
      <c r="A77" s="327"/>
      <c r="B77" s="11"/>
      <c r="C77" s="2" t="s">
        <v>304</v>
      </c>
      <c r="D77" s="30">
        <v>6</v>
      </c>
      <c r="E77" t="s">
        <v>306</v>
      </c>
      <c r="F77" s="89" t="s">
        <v>61</v>
      </c>
      <c r="G77" s="89">
        <v>20000</v>
      </c>
      <c r="H77" s="59">
        <v>110</v>
      </c>
      <c r="J77" s="72"/>
      <c r="K77" s="59">
        <v>4.4000000000000004</v>
      </c>
      <c r="N77" s="34">
        <f t="shared" si="8"/>
        <v>22.727272727272727</v>
      </c>
      <c r="S77" s="302">
        <f>N77/'Fuels, properties and prices'!$F$4</f>
        <v>0.64631114038756954</v>
      </c>
      <c r="T77" s="257">
        <v>1674</v>
      </c>
      <c r="U77" s="160">
        <v>28538.295081967211</v>
      </c>
      <c r="V77" s="47">
        <f t="shared" si="6"/>
        <v>34616.95193442623</v>
      </c>
      <c r="W77" s="296">
        <f t="shared" si="7"/>
        <v>1730</v>
      </c>
      <c r="X77" s="320"/>
      <c r="Z77" s="6"/>
      <c r="AA77" s="6"/>
    </row>
    <row r="78" spans="1:27">
      <c r="A78" s="327"/>
      <c r="B78" s="11"/>
      <c r="C78" s="2" t="s">
        <v>72</v>
      </c>
      <c r="D78" s="2" t="s">
        <v>274</v>
      </c>
      <c r="E78" t="s">
        <v>275</v>
      </c>
      <c r="F78" s="89" t="s">
        <v>61</v>
      </c>
      <c r="G78" s="89">
        <v>20000</v>
      </c>
      <c r="H78" s="59">
        <v>110</v>
      </c>
      <c r="J78" s="72"/>
      <c r="K78" s="59">
        <v>4.8</v>
      </c>
      <c r="N78" s="34">
        <f t="shared" si="8"/>
        <v>20.833333333333332</v>
      </c>
      <c r="S78" s="302">
        <f>N78/'Fuels, properties and prices'!$F$4</f>
        <v>0.59245187868860538</v>
      </c>
      <c r="T78" s="257">
        <v>1577</v>
      </c>
      <c r="U78" s="160">
        <v>27267.803278688531</v>
      </c>
      <c r="V78" s="47">
        <f t="shared" si="6"/>
        <v>33075.845377049191</v>
      </c>
      <c r="W78" s="296">
        <f t="shared" si="7"/>
        <v>1650</v>
      </c>
      <c r="X78" s="320"/>
      <c r="Z78" s="6"/>
      <c r="AA78" s="6"/>
    </row>
    <row r="79" spans="1:27">
      <c r="A79" s="327"/>
      <c r="B79" s="11"/>
      <c r="C79" s="2" t="s">
        <v>118</v>
      </c>
      <c r="D79" s="30" t="s">
        <v>318</v>
      </c>
      <c r="E79" t="s">
        <v>319</v>
      </c>
      <c r="F79" s="89" t="s">
        <v>61</v>
      </c>
      <c r="G79" s="89">
        <v>20000</v>
      </c>
      <c r="H79" s="59">
        <v>118</v>
      </c>
      <c r="J79" s="72"/>
      <c r="K79" s="59">
        <v>4.4000000000000004</v>
      </c>
      <c r="N79" s="34">
        <f t="shared" si="8"/>
        <v>22.727272727272727</v>
      </c>
      <c r="S79" s="302">
        <f>N79/'Fuels, properties and prices'!$F$4</f>
        <v>0.64631114038756954</v>
      </c>
      <c r="T79" s="257">
        <v>1593</v>
      </c>
      <c r="U79" s="160">
        <v>29972.721311475409</v>
      </c>
      <c r="V79" s="47">
        <f t="shared" si="6"/>
        <v>36356.910950819671</v>
      </c>
      <c r="W79" s="296">
        <f t="shared" si="7"/>
        <v>1820</v>
      </c>
      <c r="X79" s="320"/>
      <c r="Z79" s="6"/>
      <c r="AA79" s="6"/>
    </row>
    <row r="80" spans="1:27">
      <c r="A80" s="327"/>
      <c r="B80" s="11"/>
      <c r="C80" s="2" t="s">
        <v>140</v>
      </c>
      <c r="D80" s="2" t="s">
        <v>316</v>
      </c>
      <c r="E80" t="s">
        <v>317</v>
      </c>
      <c r="F80" s="89" t="s">
        <v>61</v>
      </c>
      <c r="G80" s="89">
        <v>20000</v>
      </c>
      <c r="H80" s="59">
        <v>125</v>
      </c>
      <c r="J80" s="72"/>
      <c r="K80" s="59">
        <v>5.3</v>
      </c>
      <c r="N80" s="34">
        <f t="shared" si="8"/>
        <v>18.867924528301888</v>
      </c>
      <c r="S80" s="302">
        <f>N80/'Fuels, properties and prices'!$F$4</f>
        <v>0.53656019201986904</v>
      </c>
      <c r="T80" s="257">
        <v>1582</v>
      </c>
      <c r="U80" s="160">
        <v>27882.557021719022</v>
      </c>
      <c r="V80" s="47">
        <f t="shared" si="6"/>
        <v>33821.541667345176</v>
      </c>
      <c r="W80" s="296">
        <f t="shared" si="7"/>
        <v>1690</v>
      </c>
      <c r="X80" s="320"/>
      <c r="Z80" s="6"/>
      <c r="AA80" s="6"/>
    </row>
    <row r="81" spans="1:27">
      <c r="A81" s="327"/>
      <c r="B81" s="11"/>
      <c r="C81" s="43" t="s">
        <v>267</v>
      </c>
      <c r="D81" s="43"/>
      <c r="E81" s="43"/>
      <c r="F81" s="89" t="s">
        <v>61</v>
      </c>
      <c r="G81" s="89">
        <v>20000</v>
      </c>
      <c r="H81" s="67">
        <f>AVERAGE(H76:H80)</f>
        <v>114.6</v>
      </c>
      <c r="I81" s="44"/>
      <c r="J81" s="62"/>
      <c r="K81" s="67">
        <f>AVERAGE(K76:K80)</f>
        <v>4.6399999999999997</v>
      </c>
      <c r="L81" s="44"/>
      <c r="M81" s="44"/>
      <c r="N81" s="34">
        <f t="shared" si="8"/>
        <v>21.551724137931036</v>
      </c>
      <c r="S81" s="302">
        <f>N81/'Fuels, properties and prices'!$F$4</f>
        <v>0.61288125381579872</v>
      </c>
      <c r="T81" s="258">
        <f>AVERAGE(T76:T80)</f>
        <v>1594</v>
      </c>
      <c r="U81" s="164">
        <f>AVERAGE(U76:U80)</f>
        <v>28764.207338770037</v>
      </c>
      <c r="V81" s="47">
        <f t="shared" si="6"/>
        <v>34890.983501928058</v>
      </c>
      <c r="W81" s="296">
        <f t="shared" si="7"/>
        <v>1740</v>
      </c>
      <c r="X81" s="320"/>
      <c r="Z81" s="6"/>
      <c r="AA81" s="6"/>
    </row>
    <row r="82" spans="1:27">
      <c r="A82" s="327"/>
      <c r="B82" s="11"/>
      <c r="C82" s="41"/>
      <c r="D82" s="41"/>
      <c r="E82" s="41"/>
      <c r="F82" s="112"/>
      <c r="G82" s="41"/>
      <c r="H82" s="60"/>
      <c r="I82" s="40"/>
      <c r="J82" s="73"/>
      <c r="K82" s="60"/>
      <c r="L82" s="40"/>
      <c r="M82" s="40"/>
      <c r="N82" s="54"/>
      <c r="O82" s="40"/>
      <c r="P82" s="40"/>
      <c r="Q82" s="40"/>
      <c r="R82" s="40"/>
      <c r="S82" s="303"/>
      <c r="T82" s="266"/>
      <c r="U82" s="284"/>
      <c r="V82" s="47"/>
      <c r="W82" s="296"/>
      <c r="X82" s="320"/>
      <c r="Z82" s="6"/>
      <c r="AA82" s="6"/>
    </row>
    <row r="83" spans="1:27">
      <c r="A83" s="327"/>
      <c r="B83" s="11"/>
      <c r="C83" s="2" t="s">
        <v>71</v>
      </c>
      <c r="D83" s="2" t="s">
        <v>87</v>
      </c>
      <c r="E83" s="2" t="s">
        <v>96</v>
      </c>
      <c r="F83" s="115" t="s">
        <v>461</v>
      </c>
      <c r="G83" s="280">
        <v>15000</v>
      </c>
      <c r="H83" s="68">
        <v>100</v>
      </c>
      <c r="I83" s="2"/>
      <c r="J83" s="74"/>
      <c r="K83" s="68">
        <v>4.5</v>
      </c>
      <c r="L83" s="2"/>
      <c r="M83" s="2"/>
      <c r="N83" s="34">
        <f t="shared" ref="N83:N89" si="9">1/(K83/100)</f>
        <v>22.222222222222221</v>
      </c>
      <c r="S83" s="302">
        <f>N83/'Fuels, properties and prices'!$F$4</f>
        <v>0.6319486706011791</v>
      </c>
      <c r="T83" s="257">
        <v>1535</v>
      </c>
      <c r="U83" s="160">
        <v>16530.099999999999</v>
      </c>
      <c r="V83" s="47">
        <f t="shared" si="6"/>
        <v>20051.011299999998</v>
      </c>
      <c r="W83" s="296">
        <f t="shared" si="7"/>
        <v>1340</v>
      </c>
      <c r="X83" s="320"/>
      <c r="Z83" s="6"/>
      <c r="AA83" s="6"/>
    </row>
    <row r="84" spans="1:27">
      <c r="A84" s="327"/>
      <c r="B84" s="11"/>
      <c r="C84" s="2" t="s">
        <v>102</v>
      </c>
      <c r="D84" s="2" t="s">
        <v>103</v>
      </c>
      <c r="E84" s="2" t="s">
        <v>296</v>
      </c>
      <c r="F84" s="115" t="s">
        <v>461</v>
      </c>
      <c r="G84" s="280">
        <v>15000</v>
      </c>
      <c r="H84" s="68">
        <v>88</v>
      </c>
      <c r="I84" s="2"/>
      <c r="J84" s="74"/>
      <c r="K84" s="68">
        <v>4.4000000000000004</v>
      </c>
      <c r="L84" s="2"/>
      <c r="M84" s="2"/>
      <c r="N84" s="34">
        <f t="shared" si="9"/>
        <v>22.727272727272727</v>
      </c>
      <c r="S84" s="302">
        <f>N84/'Fuels, properties and prices'!$F$4</f>
        <v>0.64631114038756954</v>
      </c>
      <c r="T84" s="257">
        <v>1465</v>
      </c>
      <c r="U84" s="160">
        <v>22513.704918032781</v>
      </c>
      <c r="V84" s="47">
        <f t="shared" si="6"/>
        <v>27309.124065573764</v>
      </c>
      <c r="W84" s="296">
        <f t="shared" si="7"/>
        <v>1820</v>
      </c>
      <c r="X84" s="320"/>
      <c r="Z84" s="6"/>
      <c r="AA84" s="6"/>
    </row>
    <row r="85" spans="1:27">
      <c r="A85" s="327"/>
      <c r="B85" s="11"/>
      <c r="C85" t="s">
        <v>118</v>
      </c>
      <c r="D85" t="s">
        <v>197</v>
      </c>
      <c r="E85" t="s">
        <v>200</v>
      </c>
      <c r="F85" s="115" t="s">
        <v>461</v>
      </c>
      <c r="G85" s="280">
        <v>15000</v>
      </c>
      <c r="H85" s="59">
        <v>87</v>
      </c>
      <c r="J85" s="72"/>
      <c r="K85" s="59">
        <v>4</v>
      </c>
      <c r="N85" s="34">
        <f t="shared" si="9"/>
        <v>25</v>
      </c>
      <c r="S85" s="302">
        <f>N85/'Fuels, properties and prices'!$F$4</f>
        <v>0.71094225442632653</v>
      </c>
      <c r="T85" s="257">
        <v>1280</v>
      </c>
      <c r="U85" s="161">
        <v>18950</v>
      </c>
      <c r="V85" s="47">
        <f t="shared" si="6"/>
        <v>22986.350000000002</v>
      </c>
      <c r="W85" s="296">
        <f t="shared" si="7"/>
        <v>1530</v>
      </c>
      <c r="X85" s="320"/>
      <c r="Z85" s="6"/>
      <c r="AA85" s="6"/>
    </row>
    <row r="86" spans="1:27">
      <c r="A86" s="327"/>
      <c r="B86" s="11"/>
      <c r="C86" t="s">
        <v>69</v>
      </c>
      <c r="D86" t="s">
        <v>256</v>
      </c>
      <c r="E86" t="s">
        <v>257</v>
      </c>
      <c r="F86" s="115" t="s">
        <v>461</v>
      </c>
      <c r="G86" s="280">
        <v>15000</v>
      </c>
      <c r="H86" s="59">
        <v>81</v>
      </c>
      <c r="J86" s="72"/>
      <c r="K86" s="59">
        <v>4.7</v>
      </c>
      <c r="N86" s="34">
        <f t="shared" si="9"/>
        <v>21.276595744680851</v>
      </c>
      <c r="S86" s="302">
        <f>N86/'Fuels, properties and prices'!$F$4</f>
        <v>0.60505723780963949</v>
      </c>
      <c r="T86" s="257">
        <v>1292</v>
      </c>
      <c r="U86" s="161">
        <v>15636.655737704916</v>
      </c>
      <c r="V86" s="47">
        <f t="shared" si="6"/>
        <v>18967.263409836065</v>
      </c>
      <c r="W86" s="296">
        <f t="shared" si="7"/>
        <v>1260</v>
      </c>
      <c r="X86" s="320"/>
      <c r="Z86" s="6"/>
      <c r="AA86" s="6"/>
    </row>
    <row r="87" spans="1:27">
      <c r="A87" s="327"/>
      <c r="B87" s="11"/>
      <c r="C87" s="2" t="s">
        <v>331</v>
      </c>
      <c r="D87" s="2" t="s">
        <v>348</v>
      </c>
      <c r="E87" t="s">
        <v>347</v>
      </c>
      <c r="F87" s="115" t="s">
        <v>461</v>
      </c>
      <c r="G87" s="280">
        <v>15000</v>
      </c>
      <c r="H87" s="59">
        <v>70</v>
      </c>
      <c r="J87" s="72"/>
      <c r="K87" s="59">
        <v>4.0999999999999996</v>
      </c>
      <c r="N87" s="34">
        <f t="shared" si="9"/>
        <v>24.390243902439028</v>
      </c>
      <c r="S87" s="302">
        <f>N87/'Fuels, properties and prices'!$F$4</f>
        <v>0.69360219944031865</v>
      </c>
      <c r="T87" s="257">
        <v>1320</v>
      </c>
      <c r="U87" s="161">
        <v>15505.508196721319</v>
      </c>
      <c r="V87" s="47">
        <f t="shared" si="6"/>
        <v>18808.181442622961</v>
      </c>
      <c r="W87" s="296">
        <f t="shared" si="7"/>
        <v>1250</v>
      </c>
      <c r="X87" s="320"/>
      <c r="Z87" s="6"/>
      <c r="AA87" s="6"/>
    </row>
    <row r="88" spans="1:27">
      <c r="A88" s="327"/>
      <c r="B88" s="11"/>
      <c r="C88" s="2" t="s">
        <v>105</v>
      </c>
      <c r="D88" s="2" t="s">
        <v>356</v>
      </c>
      <c r="E88" s="2" t="s">
        <v>357</v>
      </c>
      <c r="F88" s="115" t="s">
        <v>461</v>
      </c>
      <c r="G88" s="280">
        <v>15000</v>
      </c>
      <c r="H88" s="68">
        <v>100</v>
      </c>
      <c r="I88" s="2"/>
      <c r="J88" s="74"/>
      <c r="K88" s="68">
        <v>4.8</v>
      </c>
      <c r="L88" s="2"/>
      <c r="M88" s="2"/>
      <c r="N88" s="34">
        <f t="shared" si="9"/>
        <v>20.833333333333332</v>
      </c>
      <c r="S88" s="302">
        <f>N88/'Fuels, properties and prices'!$F$4</f>
        <v>0.59245187868860538</v>
      </c>
      <c r="T88" s="257">
        <v>1532</v>
      </c>
      <c r="U88" s="160">
        <v>18989.114754098366</v>
      </c>
      <c r="V88" s="47">
        <f t="shared" si="6"/>
        <v>23033.79619672132</v>
      </c>
      <c r="W88" s="296">
        <f t="shared" si="7"/>
        <v>1540</v>
      </c>
      <c r="X88" s="320"/>
    </row>
    <row r="89" spans="1:27">
      <c r="A89" s="327"/>
      <c r="B89" s="11"/>
      <c r="C89" s="43" t="s">
        <v>267</v>
      </c>
      <c r="D89" s="43"/>
      <c r="E89" s="43"/>
      <c r="F89" s="115" t="s">
        <v>461</v>
      </c>
      <c r="G89" s="280">
        <v>15000</v>
      </c>
      <c r="H89" s="67">
        <f>AVERAGE(H83:H88)</f>
        <v>87.666666666666671</v>
      </c>
      <c r="I89" s="44"/>
      <c r="J89" s="62"/>
      <c r="K89" s="67">
        <f>AVERAGE(K83:K88)</f>
        <v>4.416666666666667</v>
      </c>
      <c r="L89" s="44"/>
      <c r="M89" s="44"/>
      <c r="N89" s="34">
        <f t="shared" si="9"/>
        <v>22.641509433962263</v>
      </c>
      <c r="S89" s="302">
        <f>N89/'Fuels, properties and prices'!$F$4</f>
        <v>0.64387223042384278</v>
      </c>
      <c r="T89" s="258">
        <f>AVERAGE(T83:T88)</f>
        <v>1404</v>
      </c>
      <c r="U89" s="164">
        <f>AVERAGE(U83:U88)</f>
        <v>18020.847267759564</v>
      </c>
      <c r="V89" s="47">
        <f t="shared" si="6"/>
        <v>21859.287735792353</v>
      </c>
      <c r="W89" s="296">
        <f t="shared" si="7"/>
        <v>1460</v>
      </c>
      <c r="X89" s="320"/>
      <c r="Z89" s="6"/>
      <c r="AA89" s="6"/>
    </row>
    <row r="90" spans="1:27">
      <c r="A90" s="327"/>
      <c r="B90" s="11"/>
      <c r="F90" s="72"/>
      <c r="H90" s="59"/>
      <c r="J90" s="72"/>
      <c r="K90" s="59"/>
      <c r="S90" s="302"/>
      <c r="T90" s="257"/>
      <c r="U90" s="161"/>
      <c r="V90" s="47"/>
      <c r="W90" s="296"/>
      <c r="X90" s="320"/>
      <c r="Z90" s="6"/>
      <c r="AA90" s="6"/>
    </row>
    <row r="91" spans="1:27">
      <c r="A91" s="327"/>
      <c r="B91" s="11"/>
      <c r="C91" t="s">
        <v>72</v>
      </c>
      <c r="D91" t="s">
        <v>321</v>
      </c>
      <c r="E91" t="s">
        <v>323</v>
      </c>
      <c r="F91" s="116" t="s">
        <v>191</v>
      </c>
      <c r="G91" s="281">
        <v>20000</v>
      </c>
      <c r="H91" s="59">
        <v>88</v>
      </c>
      <c r="J91" s="72"/>
      <c r="K91" s="59">
        <v>4.8</v>
      </c>
      <c r="N91" s="34">
        <f t="shared" ref="N91:N96" si="10">1/(K91/100)</f>
        <v>20.833333333333332</v>
      </c>
      <c r="S91" s="302">
        <f>N91/'Fuels, properties and prices'!$F$4</f>
        <v>0.59245187868860538</v>
      </c>
      <c r="T91" s="257">
        <v>1579</v>
      </c>
      <c r="U91" s="161">
        <v>24194.032786885255</v>
      </c>
      <c r="V91" s="47">
        <f t="shared" si="6"/>
        <v>29347.361770491814</v>
      </c>
      <c r="W91" s="296">
        <f t="shared" si="7"/>
        <v>1470</v>
      </c>
      <c r="X91" s="320"/>
      <c r="Z91" s="6"/>
      <c r="AA91" s="6"/>
    </row>
    <row r="92" spans="1:27">
      <c r="A92" s="327"/>
      <c r="B92" s="11"/>
      <c r="C92" t="s">
        <v>142</v>
      </c>
      <c r="D92" s="58">
        <v>5008</v>
      </c>
      <c r="E92" t="s">
        <v>330</v>
      </c>
      <c r="F92" s="116" t="s">
        <v>191</v>
      </c>
      <c r="G92" s="281">
        <v>20000</v>
      </c>
      <c r="H92" s="59">
        <v>96</v>
      </c>
      <c r="J92" s="72"/>
      <c r="K92" s="59">
        <v>4.0999999999999996</v>
      </c>
      <c r="N92" s="34">
        <f t="shared" si="10"/>
        <v>24.390243902439028</v>
      </c>
      <c r="S92" s="302">
        <f>N92/'Fuels, properties and prices'!$F$4</f>
        <v>0.69360219944031865</v>
      </c>
      <c r="T92" s="257">
        <v>1505</v>
      </c>
      <c r="U92" s="161">
        <v>24546.491803278692</v>
      </c>
      <c r="V92" s="47">
        <f t="shared" si="6"/>
        <v>29774.894557377054</v>
      </c>
      <c r="W92" s="296">
        <f t="shared" si="7"/>
        <v>1490</v>
      </c>
      <c r="X92" s="320"/>
      <c r="Z92" s="6"/>
      <c r="AA92" s="6"/>
    </row>
    <row r="93" spans="1:27">
      <c r="A93" s="327"/>
      <c r="B93" s="11"/>
      <c r="C93" s="2" t="s">
        <v>70</v>
      </c>
      <c r="D93" s="2" t="s">
        <v>123</v>
      </c>
      <c r="E93" s="2" t="s">
        <v>125</v>
      </c>
      <c r="F93" s="116" t="s">
        <v>191</v>
      </c>
      <c r="G93" s="281">
        <v>20000</v>
      </c>
      <c r="H93" s="68">
        <v>105</v>
      </c>
      <c r="I93" s="2"/>
      <c r="J93" s="74"/>
      <c r="K93" s="68">
        <v>4.7</v>
      </c>
      <c r="L93" s="2"/>
      <c r="M93" s="2"/>
      <c r="N93" s="34">
        <f t="shared" si="10"/>
        <v>21.276595744680851</v>
      </c>
      <c r="S93" s="302">
        <f>N93/'Fuels, properties and prices'!$F$4</f>
        <v>0.60505723780963949</v>
      </c>
      <c r="T93" s="257">
        <v>1700</v>
      </c>
      <c r="U93" s="160">
        <v>26890.76</v>
      </c>
      <c r="V93" s="47">
        <f t="shared" si="6"/>
        <v>32618.491880000001</v>
      </c>
      <c r="W93" s="296">
        <f t="shared" si="7"/>
        <v>1630</v>
      </c>
      <c r="X93" s="320"/>
      <c r="Z93" s="6"/>
      <c r="AA93" s="6"/>
    </row>
    <row r="94" spans="1:27">
      <c r="A94" s="327"/>
      <c r="B94" s="11"/>
      <c r="C94" s="2" t="s">
        <v>128</v>
      </c>
      <c r="D94" s="2" t="s">
        <v>129</v>
      </c>
      <c r="E94" t="s">
        <v>132</v>
      </c>
      <c r="F94" s="116" t="s">
        <v>191</v>
      </c>
      <c r="G94" s="281">
        <v>20000</v>
      </c>
      <c r="H94" s="68">
        <v>110</v>
      </c>
      <c r="I94" s="2"/>
      <c r="J94" s="74"/>
      <c r="K94" s="68">
        <v>5.0999999999999996</v>
      </c>
      <c r="L94" s="2"/>
      <c r="M94" s="2"/>
      <c r="N94" s="34">
        <f t="shared" si="10"/>
        <v>19.607843137254903</v>
      </c>
      <c r="S94" s="302">
        <f>N94/'Fuels, properties and prices'!$F$4</f>
        <v>0.55760176817751095</v>
      </c>
      <c r="T94" s="257">
        <v>1615</v>
      </c>
      <c r="U94" s="160">
        <v>26120.26</v>
      </c>
      <c r="V94" s="47">
        <f t="shared" si="6"/>
        <v>31683.875380000001</v>
      </c>
      <c r="W94" s="296">
        <f t="shared" si="7"/>
        <v>1580</v>
      </c>
      <c r="X94" s="320"/>
    </row>
    <row r="95" spans="1:27">
      <c r="A95" s="327"/>
      <c r="B95" s="11"/>
      <c r="C95" s="2" t="s">
        <v>331</v>
      </c>
      <c r="D95" s="2" t="s">
        <v>332</v>
      </c>
      <c r="E95" s="2" t="s">
        <v>101</v>
      </c>
      <c r="F95" s="116" t="s">
        <v>191</v>
      </c>
      <c r="G95" s="281">
        <v>20000</v>
      </c>
      <c r="H95" s="68">
        <v>110</v>
      </c>
      <c r="I95" s="2"/>
      <c r="J95" s="74"/>
      <c r="K95" s="68">
        <v>4.9000000000000004</v>
      </c>
      <c r="L95" s="2"/>
      <c r="M95" s="2"/>
      <c r="N95" s="34">
        <f t="shared" si="10"/>
        <v>20.408163265306122</v>
      </c>
      <c r="S95" s="302">
        <f>N95/'Fuels, properties and prices'!$F$4</f>
        <v>0.58036102402149103</v>
      </c>
      <c r="T95" s="257">
        <v>1687</v>
      </c>
      <c r="U95" s="160">
        <v>26419.442622950817</v>
      </c>
      <c r="V95" s="47">
        <f t="shared" si="6"/>
        <v>32046.783901639345</v>
      </c>
      <c r="W95" s="296">
        <f t="shared" si="7"/>
        <v>1600</v>
      </c>
      <c r="X95" s="320"/>
      <c r="Z95" s="6"/>
      <c r="AA95" s="6"/>
    </row>
    <row r="96" spans="1:27">
      <c r="A96" s="327"/>
      <c r="B96" s="11"/>
      <c r="C96" s="43" t="s">
        <v>267</v>
      </c>
      <c r="D96" s="43"/>
      <c r="E96" s="43"/>
      <c r="F96" s="116" t="s">
        <v>191</v>
      </c>
      <c r="G96" s="281">
        <v>20000</v>
      </c>
      <c r="H96" s="67">
        <f>AVERAGE(H91:H95)</f>
        <v>101.8</v>
      </c>
      <c r="I96" s="44"/>
      <c r="J96" s="62"/>
      <c r="K96" s="67">
        <f>AVERAGE(K91:K95)</f>
        <v>4.7199999999999989</v>
      </c>
      <c r="L96" s="44"/>
      <c r="M96" s="44"/>
      <c r="N96" s="34">
        <f t="shared" si="10"/>
        <v>21.186440677966104</v>
      </c>
      <c r="S96" s="302">
        <f>N96/'Fuels, properties and prices'!$F$4</f>
        <v>0.60249343595451399</v>
      </c>
      <c r="T96" s="258">
        <f>AVERAGE(T91:T95)</f>
        <v>1617.2</v>
      </c>
      <c r="U96" s="151">
        <f>AVERAGE(U91:U95)</f>
        <v>25634.19744262295</v>
      </c>
      <c r="V96" s="47">
        <f t="shared" si="6"/>
        <v>31094.28149790164</v>
      </c>
      <c r="W96" s="296">
        <f t="shared" si="7"/>
        <v>1550</v>
      </c>
      <c r="X96" s="320"/>
      <c r="Z96" s="6"/>
      <c r="AA96" s="6"/>
    </row>
    <row r="97" spans="1:27">
      <c r="A97" s="327"/>
      <c r="B97" s="11"/>
      <c r="C97" s="95" t="s">
        <v>426</v>
      </c>
      <c r="D97" s="95"/>
      <c r="E97" s="95"/>
      <c r="F97" s="117"/>
      <c r="G97" s="95"/>
      <c r="H97" s="96">
        <f>H96/H89</f>
        <v>1.1612167300380227</v>
      </c>
      <c r="I97" s="97"/>
      <c r="J97" s="98"/>
      <c r="K97" s="96">
        <f>K96/K89</f>
        <v>1.0686792452830185</v>
      </c>
      <c r="L97" s="97"/>
      <c r="M97" s="97"/>
      <c r="N97" s="39">
        <f>N96/N89</f>
        <v>0.93573446327683629</v>
      </c>
      <c r="O97" s="97"/>
      <c r="P97" s="97"/>
      <c r="Q97" s="97"/>
      <c r="R97" s="97"/>
      <c r="S97" s="304">
        <f>S96/S89</f>
        <v>0.93573446327683629</v>
      </c>
      <c r="T97" s="267">
        <f>T95/T87</f>
        <v>1.2780303030303031</v>
      </c>
      <c r="U97" s="286"/>
      <c r="V97" s="47"/>
      <c r="W97" s="296"/>
      <c r="X97" s="320"/>
      <c r="Z97" s="6"/>
      <c r="AA97" s="6"/>
    </row>
    <row r="98" spans="1:27">
      <c r="A98" s="327"/>
      <c r="B98" s="11"/>
      <c r="C98" s="41"/>
      <c r="D98" s="41"/>
      <c r="E98" s="41"/>
      <c r="F98" s="112"/>
      <c r="G98" s="41"/>
      <c r="H98" s="60"/>
      <c r="I98" s="40"/>
      <c r="J98" s="73"/>
      <c r="K98" s="60"/>
      <c r="L98" s="40"/>
      <c r="M98" s="40"/>
      <c r="N98" s="54"/>
      <c r="O98" s="40"/>
      <c r="P98" s="40"/>
      <c r="Q98" s="40"/>
      <c r="R98" s="40"/>
      <c r="S98" s="303"/>
      <c r="T98" s="266"/>
      <c r="U98" s="284"/>
      <c r="V98" s="47"/>
      <c r="W98" s="296"/>
      <c r="X98" s="320"/>
      <c r="Z98" s="6"/>
      <c r="AA98" s="6"/>
    </row>
    <row r="99" spans="1:27">
      <c r="A99" s="327"/>
      <c r="B99" s="11"/>
      <c r="C99" t="s">
        <v>72</v>
      </c>
      <c r="D99" t="s">
        <v>325</v>
      </c>
      <c r="E99" t="s">
        <v>326</v>
      </c>
      <c r="F99" s="118" t="s">
        <v>516</v>
      </c>
      <c r="G99" s="282">
        <v>25000</v>
      </c>
      <c r="H99" s="59">
        <v>140</v>
      </c>
      <c r="J99" s="72"/>
      <c r="K99" s="59">
        <v>5.9</v>
      </c>
      <c r="N99" s="34">
        <f>1/(K99/100)</f>
        <v>16.949152542372879</v>
      </c>
      <c r="S99" s="302">
        <f>N99/'Fuels, properties and prices'!$F$4</f>
        <v>0.48199474876361109</v>
      </c>
      <c r="T99" s="257">
        <v>1912</v>
      </c>
      <c r="U99" s="161">
        <v>40628.459016393426</v>
      </c>
      <c r="V99" s="47">
        <f t="shared" si="6"/>
        <v>49282.320786885226</v>
      </c>
      <c r="W99" s="296">
        <f t="shared" si="7"/>
        <v>1970</v>
      </c>
      <c r="X99" s="320"/>
      <c r="Z99" s="6"/>
      <c r="AA99" s="6"/>
    </row>
    <row r="100" spans="1:27">
      <c r="A100" s="327"/>
      <c r="B100" s="11"/>
      <c r="C100" s="2" t="s">
        <v>102</v>
      </c>
      <c r="D100" s="2" t="s">
        <v>327</v>
      </c>
      <c r="E100" s="2" t="s">
        <v>328</v>
      </c>
      <c r="F100" s="118" t="s">
        <v>516</v>
      </c>
      <c r="G100" s="282">
        <v>25000</v>
      </c>
      <c r="H100" s="68">
        <v>147</v>
      </c>
      <c r="I100" s="2"/>
      <c r="J100" s="74"/>
      <c r="K100" s="68">
        <v>6.1</v>
      </c>
      <c r="L100" s="2"/>
      <c r="M100" s="2"/>
      <c r="N100" s="34">
        <f>1/(K100/100)</f>
        <v>16.393442622950818</v>
      </c>
      <c r="S100" s="302">
        <f>N100/'Fuels, properties and prices'!$F$4</f>
        <v>0.4661916422467714</v>
      </c>
      <c r="T100" s="257">
        <v>1953</v>
      </c>
      <c r="U100" s="160">
        <v>36065.573770491814</v>
      </c>
      <c r="V100" s="47">
        <f t="shared" si="6"/>
        <v>43747.540983606574</v>
      </c>
      <c r="W100" s="296">
        <f t="shared" si="7"/>
        <v>1750</v>
      </c>
      <c r="X100" s="320"/>
      <c r="Z100" s="6"/>
      <c r="AA100" s="6"/>
    </row>
    <row r="101" spans="1:27">
      <c r="A101" s="327"/>
      <c r="B101" s="11"/>
      <c r="C101" s="2" t="s">
        <v>70</v>
      </c>
      <c r="D101" s="2" t="s">
        <v>188</v>
      </c>
      <c r="E101" s="2" t="s">
        <v>189</v>
      </c>
      <c r="F101" s="118" t="s">
        <v>516</v>
      </c>
      <c r="G101" s="282">
        <v>25000</v>
      </c>
      <c r="H101" s="68">
        <v>130</v>
      </c>
      <c r="I101" s="2"/>
      <c r="J101" s="74"/>
      <c r="K101" s="68">
        <v>7.4</v>
      </c>
      <c r="L101" s="2"/>
      <c r="M101" s="2"/>
      <c r="N101" s="34">
        <f>1/(K101/100)</f>
        <v>13.513513513513512</v>
      </c>
      <c r="S101" s="302">
        <f>N101/'Fuels, properties and prices'!$F$4</f>
        <v>0.38429311050071696</v>
      </c>
      <c r="T101" s="264">
        <v>2355</v>
      </c>
      <c r="U101" s="160">
        <v>47923.54</v>
      </c>
      <c r="V101" s="47">
        <f t="shared" si="6"/>
        <v>58131.254020000008</v>
      </c>
      <c r="W101" s="296">
        <f t="shared" si="7"/>
        <v>2330</v>
      </c>
      <c r="X101" s="320"/>
      <c r="Z101" s="6"/>
      <c r="AA101" s="6"/>
    </row>
    <row r="102" spans="1:27">
      <c r="A102" s="327"/>
      <c r="B102" s="11"/>
      <c r="C102" s="43" t="s">
        <v>267</v>
      </c>
      <c r="D102" s="43"/>
      <c r="E102" s="43"/>
      <c r="F102" s="118" t="s">
        <v>516</v>
      </c>
      <c r="G102" s="282">
        <v>25000</v>
      </c>
      <c r="H102" s="67">
        <f>AVERAGE(H99:H101)</f>
        <v>139</v>
      </c>
      <c r="I102" s="44"/>
      <c r="J102" s="62"/>
      <c r="K102" s="67">
        <f>AVERAGE(K99:K101)</f>
        <v>6.4666666666666659</v>
      </c>
      <c r="L102" s="44"/>
      <c r="M102" s="44"/>
      <c r="N102" s="34">
        <f>1/(K102/100)</f>
        <v>15.463917525773196</v>
      </c>
      <c r="S102" s="302">
        <f>N102/'Fuels, properties and prices'!$F$4</f>
        <v>0.43975809552143907</v>
      </c>
      <c r="T102" s="258">
        <f>AVERAGE(T99:T101)</f>
        <v>2073.3333333333335</v>
      </c>
      <c r="U102" s="164">
        <f>AVERAGE(U99:U101)</f>
        <v>41539.190928961754</v>
      </c>
      <c r="V102" s="47">
        <f t="shared" si="6"/>
        <v>50387.038596830615</v>
      </c>
      <c r="W102" s="296">
        <f t="shared" si="7"/>
        <v>2020</v>
      </c>
      <c r="X102" s="320"/>
      <c r="Z102" s="6"/>
      <c r="AA102" s="6"/>
    </row>
    <row r="103" spans="1:27">
      <c r="A103" s="327"/>
      <c r="B103" s="11"/>
      <c r="C103" s="41"/>
      <c r="D103" s="41"/>
      <c r="E103" s="41"/>
      <c r="F103" s="112"/>
      <c r="G103" s="41"/>
      <c r="H103" s="60"/>
      <c r="I103" s="40"/>
      <c r="J103" s="73"/>
      <c r="K103" s="60"/>
      <c r="L103" s="40"/>
      <c r="M103" s="40"/>
      <c r="N103" s="54"/>
      <c r="O103" s="40"/>
      <c r="P103" s="40"/>
      <c r="Q103" s="40"/>
      <c r="R103" s="40"/>
      <c r="S103" s="303"/>
      <c r="T103" s="266"/>
      <c r="U103" s="284"/>
      <c r="V103" s="47"/>
      <c r="W103" s="296"/>
      <c r="X103" s="320"/>
      <c r="Z103" s="6"/>
      <c r="AA103" s="6"/>
    </row>
    <row r="104" spans="1:27">
      <c r="A104" s="327"/>
      <c r="B104" s="11"/>
      <c r="C104" s="2" t="s">
        <v>45</v>
      </c>
      <c r="D104" s="2" t="s">
        <v>46</v>
      </c>
      <c r="E104" s="2" t="s">
        <v>47</v>
      </c>
      <c r="F104" s="118" t="s">
        <v>517</v>
      </c>
      <c r="G104" s="282">
        <v>25000</v>
      </c>
      <c r="H104" s="59">
        <v>160</v>
      </c>
      <c r="J104" s="72"/>
      <c r="K104" s="59">
        <v>5.5</v>
      </c>
      <c r="N104" s="34">
        <f>1/(K104/100)</f>
        <v>18.181818181818183</v>
      </c>
      <c r="S104" s="302">
        <f>N104/'Fuels, properties and prices'!$F$4</f>
        <v>0.51704891231005567</v>
      </c>
      <c r="T104" s="257">
        <v>2070</v>
      </c>
      <c r="U104" s="160">
        <v>52472.72</v>
      </c>
      <c r="V104" s="47">
        <f t="shared" si="6"/>
        <v>63649.409360000005</v>
      </c>
      <c r="W104" s="296">
        <f t="shared" si="7"/>
        <v>2550</v>
      </c>
      <c r="X104" s="320"/>
      <c r="Z104" s="6"/>
      <c r="AA104" s="6"/>
    </row>
    <row r="105" spans="1:27">
      <c r="A105" s="327"/>
      <c r="B105" s="11"/>
      <c r="C105" s="2" t="s">
        <v>183</v>
      </c>
      <c r="D105" s="2" t="s">
        <v>338</v>
      </c>
      <c r="E105" s="2" t="s">
        <v>342</v>
      </c>
      <c r="F105" s="118" t="s">
        <v>517</v>
      </c>
      <c r="G105" s="282">
        <v>25000</v>
      </c>
      <c r="H105" s="68">
        <v>183</v>
      </c>
      <c r="I105" s="2"/>
      <c r="J105" s="74"/>
      <c r="K105" s="68">
        <v>7</v>
      </c>
      <c r="L105" s="2"/>
      <c r="M105" s="2"/>
      <c r="N105" s="34">
        <f>1/(K105/100)</f>
        <v>14.285714285714285</v>
      </c>
      <c r="S105" s="302">
        <f>N105/'Fuels, properties and prices'!$F$4</f>
        <v>0.40625271681504366</v>
      </c>
      <c r="T105" s="264">
        <v>2283</v>
      </c>
      <c r="U105" s="160">
        <v>58770.491803278688</v>
      </c>
      <c r="V105" s="47">
        <f t="shared" si="6"/>
        <v>71288.606557377047</v>
      </c>
      <c r="W105" s="296">
        <f t="shared" si="7"/>
        <v>2850</v>
      </c>
      <c r="X105" s="320"/>
      <c r="Z105" s="6"/>
      <c r="AA105" s="6"/>
    </row>
    <row r="106" spans="1:27">
      <c r="A106" s="327"/>
      <c r="B106" s="11"/>
      <c r="C106" s="2" t="s">
        <v>192</v>
      </c>
      <c r="D106" s="2" t="s">
        <v>193</v>
      </c>
      <c r="E106" s="2" t="s">
        <v>194</v>
      </c>
      <c r="F106" s="118" t="s">
        <v>517</v>
      </c>
      <c r="G106" s="282">
        <v>25000</v>
      </c>
      <c r="H106" s="68">
        <v>150</v>
      </c>
      <c r="I106" s="2"/>
      <c r="J106" s="74"/>
      <c r="K106" s="68">
        <v>6.3</v>
      </c>
      <c r="L106" s="2"/>
      <c r="M106" s="2"/>
      <c r="N106" s="34">
        <f>1/(K106/100)</f>
        <v>15.873015873015873</v>
      </c>
      <c r="S106" s="302">
        <f>N106/'Fuels, properties and prices'!$F$4</f>
        <v>0.45139190757227077</v>
      </c>
      <c r="T106" s="257">
        <v>1855</v>
      </c>
      <c r="U106" s="160">
        <v>50864</v>
      </c>
      <c r="V106" s="47">
        <f t="shared" si="6"/>
        <v>61698.032000000007</v>
      </c>
      <c r="W106" s="296">
        <f t="shared" si="7"/>
        <v>2470</v>
      </c>
      <c r="X106" s="320"/>
    </row>
    <row r="107" spans="1:27">
      <c r="A107" s="327"/>
      <c r="B107" s="11"/>
      <c r="C107" s="2" t="s">
        <v>334</v>
      </c>
      <c r="D107" s="2" t="s">
        <v>335</v>
      </c>
      <c r="E107" s="2" t="s">
        <v>337</v>
      </c>
      <c r="F107" s="118" t="s">
        <v>517</v>
      </c>
      <c r="G107" s="282">
        <v>25000</v>
      </c>
      <c r="H107" s="59">
        <v>173</v>
      </c>
      <c r="J107" s="72"/>
      <c r="K107" s="86">
        <v>6</v>
      </c>
      <c r="N107" s="34">
        <f>1/(K107/100)</f>
        <v>16.666666666666668</v>
      </c>
      <c r="S107" s="302">
        <f>N107/'Fuels, properties and prices'!$F$4</f>
        <v>0.47396150295088435</v>
      </c>
      <c r="T107" s="257">
        <v>2290</v>
      </c>
      <c r="U107" s="160">
        <v>55000</v>
      </c>
      <c r="V107" s="47">
        <f t="shared" si="6"/>
        <v>66715</v>
      </c>
      <c r="W107" s="296">
        <f t="shared" si="7"/>
        <v>2670</v>
      </c>
      <c r="X107" s="320"/>
      <c r="Z107" s="6"/>
      <c r="AA107" s="6"/>
    </row>
    <row r="108" spans="1:27">
      <c r="A108" s="327"/>
      <c r="B108" s="11"/>
      <c r="C108" s="43" t="s">
        <v>267</v>
      </c>
      <c r="D108" s="43"/>
      <c r="E108" s="43"/>
      <c r="F108" s="118" t="s">
        <v>517</v>
      </c>
      <c r="G108" s="282">
        <v>25000</v>
      </c>
      <c r="H108" s="67">
        <f>AVERAGE(H104:H107)</f>
        <v>166.5</v>
      </c>
      <c r="I108" s="44"/>
      <c r="J108" s="62"/>
      <c r="K108" s="67">
        <f>AVERAGE(K104:K107)</f>
        <v>6.2</v>
      </c>
      <c r="L108" s="44"/>
      <c r="M108" s="44"/>
      <c r="N108" s="34">
        <f>1/(K108/100)</f>
        <v>16.129032258064516</v>
      </c>
      <c r="S108" s="302">
        <f>N108/'Fuels, properties and prices'!$F$4</f>
        <v>0.45867242221053323</v>
      </c>
      <c r="T108" s="258">
        <f>AVERAGE(T104:T107)</f>
        <v>2124.5</v>
      </c>
      <c r="U108" s="164">
        <f>AVERAGE(U104:U107)</f>
        <v>54276.802950819671</v>
      </c>
      <c r="V108" s="47">
        <f t="shared" si="6"/>
        <v>65837.761979344272</v>
      </c>
      <c r="W108" s="296">
        <f t="shared" si="7"/>
        <v>2630</v>
      </c>
      <c r="X108" s="320"/>
      <c r="Z108" s="6"/>
      <c r="AA108" s="6"/>
    </row>
    <row r="109" spans="1:27">
      <c r="A109" s="327"/>
      <c r="B109" s="11"/>
      <c r="C109" s="246" t="s">
        <v>273</v>
      </c>
      <c r="D109" s="55"/>
      <c r="E109" s="55"/>
      <c r="F109" s="65"/>
      <c r="G109" s="55"/>
      <c r="H109" s="69">
        <f>H108/H102</f>
        <v>1.1978417266187051</v>
      </c>
      <c r="I109" s="55"/>
      <c r="J109" s="65"/>
      <c r="K109" s="87">
        <f>K108/K102</f>
        <v>0.95876288659793829</v>
      </c>
      <c r="L109" s="55"/>
      <c r="M109" s="55"/>
      <c r="N109" s="55">
        <f>N108/N102</f>
        <v>1.043010752688172</v>
      </c>
      <c r="O109" s="55"/>
      <c r="P109" s="55"/>
      <c r="Q109" s="55"/>
      <c r="R109" s="55"/>
      <c r="S109" s="302">
        <f>S108/S102</f>
        <v>1.043010752688172</v>
      </c>
      <c r="T109" s="260">
        <f>T108/T102</f>
        <v>1.0246784565916398</v>
      </c>
      <c r="U109" s="285"/>
      <c r="V109" s="47"/>
      <c r="W109" s="296"/>
      <c r="X109" s="320"/>
      <c r="Z109" s="6"/>
      <c r="AA109" s="6"/>
    </row>
    <row r="110" spans="1:27">
      <c r="A110" s="327"/>
      <c r="B110" s="11"/>
      <c r="C110" s="91" t="s">
        <v>424</v>
      </c>
      <c r="D110" s="91"/>
      <c r="E110" s="91"/>
      <c r="F110" s="119"/>
      <c r="G110" s="91"/>
      <c r="H110" s="92">
        <f>AVERAGE(H59,H65,H71,H81,H89,H96,H102)</f>
        <v>94.616666666666674</v>
      </c>
      <c r="I110" s="93"/>
      <c r="J110" s="94"/>
      <c r="K110" s="92">
        <f>AVERAGE(K59,K65,K71,K81,K89,K96,K102)</f>
        <v>4.5490476190476183</v>
      </c>
      <c r="L110" s="93"/>
      <c r="M110" s="93"/>
      <c r="N110" s="34">
        <f>1/(K110/100)</f>
        <v>21.982623259708994</v>
      </c>
      <c r="O110" s="93"/>
      <c r="P110" s="93"/>
      <c r="Q110" s="93"/>
      <c r="R110" s="93"/>
      <c r="S110" s="303">
        <f>N110/'Fuels, properties and prices'!$F$4</f>
        <v>0.62513502953848454</v>
      </c>
      <c r="T110" s="265">
        <f>AVERAGE(T59,T65,T71,T81,T89,T96,T102)</f>
        <v>1509.111904761905</v>
      </c>
      <c r="U110" s="162">
        <f>AVERAGE(U59,U65,U71,U81,U89,U96,U102)</f>
        <v>23037.079028597072</v>
      </c>
      <c r="V110" s="47">
        <f t="shared" si="6"/>
        <v>27943.97686168825</v>
      </c>
      <c r="W110" s="296"/>
      <c r="X110" s="320"/>
      <c r="Z110" s="6"/>
      <c r="AA110" s="6"/>
    </row>
    <row r="111" spans="1:27">
      <c r="A111" s="327" t="s">
        <v>2</v>
      </c>
      <c r="B111" s="247" t="s">
        <v>550</v>
      </c>
      <c r="C111" s="2" t="s">
        <v>48</v>
      </c>
      <c r="D111" s="2" t="s">
        <v>49</v>
      </c>
      <c r="E111" s="2" t="s">
        <v>53</v>
      </c>
      <c r="F111" s="109" t="s">
        <v>298</v>
      </c>
      <c r="G111" s="277">
        <v>8000</v>
      </c>
      <c r="H111" s="68">
        <v>51</v>
      </c>
      <c r="I111" s="2"/>
      <c r="J111" s="74"/>
      <c r="K111" s="68">
        <v>6.5</v>
      </c>
      <c r="L111" s="2"/>
      <c r="M111" s="2"/>
      <c r="N111" s="34">
        <f>1/(K111/100)</f>
        <v>15.384615384615383</v>
      </c>
      <c r="O111" s="2"/>
      <c r="P111" s="2"/>
      <c r="Q111" s="2"/>
      <c r="R111" s="2"/>
      <c r="S111" s="302">
        <f>N111/'Fuels, properties and prices'!$F$5</f>
        <v>0.66059862787058998</v>
      </c>
      <c r="T111" s="264">
        <v>1015</v>
      </c>
      <c r="U111" s="160">
        <v>11243.21</v>
      </c>
      <c r="V111" s="47">
        <f t="shared" si="6"/>
        <v>13638.013730000001</v>
      </c>
      <c r="W111" s="296">
        <f t="shared" si="7"/>
        <v>1700</v>
      </c>
      <c r="X111" s="320"/>
      <c r="Z111" s="6"/>
      <c r="AA111" s="6"/>
    </row>
    <row r="112" spans="1:27">
      <c r="A112" s="327"/>
      <c r="B112" s="11" t="s">
        <v>551</v>
      </c>
      <c r="C112" s="43" t="s">
        <v>267</v>
      </c>
      <c r="D112" s="43"/>
      <c r="E112" s="43"/>
      <c r="F112" s="109" t="s">
        <v>298</v>
      </c>
      <c r="G112" s="277">
        <v>8000</v>
      </c>
      <c r="H112" s="67">
        <f>AVERAGE(H111)</f>
        <v>51</v>
      </c>
      <c r="I112" s="44"/>
      <c r="J112" s="62"/>
      <c r="K112" s="67">
        <f>AVERAGE(K111)</f>
        <v>6.5</v>
      </c>
      <c r="L112" s="44"/>
      <c r="M112" s="44"/>
      <c r="N112" s="34">
        <f>1/(K112/100)</f>
        <v>15.384615384615383</v>
      </c>
      <c r="O112" s="2"/>
      <c r="P112" s="2"/>
      <c r="Q112" s="2"/>
      <c r="R112" s="2"/>
      <c r="S112" s="302">
        <f>N112/'Fuels, properties and prices'!$F$5</f>
        <v>0.66059862787058998</v>
      </c>
      <c r="T112" s="258">
        <f>AVERAGE(T111)</f>
        <v>1015</v>
      </c>
      <c r="U112" s="164">
        <f>AVERAGE(U111)</f>
        <v>11243.21</v>
      </c>
      <c r="V112" s="47">
        <f t="shared" si="6"/>
        <v>13638.013730000001</v>
      </c>
      <c r="W112" s="296">
        <f t="shared" si="7"/>
        <v>1700</v>
      </c>
      <c r="X112" s="320"/>
      <c r="Z112" s="6"/>
      <c r="AA112" s="6"/>
    </row>
    <row r="113" spans="1:27">
      <c r="A113" s="327"/>
      <c r="B113" s="11"/>
      <c r="C113" s="41"/>
      <c r="D113" s="41"/>
      <c r="E113" s="41"/>
      <c r="F113" s="112"/>
      <c r="G113" s="41"/>
      <c r="H113" s="60"/>
      <c r="I113" s="40"/>
      <c r="J113" s="73"/>
      <c r="K113" s="60"/>
      <c r="L113" s="40"/>
      <c r="M113" s="40"/>
      <c r="N113" s="54"/>
      <c r="O113" s="40"/>
      <c r="P113" s="40"/>
      <c r="Q113" s="40"/>
      <c r="R113" s="40"/>
      <c r="S113" s="303"/>
      <c r="T113" s="266"/>
      <c r="U113" s="284"/>
      <c r="V113" s="47"/>
      <c r="W113" s="296"/>
      <c r="X113" s="320"/>
    </row>
    <row r="114" spans="1:27" s="40" customFormat="1">
      <c r="A114" s="327"/>
      <c r="B114" s="11"/>
      <c r="C114" s="2" t="s">
        <v>118</v>
      </c>
      <c r="D114" s="2" t="s">
        <v>120</v>
      </c>
      <c r="E114" s="2" t="s">
        <v>121</v>
      </c>
      <c r="F114" s="113" t="s">
        <v>60</v>
      </c>
      <c r="G114" s="278">
        <v>10000</v>
      </c>
      <c r="H114" s="68">
        <v>66</v>
      </c>
      <c r="I114" s="2"/>
      <c r="J114" s="74"/>
      <c r="K114" s="68">
        <v>7.2</v>
      </c>
      <c r="L114" s="2"/>
      <c r="M114" s="2"/>
      <c r="N114" s="34">
        <f>1/(K114/100)</f>
        <v>13.888888888888888</v>
      </c>
      <c r="O114" s="2"/>
      <c r="P114" s="2"/>
      <c r="Q114" s="2"/>
      <c r="R114" s="2"/>
      <c r="S114" s="302">
        <f>N114/'Fuels, properties and prices'!$F$5</f>
        <v>0.59637376127206032</v>
      </c>
      <c r="T114" s="257">
        <v>1165</v>
      </c>
      <c r="U114" s="160">
        <v>12703.03</v>
      </c>
      <c r="V114" s="47">
        <f t="shared" si="6"/>
        <v>15408.775390000003</v>
      </c>
      <c r="W114" s="296">
        <f t="shared" si="7"/>
        <v>1540</v>
      </c>
      <c r="X114" s="320"/>
      <c r="Z114" s="46"/>
      <c r="AA114" s="46"/>
    </row>
    <row r="115" spans="1:27">
      <c r="A115" s="327"/>
      <c r="B115" s="248"/>
      <c r="C115" s="2" t="s">
        <v>48</v>
      </c>
      <c r="D115" s="2" t="s">
        <v>151</v>
      </c>
      <c r="E115" s="2" t="s">
        <v>152</v>
      </c>
      <c r="F115" s="113" t="s">
        <v>60</v>
      </c>
      <c r="G115" s="278">
        <v>10000</v>
      </c>
      <c r="H115" s="68">
        <v>51</v>
      </c>
      <c r="I115" s="2"/>
      <c r="J115" s="74"/>
      <c r="K115" s="68">
        <v>6</v>
      </c>
      <c r="L115" s="2"/>
      <c r="M115" s="2"/>
      <c r="N115" s="34">
        <f>1/(K115/100)</f>
        <v>16.666666666666668</v>
      </c>
      <c r="O115" s="2"/>
      <c r="P115" s="2"/>
      <c r="Q115" s="2"/>
      <c r="R115" s="2"/>
      <c r="S115" s="302">
        <f>N115/'Fuels, properties and prices'!$F$5</f>
        <v>0.71564851352647252</v>
      </c>
      <c r="T115" s="257">
        <v>1260</v>
      </c>
      <c r="U115" s="160">
        <v>11800.59</v>
      </c>
      <c r="V115" s="47">
        <f t="shared" si="6"/>
        <v>14314.115670000001</v>
      </c>
      <c r="W115" s="296">
        <f t="shared" si="7"/>
        <v>1430</v>
      </c>
      <c r="X115" s="320"/>
      <c r="Z115" s="6"/>
      <c r="AA115" s="6"/>
    </row>
    <row r="116" spans="1:27">
      <c r="A116" s="327"/>
      <c r="B116" s="11"/>
      <c r="C116" s="43" t="s">
        <v>267</v>
      </c>
      <c r="D116" s="43"/>
      <c r="E116" s="43"/>
      <c r="F116" s="113" t="s">
        <v>60</v>
      </c>
      <c r="G116" s="278">
        <v>10000</v>
      </c>
      <c r="H116" s="67">
        <f>AVERAGE(H114:H115)</f>
        <v>58.5</v>
      </c>
      <c r="I116" s="44"/>
      <c r="J116" s="62"/>
      <c r="K116" s="67">
        <f>AVERAGE(K114:K115)</f>
        <v>6.6</v>
      </c>
      <c r="L116" s="44"/>
      <c r="M116" s="44"/>
      <c r="N116" s="34">
        <f>1/(K116/100)</f>
        <v>15.15151515151515</v>
      </c>
      <c r="O116" s="2"/>
      <c r="P116" s="2"/>
      <c r="Q116" s="2"/>
      <c r="R116" s="2"/>
      <c r="S116" s="302">
        <f>N116/'Fuels, properties and prices'!$F$5</f>
        <v>0.65058955775133864</v>
      </c>
      <c r="T116" s="258">
        <f>AVERAGE(T114:T115)</f>
        <v>1212.5</v>
      </c>
      <c r="U116" s="151">
        <f>AVERAGE(U114:U115)</f>
        <v>12251.810000000001</v>
      </c>
      <c r="V116" s="47">
        <f t="shared" si="6"/>
        <v>14861.445530000003</v>
      </c>
      <c r="W116" s="296">
        <f t="shared" si="7"/>
        <v>1490</v>
      </c>
      <c r="X116" s="320"/>
      <c r="Z116" s="6"/>
      <c r="AA116" s="6"/>
    </row>
    <row r="117" spans="1:27">
      <c r="A117" s="327"/>
      <c r="B117" s="11"/>
      <c r="C117" s="203" t="s">
        <v>518</v>
      </c>
      <c r="D117" s="203"/>
      <c r="E117" s="203"/>
      <c r="F117" s="204"/>
      <c r="G117" s="203"/>
      <c r="H117" s="205">
        <f>H116/H15</f>
        <v>0.93850267379679142</v>
      </c>
      <c r="I117" s="206"/>
      <c r="J117" s="207"/>
      <c r="K117" s="205">
        <f>K116/K15</f>
        <v>1.3943661971830985</v>
      </c>
      <c r="L117" s="206"/>
      <c r="M117" s="206"/>
      <c r="N117" s="209">
        <f>N116/N15</f>
        <v>0.71717171717171702</v>
      </c>
      <c r="O117" s="206"/>
      <c r="P117" s="206"/>
      <c r="Q117" s="206"/>
      <c r="R117" s="206"/>
      <c r="S117" s="303">
        <f>S116/S15</f>
        <v>0.9886089358649246</v>
      </c>
      <c r="T117" s="268">
        <f>T116/T15</f>
        <v>1.1002722323049001</v>
      </c>
      <c r="U117" s="288">
        <f>U116/U15</f>
        <v>0.99988270757214348</v>
      </c>
      <c r="V117" s="47"/>
      <c r="W117" s="296"/>
      <c r="X117" s="320"/>
      <c r="Z117" s="6"/>
      <c r="AA117" s="6"/>
    </row>
    <row r="118" spans="1:27">
      <c r="A118" s="327"/>
      <c r="B118" s="11"/>
      <c r="C118" s="2" t="s">
        <v>69</v>
      </c>
      <c r="D118" s="2" t="s">
        <v>256</v>
      </c>
      <c r="E118" t="s">
        <v>258</v>
      </c>
      <c r="F118" s="115" t="s">
        <v>461</v>
      </c>
      <c r="G118" s="280">
        <v>15000</v>
      </c>
      <c r="H118" s="59">
        <v>80</v>
      </c>
      <c r="J118" s="72"/>
      <c r="K118" s="59">
        <v>8.4</v>
      </c>
      <c r="N118" s="34">
        <f>1/(K118/100)</f>
        <v>11.904761904761903</v>
      </c>
      <c r="S118" s="302">
        <f>N118/'Fuels, properties and prices'!$F$5</f>
        <v>0.51117750966176601</v>
      </c>
      <c r="T118" s="257">
        <v>1186</v>
      </c>
      <c r="U118" s="161">
        <v>15464.524590163934</v>
      </c>
      <c r="V118" s="47">
        <f t="shared" si="6"/>
        <v>18758.468327868854</v>
      </c>
      <c r="W118" s="296">
        <f t="shared" si="7"/>
        <v>1250</v>
      </c>
      <c r="X118" s="320"/>
      <c r="Z118" s="6"/>
      <c r="AA118" s="6"/>
    </row>
    <row r="119" spans="1:27">
      <c r="A119" s="327"/>
      <c r="B119" s="11"/>
      <c r="C119" s="43" t="s">
        <v>267</v>
      </c>
      <c r="D119" s="43"/>
      <c r="E119" s="43"/>
      <c r="F119" s="115" t="s">
        <v>461</v>
      </c>
      <c r="G119" s="280">
        <v>15000</v>
      </c>
      <c r="H119" s="67">
        <f>AVERAGE(H118)</f>
        <v>80</v>
      </c>
      <c r="I119" s="44"/>
      <c r="J119" s="62"/>
      <c r="K119" s="67">
        <f>AVERAGE(K118)</f>
        <v>8.4</v>
      </c>
      <c r="L119" s="44"/>
      <c r="M119" s="44"/>
      <c r="N119" s="34">
        <f>1/(K119/100)</f>
        <v>11.904761904761903</v>
      </c>
      <c r="O119" s="2"/>
      <c r="P119" s="2"/>
      <c r="Q119" s="2"/>
      <c r="R119" s="2"/>
      <c r="S119" s="302">
        <f>N119/'Fuels, properties and prices'!$F$5</f>
        <v>0.51117750966176601</v>
      </c>
      <c r="T119" s="258">
        <f>AVERAGE(T118)</f>
        <v>1186</v>
      </c>
      <c r="U119" s="164">
        <f>AVERAGE(U118)</f>
        <v>15464.524590163934</v>
      </c>
      <c r="V119" s="47">
        <f t="shared" si="6"/>
        <v>18758.468327868854</v>
      </c>
      <c r="W119" s="296">
        <f t="shared" si="7"/>
        <v>1250</v>
      </c>
      <c r="X119" s="320"/>
      <c r="Z119" s="6"/>
      <c r="AA119" s="6"/>
    </row>
    <row r="120" spans="1:27">
      <c r="A120" s="327"/>
      <c r="B120" s="11"/>
      <c r="C120" s="41"/>
      <c r="D120" s="41"/>
      <c r="E120" s="41"/>
      <c r="F120" s="112"/>
      <c r="G120" s="41"/>
      <c r="H120" s="60"/>
      <c r="I120" s="40"/>
      <c r="J120" s="73"/>
      <c r="K120" s="60"/>
      <c r="L120" s="40"/>
      <c r="M120" s="40"/>
      <c r="N120" s="54"/>
      <c r="O120" s="40"/>
      <c r="P120" s="40"/>
      <c r="Q120" s="40"/>
      <c r="R120" s="40"/>
      <c r="S120" s="303"/>
      <c r="T120" s="266"/>
      <c r="U120" s="284"/>
      <c r="V120" s="47"/>
      <c r="W120" s="296"/>
      <c r="X120" s="320"/>
    </row>
    <row r="121" spans="1:27">
      <c r="A121" s="327"/>
      <c r="B121" s="11"/>
      <c r="C121" s="2" t="s">
        <v>128</v>
      </c>
      <c r="D121" s="2" t="s">
        <v>129</v>
      </c>
      <c r="E121" t="s">
        <v>294</v>
      </c>
      <c r="F121" s="116" t="s">
        <v>191</v>
      </c>
      <c r="G121" s="281">
        <v>20000</v>
      </c>
      <c r="H121" s="70">
        <f>H118*H97</f>
        <v>92.897338403041815</v>
      </c>
      <c r="I121" s="27"/>
      <c r="J121" s="64"/>
      <c r="K121" s="275">
        <f>K118*K97</f>
        <v>8.9769056603773549</v>
      </c>
      <c r="L121" s="27"/>
      <c r="M121" s="27"/>
      <c r="N121" s="27">
        <f>N118*N97</f>
        <v>11.139695991390907</v>
      </c>
      <c r="O121" s="27"/>
      <c r="P121" s="27"/>
      <c r="Q121" s="27"/>
      <c r="R121" s="27"/>
      <c r="S121" s="305">
        <f>S118*S97</f>
        <v>0.47832641264254239</v>
      </c>
      <c r="T121" s="269">
        <f>T118*T97</f>
        <v>1515.7439393939394</v>
      </c>
      <c r="U121" s="161">
        <v>25464.524590163939</v>
      </c>
      <c r="V121" s="47">
        <f t="shared" si="6"/>
        <v>30888.468327868861</v>
      </c>
      <c r="W121" s="296">
        <f t="shared" si="7"/>
        <v>1540</v>
      </c>
      <c r="X121" s="320"/>
      <c r="Z121" s="6"/>
      <c r="AA121" s="6"/>
    </row>
    <row r="122" spans="1:27">
      <c r="A122" s="327"/>
      <c r="B122" s="11"/>
      <c r="C122" s="43" t="s">
        <v>267</v>
      </c>
      <c r="D122" s="43"/>
      <c r="E122" s="43"/>
      <c r="F122" s="116" t="s">
        <v>191</v>
      </c>
      <c r="G122" s="281">
        <v>20000</v>
      </c>
      <c r="H122" s="67">
        <f>AVERAGE(H121)</f>
        <v>92.897338403041815</v>
      </c>
      <c r="I122" s="44"/>
      <c r="J122" s="62"/>
      <c r="K122" s="254">
        <f>AVERAGE(K121)</f>
        <v>8.9769056603773549</v>
      </c>
      <c r="L122" s="44"/>
      <c r="M122" s="44"/>
      <c r="N122" s="34">
        <f>1/(K122/100)</f>
        <v>11.139695991390912</v>
      </c>
      <c r="O122" s="2"/>
      <c r="P122" s="2"/>
      <c r="Q122" s="2"/>
      <c r="R122" s="2"/>
      <c r="S122" s="302">
        <f>N122/'Fuels, properties and prices'!$F$5</f>
        <v>0.47832641264254266</v>
      </c>
      <c r="T122" s="258">
        <f>AVERAGE(T121)</f>
        <v>1515.7439393939394</v>
      </c>
      <c r="U122" s="164">
        <f>AVERAGE(U121)</f>
        <v>25464.524590163939</v>
      </c>
      <c r="V122" s="47">
        <f t="shared" si="6"/>
        <v>30888.468327868861</v>
      </c>
      <c r="W122" s="296">
        <f t="shared" si="7"/>
        <v>1540</v>
      </c>
      <c r="X122" s="320"/>
      <c r="Z122" s="6"/>
      <c r="AA122" s="6"/>
    </row>
    <row r="123" spans="1:27">
      <c r="A123" s="327"/>
      <c r="B123" s="11"/>
      <c r="C123" s="91" t="s">
        <v>527</v>
      </c>
      <c r="D123" s="91"/>
      <c r="E123" s="91"/>
      <c r="F123" s="119"/>
      <c r="G123" s="91"/>
      <c r="H123" s="92">
        <f>H117*H21</f>
        <v>87.046122994652407</v>
      </c>
      <c r="I123" s="93"/>
      <c r="J123" s="93"/>
      <c r="K123" s="100">
        <f>K117*K21</f>
        <v>7.6341549295774636</v>
      </c>
      <c r="L123" s="93"/>
      <c r="M123" s="93"/>
      <c r="N123" s="34">
        <f>1/(K123/100)</f>
        <v>13.099026797656936</v>
      </c>
      <c r="O123" s="2"/>
      <c r="P123" s="2"/>
      <c r="Q123" s="2"/>
      <c r="R123" s="2"/>
      <c r="S123" s="302">
        <f>N123/'Fuels, properties and prices'!$F$5</f>
        <v>0.56245794338319699</v>
      </c>
      <c r="T123" s="270">
        <f>T117*T21</f>
        <v>1440.2563520871142</v>
      </c>
      <c r="U123" s="155">
        <f>U117*U21</f>
        <v>18898.782564075485</v>
      </c>
      <c r="V123" s="47">
        <f t="shared" si="6"/>
        <v>22924.223250223564</v>
      </c>
      <c r="W123" s="296"/>
      <c r="X123" s="320"/>
      <c r="Z123" s="6"/>
      <c r="AA123" s="6"/>
    </row>
    <row r="124" spans="1:27">
      <c r="A124" s="329" t="s">
        <v>530</v>
      </c>
      <c r="B124" s="247" t="s">
        <v>550</v>
      </c>
      <c r="C124" t="s">
        <v>33</v>
      </c>
      <c r="D124" t="s">
        <v>297</v>
      </c>
      <c r="E124" s="2" t="s">
        <v>301</v>
      </c>
      <c r="F124" s="109" t="s">
        <v>298</v>
      </c>
      <c r="G124" s="277">
        <v>8000</v>
      </c>
      <c r="H124" s="59">
        <v>50</v>
      </c>
      <c r="J124" s="72"/>
      <c r="K124" s="59"/>
      <c r="L124">
        <v>2.9</v>
      </c>
      <c r="N124" s="34"/>
      <c r="O124" s="49">
        <f>1/(L124/100)</f>
        <v>34.482758620689658</v>
      </c>
      <c r="S124" s="306">
        <f>O124/'Fuels, properties and prices'!$G$6</f>
        <v>0.72671777915046698</v>
      </c>
      <c r="T124" s="257">
        <v>1033</v>
      </c>
      <c r="U124" s="161">
        <v>10956.327868852464</v>
      </c>
      <c r="V124" s="47">
        <f t="shared" si="6"/>
        <v>13290.02570491804</v>
      </c>
      <c r="W124" s="296">
        <f t="shared" si="7"/>
        <v>1660</v>
      </c>
      <c r="X124" s="320"/>
      <c r="Z124" s="6"/>
      <c r="AA124" s="6"/>
    </row>
    <row r="125" spans="1:27" s="40" customFormat="1">
      <c r="A125" s="329"/>
      <c r="B125" s="11" t="s">
        <v>551</v>
      </c>
      <c r="C125" t="s">
        <v>331</v>
      </c>
      <c r="D125" t="s">
        <v>343</v>
      </c>
      <c r="E125" s="2" t="s">
        <v>344</v>
      </c>
      <c r="F125" s="109" t="s">
        <v>298</v>
      </c>
      <c r="G125" s="277">
        <v>8000</v>
      </c>
      <c r="H125" s="59">
        <v>50</v>
      </c>
      <c r="I125"/>
      <c r="J125" s="72"/>
      <c r="K125" s="59"/>
      <c r="L125">
        <v>2.9</v>
      </c>
      <c r="M125"/>
      <c r="N125" s="34"/>
      <c r="O125" s="49">
        <f>1/(L125/100)</f>
        <v>34.482758620689658</v>
      </c>
      <c r="P125"/>
      <c r="Q125"/>
      <c r="R125"/>
      <c r="S125" s="306">
        <f>O125/'Fuels, properties and prices'!$G$6</f>
        <v>0.72671777915046698</v>
      </c>
      <c r="T125" s="257">
        <v>1031</v>
      </c>
      <c r="U125" s="161">
        <v>10979.278539414425</v>
      </c>
      <c r="V125" s="47">
        <f t="shared" si="6"/>
        <v>13317.864868309698</v>
      </c>
      <c r="W125" s="296">
        <f t="shared" si="7"/>
        <v>1660</v>
      </c>
      <c r="X125" s="320"/>
    </row>
    <row r="126" spans="1:27">
      <c r="A126" s="329"/>
      <c r="B126" s="248"/>
      <c r="C126" s="2" t="s">
        <v>48</v>
      </c>
      <c r="D126" s="2" t="s">
        <v>49</v>
      </c>
      <c r="E126" t="s">
        <v>54</v>
      </c>
      <c r="F126" s="109" t="s">
        <v>298</v>
      </c>
      <c r="G126" s="277">
        <v>8000</v>
      </c>
      <c r="H126" s="59">
        <v>63</v>
      </c>
      <c r="J126" s="72"/>
      <c r="K126" s="59"/>
      <c r="L126">
        <v>3.1</v>
      </c>
      <c r="N126" s="34"/>
      <c r="O126" s="49">
        <f>1/(L126/100)</f>
        <v>32.258064516129032</v>
      </c>
      <c r="S126" s="306">
        <f>O126/'Fuels, properties and prices'!$G$6</f>
        <v>0.6798327611407593</v>
      </c>
      <c r="T126" s="257">
        <v>1155</v>
      </c>
      <c r="U126" s="160">
        <v>12882.56</v>
      </c>
      <c r="V126" s="47">
        <f t="shared" si="6"/>
        <v>15626.54528</v>
      </c>
      <c r="W126" s="296">
        <f t="shared" si="7"/>
        <v>1950</v>
      </c>
      <c r="X126" s="320"/>
      <c r="Z126" s="6"/>
      <c r="AA126" s="6"/>
    </row>
    <row r="127" spans="1:27">
      <c r="A127" s="329"/>
      <c r="B127" s="11"/>
      <c r="C127" s="43" t="s">
        <v>267</v>
      </c>
      <c r="D127" s="43"/>
      <c r="E127" s="43"/>
      <c r="F127" s="109" t="s">
        <v>298</v>
      </c>
      <c r="G127" s="277">
        <v>8000</v>
      </c>
      <c r="H127" s="67">
        <f>AVERAGE(H124:H126)</f>
        <v>54.333333333333336</v>
      </c>
      <c r="I127" s="44"/>
      <c r="J127" s="62"/>
      <c r="K127" s="67"/>
      <c r="L127" s="51">
        <f>AVERAGE(L124:L126)</f>
        <v>2.9666666666666668</v>
      </c>
      <c r="M127" s="44"/>
      <c r="N127" s="51"/>
      <c r="O127" s="49">
        <f>1/(L127/100)</f>
        <v>33.707865168539328</v>
      </c>
      <c r="S127" s="306">
        <f>O127/'Fuels, properties and prices'!$G$6</f>
        <v>0.71038704254034413</v>
      </c>
      <c r="T127" s="258">
        <f>AVERAGE(T124:T126)</f>
        <v>1073</v>
      </c>
      <c r="U127" s="164">
        <f>AVERAGE(U124:U126)</f>
        <v>11606.055469422296</v>
      </c>
      <c r="V127" s="47">
        <f t="shared" si="6"/>
        <v>14078.145284409246</v>
      </c>
      <c r="W127" s="296">
        <f t="shared" si="7"/>
        <v>1760</v>
      </c>
      <c r="X127" s="320"/>
      <c r="Z127" s="6"/>
      <c r="AA127" s="6"/>
    </row>
    <row r="128" spans="1:27">
      <c r="A128" s="329"/>
      <c r="B128" s="248"/>
      <c r="C128" s="2"/>
      <c r="D128" s="2"/>
      <c r="F128" s="72"/>
      <c r="H128" s="59"/>
      <c r="J128" s="72"/>
      <c r="K128" s="59"/>
      <c r="N128" s="34"/>
      <c r="O128" s="49"/>
      <c r="S128" s="306"/>
      <c r="T128" s="257"/>
      <c r="U128" s="160"/>
      <c r="V128" s="47"/>
      <c r="W128" s="296"/>
      <c r="X128" s="320"/>
    </row>
    <row r="129" spans="1:27">
      <c r="A129" s="329"/>
      <c r="B129" s="11"/>
      <c r="C129" s="2" t="s">
        <v>33</v>
      </c>
      <c r="D129" s="2" t="s">
        <v>113</v>
      </c>
      <c r="E129" s="2" t="s">
        <v>117</v>
      </c>
      <c r="F129" s="113" t="s">
        <v>60</v>
      </c>
      <c r="G129" s="278">
        <v>10000</v>
      </c>
      <c r="H129" s="68">
        <v>66</v>
      </c>
      <c r="I129" s="2"/>
      <c r="J129" s="74"/>
      <c r="K129" s="68"/>
      <c r="L129" s="2">
        <v>3.1</v>
      </c>
      <c r="M129" s="2"/>
      <c r="N129" s="53"/>
      <c r="O129" s="49">
        <f>1/(L129/100)</f>
        <v>32.258064516129032</v>
      </c>
      <c r="P129" s="2"/>
      <c r="Q129" s="2"/>
      <c r="R129" s="2"/>
      <c r="S129" s="306">
        <f>O129/'Fuels, properties and prices'!$G$6</f>
        <v>0.6798327611407593</v>
      </c>
      <c r="T129" s="257">
        <v>1260</v>
      </c>
      <c r="U129" s="160">
        <v>17226.89</v>
      </c>
      <c r="V129" s="47">
        <f t="shared" si="6"/>
        <v>20896.217570000001</v>
      </c>
      <c r="W129" s="296">
        <f t="shared" si="7"/>
        <v>2090</v>
      </c>
      <c r="X129" s="320"/>
    </row>
    <row r="130" spans="1:27">
      <c r="A130" s="329"/>
      <c r="B130" s="11"/>
      <c r="C130" t="s">
        <v>331</v>
      </c>
      <c r="D130" t="s">
        <v>345</v>
      </c>
      <c r="E130" t="s">
        <v>117</v>
      </c>
      <c r="F130" s="113" t="s">
        <v>60</v>
      </c>
      <c r="G130" s="278">
        <v>10000</v>
      </c>
      <c r="H130" s="59">
        <v>66</v>
      </c>
      <c r="J130" s="72"/>
      <c r="K130" s="59"/>
      <c r="L130">
        <v>3.3</v>
      </c>
      <c r="O130" s="49">
        <f>1/(L130/100)</f>
        <v>30.303030303030301</v>
      </c>
      <c r="S130" s="306">
        <f>O130/'Fuels, properties and prices'!$G$6</f>
        <v>0.63863077561707693</v>
      </c>
      <c r="T130" s="257">
        <v>1239</v>
      </c>
      <c r="U130" s="161">
        <v>14235.016393442629</v>
      </c>
      <c r="V130" s="47">
        <f t="shared" si="6"/>
        <v>17267.074885245911</v>
      </c>
      <c r="W130" s="296">
        <f t="shared" si="7"/>
        <v>1730</v>
      </c>
      <c r="X130" s="320"/>
    </row>
    <row r="131" spans="1:27">
      <c r="A131" s="329"/>
      <c r="B131" s="11"/>
      <c r="C131" s="2" t="s">
        <v>48</v>
      </c>
      <c r="D131" s="2" t="s">
        <v>151</v>
      </c>
      <c r="E131" t="s">
        <v>153</v>
      </c>
      <c r="F131" s="113" t="s">
        <v>60</v>
      </c>
      <c r="G131" s="278">
        <v>10000</v>
      </c>
      <c r="H131" s="59">
        <v>51</v>
      </c>
      <c r="J131" s="72"/>
      <c r="K131" s="59"/>
      <c r="L131">
        <v>4.2</v>
      </c>
      <c r="N131" s="34"/>
      <c r="O131" s="49">
        <f>1/(L131/100)</f>
        <v>23.809523809523807</v>
      </c>
      <c r="S131" s="306">
        <f>O131/'Fuels, properties and prices'!$G$6</f>
        <v>0.50178132369913186</v>
      </c>
      <c r="T131" s="257">
        <v>1260</v>
      </c>
      <c r="U131" s="160">
        <v>11792.39</v>
      </c>
      <c r="V131" s="47">
        <f t="shared" si="6"/>
        <v>14304.16907</v>
      </c>
      <c r="W131" s="296">
        <f t="shared" si="7"/>
        <v>1430</v>
      </c>
      <c r="X131" s="320"/>
      <c r="Z131" s="6"/>
      <c r="AA131" s="6"/>
    </row>
    <row r="132" spans="1:27">
      <c r="A132" s="329"/>
      <c r="B132" s="11"/>
      <c r="C132" s="43" t="s">
        <v>267</v>
      </c>
      <c r="D132" s="43"/>
      <c r="E132" s="43"/>
      <c r="F132" s="113" t="s">
        <v>60</v>
      </c>
      <c r="G132" s="278">
        <v>10000</v>
      </c>
      <c r="H132" s="67">
        <f>AVERAGE(H129:H131)</f>
        <v>61</v>
      </c>
      <c r="I132" s="44"/>
      <c r="J132" s="62"/>
      <c r="K132" s="67"/>
      <c r="L132" s="51">
        <f>AVERAGE(L129:L131)</f>
        <v>3.5333333333333337</v>
      </c>
      <c r="M132" s="44"/>
      <c r="N132" s="51"/>
      <c r="O132" s="49">
        <f>1/(L132/100)</f>
        <v>28.30188679245283</v>
      </c>
      <c r="S132" s="306">
        <f>O132/'Fuels, properties and prices'!$G$6</f>
        <v>0.59645704515179832</v>
      </c>
      <c r="T132" s="258">
        <f>AVERAGE(T129:T131)</f>
        <v>1253</v>
      </c>
      <c r="U132" s="151">
        <f>AVERAGE(U129:U131)</f>
        <v>14418.098797814209</v>
      </c>
      <c r="V132" s="47">
        <f t="shared" ref="V132:V195" si="11">1.213*U132</f>
        <v>17489.153841748637</v>
      </c>
      <c r="W132" s="296">
        <f t="shared" ref="W132:W195" si="12">ROUND(V132/(G132)/0.001,-1)</f>
        <v>1750</v>
      </c>
      <c r="X132" s="320"/>
      <c r="Z132" s="6"/>
      <c r="AA132" s="6"/>
    </row>
    <row r="133" spans="1:27">
      <c r="A133" s="329"/>
      <c r="B133" s="11"/>
      <c r="F133" s="72"/>
      <c r="H133" s="59"/>
      <c r="J133" s="72"/>
      <c r="K133" s="59"/>
      <c r="S133" s="302"/>
      <c r="T133" s="257"/>
      <c r="U133" s="161"/>
      <c r="V133" s="47"/>
      <c r="W133" s="296"/>
      <c r="X133" s="320"/>
      <c r="Z133" s="129"/>
      <c r="AA133" s="129"/>
    </row>
    <row r="134" spans="1:27">
      <c r="A134" s="329"/>
      <c r="B134" s="11"/>
      <c r="C134" s="2" t="s">
        <v>33</v>
      </c>
      <c r="D134" s="2" t="s">
        <v>34</v>
      </c>
      <c r="E134" t="s">
        <v>55</v>
      </c>
      <c r="F134" s="90" t="s">
        <v>59</v>
      </c>
      <c r="G134" s="90">
        <v>15000</v>
      </c>
      <c r="H134" s="59">
        <v>96</v>
      </c>
      <c r="J134" s="72"/>
      <c r="K134" s="59"/>
      <c r="L134">
        <v>3.5</v>
      </c>
      <c r="N134" s="34"/>
      <c r="O134" s="49">
        <f>1/(L134/100)</f>
        <v>28.571428571428569</v>
      </c>
      <c r="S134" s="306">
        <f>O134/'Fuels, properties and prices'!$G$6</f>
        <v>0.60213758843895826</v>
      </c>
      <c r="T134" s="257">
        <v>1336</v>
      </c>
      <c r="U134" s="160">
        <v>21284.19</v>
      </c>
      <c r="V134" s="47">
        <f t="shared" si="11"/>
        <v>25817.722470000001</v>
      </c>
      <c r="W134" s="296">
        <f t="shared" si="12"/>
        <v>1720</v>
      </c>
      <c r="X134" s="320"/>
      <c r="Z134" s="129"/>
      <c r="AA134" s="129"/>
    </row>
    <row r="135" spans="1:27">
      <c r="A135" s="329"/>
      <c r="B135" s="11"/>
      <c r="C135" s="2" t="s">
        <v>331</v>
      </c>
      <c r="D135" s="2" t="s">
        <v>349</v>
      </c>
      <c r="E135" t="s">
        <v>350</v>
      </c>
      <c r="F135" s="90" t="s">
        <v>59</v>
      </c>
      <c r="G135" s="90">
        <v>15000</v>
      </c>
      <c r="H135" s="59">
        <v>96</v>
      </c>
      <c r="J135" s="72"/>
      <c r="K135" s="59"/>
      <c r="L135">
        <v>3.6</v>
      </c>
      <c r="N135" s="34"/>
      <c r="O135" s="49">
        <f>1/(L135/100)</f>
        <v>27.777777777777775</v>
      </c>
      <c r="S135" s="306">
        <f>O135/'Fuels, properties and prices'!$G$6</f>
        <v>0.58541154431565379</v>
      </c>
      <c r="T135" s="257">
        <v>1395</v>
      </c>
      <c r="U135" s="160">
        <v>19328.852459016398</v>
      </c>
      <c r="V135" s="47">
        <f t="shared" si="11"/>
        <v>23445.898032786892</v>
      </c>
      <c r="W135" s="296">
        <f t="shared" si="12"/>
        <v>1560</v>
      </c>
      <c r="X135" s="320"/>
      <c r="Z135" s="129"/>
      <c r="AA135" s="129"/>
    </row>
    <row r="136" spans="1:27">
      <c r="A136" s="329"/>
      <c r="B136" s="11"/>
      <c r="C136" s="2" t="s">
        <v>140</v>
      </c>
      <c r="D136" s="2" t="s">
        <v>312</v>
      </c>
      <c r="E136" t="s">
        <v>315</v>
      </c>
      <c r="F136" s="90" t="s">
        <v>59</v>
      </c>
      <c r="G136" s="90">
        <v>15000</v>
      </c>
      <c r="H136" s="59">
        <v>81</v>
      </c>
      <c r="J136" s="72"/>
      <c r="K136" s="59"/>
      <c r="L136">
        <v>4.0999999999999996</v>
      </c>
      <c r="N136" s="34"/>
      <c r="O136" s="49">
        <f>1/(L136/100)</f>
        <v>24.390243902439028</v>
      </c>
      <c r="S136" s="306">
        <f>O136/'Fuels, properties and prices'!$G$6</f>
        <v>0.51401989256984248</v>
      </c>
      <c r="T136" s="257">
        <v>1364</v>
      </c>
      <c r="U136" s="160">
        <v>19562.885245901642</v>
      </c>
      <c r="V136" s="47">
        <f t="shared" si="11"/>
        <v>23729.779803278692</v>
      </c>
      <c r="W136" s="296">
        <f t="shared" si="12"/>
        <v>1580</v>
      </c>
      <c r="X136" s="320"/>
      <c r="Z136" s="129"/>
      <c r="AA136" s="129"/>
    </row>
    <row r="137" spans="1:27">
      <c r="A137" s="329"/>
      <c r="B137" s="11"/>
      <c r="C137" s="43" t="s">
        <v>267</v>
      </c>
      <c r="D137" s="43"/>
      <c r="E137" s="43"/>
      <c r="F137" s="90" t="s">
        <v>59</v>
      </c>
      <c r="G137" s="90">
        <v>15000</v>
      </c>
      <c r="H137" s="67">
        <f>AVERAGE(H134:H136)</f>
        <v>91</v>
      </c>
      <c r="I137" s="44"/>
      <c r="J137" s="62"/>
      <c r="K137" s="67"/>
      <c r="L137" s="51">
        <f>AVERAGE(L134:L136)</f>
        <v>3.7333333333333329</v>
      </c>
      <c r="M137" s="44"/>
      <c r="N137" s="51"/>
      <c r="O137" s="49">
        <f>1/(L137/100)</f>
        <v>26.785714285714288</v>
      </c>
      <c r="S137" s="306">
        <f>O137/'Fuels, properties and prices'!$G$6</f>
        <v>0.56450398916152345</v>
      </c>
      <c r="T137" s="258">
        <f>AVERAGE(T134:T136)</f>
        <v>1365</v>
      </c>
      <c r="U137" s="151">
        <f>AVERAGE(U134:U136)</f>
        <v>20058.642568306012</v>
      </c>
      <c r="V137" s="47">
        <f t="shared" si="11"/>
        <v>24331.133435355194</v>
      </c>
      <c r="W137" s="296">
        <f t="shared" si="12"/>
        <v>1620</v>
      </c>
      <c r="X137" s="320"/>
      <c r="Z137" s="129"/>
      <c r="AA137" s="129"/>
    </row>
    <row r="138" spans="1:27">
      <c r="A138" s="329"/>
      <c r="B138" s="11"/>
      <c r="C138" s="2"/>
      <c r="D138" s="2"/>
      <c r="F138" s="72"/>
      <c r="H138" s="59"/>
      <c r="J138" s="72"/>
      <c r="K138" s="59"/>
      <c r="N138" s="34"/>
      <c r="S138" s="302"/>
      <c r="T138" s="257"/>
      <c r="U138" s="160"/>
      <c r="V138" s="47"/>
      <c r="W138" s="296"/>
      <c r="X138" s="320"/>
      <c r="Z138" s="129"/>
      <c r="AA138" s="129"/>
    </row>
    <row r="139" spans="1:27">
      <c r="A139" s="329"/>
      <c r="B139" s="11"/>
      <c r="C139" s="2" t="s">
        <v>45</v>
      </c>
      <c r="D139" s="2" t="s">
        <v>94</v>
      </c>
      <c r="E139" t="s">
        <v>98</v>
      </c>
      <c r="F139" s="90" t="s">
        <v>100</v>
      </c>
      <c r="G139" s="90">
        <v>15000</v>
      </c>
      <c r="H139" s="59">
        <v>96</v>
      </c>
      <c r="J139" s="72"/>
      <c r="K139" s="59"/>
      <c r="L139">
        <v>3.5</v>
      </c>
      <c r="O139" s="49">
        <f>1/(L139/100)</f>
        <v>28.571428571428569</v>
      </c>
      <c r="S139" s="306">
        <f>O139/'Fuels, properties and prices'!$G$6</f>
        <v>0.60213758843895826</v>
      </c>
      <c r="T139" s="257">
        <v>1305</v>
      </c>
      <c r="U139" s="160">
        <v>25714.29</v>
      </c>
      <c r="V139" s="47">
        <f t="shared" si="11"/>
        <v>31191.433770000003</v>
      </c>
      <c r="W139" s="296">
        <f t="shared" si="12"/>
        <v>2080</v>
      </c>
      <c r="X139" s="320"/>
      <c r="Z139" s="129"/>
      <c r="AA139" s="129"/>
    </row>
    <row r="140" spans="1:27">
      <c r="A140" s="329"/>
      <c r="B140" s="11"/>
      <c r="C140" s="246" t="s">
        <v>273</v>
      </c>
      <c r="D140" s="55"/>
      <c r="E140" s="55"/>
      <c r="F140" s="90" t="s">
        <v>100</v>
      </c>
      <c r="G140" s="90">
        <v>15000</v>
      </c>
      <c r="H140" s="69">
        <f>H139/H134</f>
        <v>1</v>
      </c>
      <c r="I140" s="55"/>
      <c r="J140" s="65"/>
      <c r="K140" s="87"/>
      <c r="L140" s="56">
        <f>L139/L134</f>
        <v>1</v>
      </c>
      <c r="M140" s="55"/>
      <c r="N140" s="55"/>
      <c r="O140" s="55">
        <f>O139/O134</f>
        <v>1</v>
      </c>
      <c r="P140" s="55"/>
      <c r="Q140" s="55"/>
      <c r="R140" s="55"/>
      <c r="S140" s="302">
        <f>S139/S134</f>
        <v>1</v>
      </c>
      <c r="T140" s="271"/>
      <c r="U140" s="285"/>
      <c r="V140" s="47"/>
      <c r="W140" s="296"/>
      <c r="X140" s="320"/>
      <c r="Z140" s="129"/>
      <c r="AA140" s="129"/>
    </row>
    <row r="141" spans="1:27">
      <c r="A141" s="329"/>
      <c r="B141" s="11"/>
      <c r="F141" s="72"/>
      <c r="H141" s="59"/>
      <c r="J141" s="72"/>
      <c r="K141" s="59"/>
      <c r="S141" s="302"/>
      <c r="T141" s="257"/>
      <c r="U141" s="161"/>
      <c r="V141" s="47"/>
      <c r="W141" s="296"/>
      <c r="X141" s="320"/>
      <c r="Z141" s="129"/>
      <c r="AA141" s="129"/>
    </row>
    <row r="142" spans="1:27">
      <c r="A142" s="329"/>
      <c r="B142" s="11"/>
      <c r="C142" s="2" t="s">
        <v>331</v>
      </c>
      <c r="D142" s="2" t="s">
        <v>348</v>
      </c>
      <c r="E142" t="s">
        <v>117</v>
      </c>
      <c r="F142" s="115" t="s">
        <v>461</v>
      </c>
      <c r="G142" s="280">
        <v>15000</v>
      </c>
      <c r="H142" s="59">
        <v>66</v>
      </c>
      <c r="J142" s="72"/>
      <c r="K142" s="59"/>
      <c r="L142">
        <v>3.7</v>
      </c>
      <c r="O142" s="49">
        <f>1/(L142/100)</f>
        <v>27.027027027027025</v>
      </c>
      <c r="S142" s="306">
        <f>O142/'Fuels, properties and prices'!$G$6</f>
        <v>0.56958961068550096</v>
      </c>
      <c r="T142" s="257">
        <v>1233</v>
      </c>
      <c r="U142" s="161">
        <v>15464.524590163934</v>
      </c>
      <c r="V142" s="47">
        <f t="shared" si="11"/>
        <v>18758.468327868854</v>
      </c>
      <c r="W142" s="296">
        <f t="shared" si="12"/>
        <v>1250</v>
      </c>
      <c r="X142" s="320"/>
      <c r="Z142" s="129"/>
      <c r="AA142" s="129"/>
    </row>
    <row r="143" spans="1:27">
      <c r="A143" s="329"/>
      <c r="B143" s="11"/>
      <c r="C143" s="43" t="s">
        <v>267</v>
      </c>
      <c r="D143" s="43"/>
      <c r="E143" s="43"/>
      <c r="F143" s="115" t="s">
        <v>461</v>
      </c>
      <c r="G143" s="280">
        <v>15000</v>
      </c>
      <c r="H143" s="67">
        <f>AVERAGE(H142)</f>
        <v>66</v>
      </c>
      <c r="I143" s="44"/>
      <c r="J143" s="62"/>
      <c r="K143" s="67"/>
      <c r="L143" s="44">
        <f>AVERAGE(L142)</f>
        <v>3.7</v>
      </c>
      <c r="M143" s="44"/>
      <c r="N143" s="51"/>
      <c r="O143" s="49">
        <f>1/(L143/100)</f>
        <v>27.027027027027025</v>
      </c>
      <c r="S143" s="306">
        <f>O143/'Fuels, properties and prices'!$G$6</f>
        <v>0.56958961068550096</v>
      </c>
      <c r="T143" s="258">
        <f>AVERAGE(T142)</f>
        <v>1233</v>
      </c>
      <c r="U143" s="164">
        <f>AVERAGE(U142)</f>
        <v>15464.524590163934</v>
      </c>
      <c r="V143" s="47">
        <f t="shared" si="11"/>
        <v>18758.468327868854</v>
      </c>
      <c r="W143" s="296">
        <f t="shared" si="12"/>
        <v>1250</v>
      </c>
      <c r="X143" s="320"/>
      <c r="Z143" s="129"/>
      <c r="AA143" s="129"/>
    </row>
    <row r="144" spans="1:27">
      <c r="A144" s="329"/>
      <c r="B144" s="11"/>
      <c r="C144" s="91" t="s">
        <v>427</v>
      </c>
      <c r="D144" s="91"/>
      <c r="E144" s="91"/>
      <c r="F144" s="119"/>
      <c r="G144" s="91"/>
      <c r="H144" s="92">
        <f>H137</f>
        <v>91</v>
      </c>
      <c r="I144" s="93"/>
      <c r="J144" s="93"/>
      <c r="K144" s="92"/>
      <c r="L144" s="99">
        <f t="shared" ref="L144:U144" si="13">L137</f>
        <v>3.7333333333333329</v>
      </c>
      <c r="M144" s="93"/>
      <c r="N144" s="93"/>
      <c r="O144" s="99">
        <f t="shared" si="13"/>
        <v>26.785714285714288</v>
      </c>
      <c r="P144" s="93"/>
      <c r="Q144" s="93"/>
      <c r="R144" s="93"/>
      <c r="S144" s="307">
        <f t="shared" si="13"/>
        <v>0.56450398916152345</v>
      </c>
      <c r="T144" s="272">
        <f t="shared" si="13"/>
        <v>1365</v>
      </c>
      <c r="U144" s="289">
        <f t="shared" si="13"/>
        <v>20058.642568306012</v>
      </c>
      <c r="V144" s="47">
        <f t="shared" si="11"/>
        <v>24331.133435355194</v>
      </c>
      <c r="W144" s="296"/>
      <c r="X144" s="320"/>
      <c r="Z144" s="129"/>
      <c r="AA144" s="6"/>
    </row>
    <row r="145" spans="1:27">
      <c r="A145" s="329" t="s">
        <v>540</v>
      </c>
      <c r="B145" s="247" t="s">
        <v>550</v>
      </c>
      <c r="C145" t="s">
        <v>33</v>
      </c>
      <c r="D145" t="s">
        <v>302</v>
      </c>
      <c r="E145" t="s">
        <v>303</v>
      </c>
      <c r="F145" s="109" t="s">
        <v>298</v>
      </c>
      <c r="G145" s="277">
        <v>8000</v>
      </c>
      <c r="H145" s="59"/>
      <c r="J145" s="72">
        <v>60</v>
      </c>
      <c r="K145" s="59"/>
      <c r="M145">
        <v>11.7</v>
      </c>
      <c r="P145" s="49">
        <f>1/(M145/100)</f>
        <v>8.5470085470085468</v>
      </c>
      <c r="S145" s="306">
        <f>P145/3.6</f>
        <v>2.3741690408357075</v>
      </c>
      <c r="T145" s="257">
        <v>1229</v>
      </c>
      <c r="U145" s="161">
        <v>21448.139344262287</v>
      </c>
      <c r="V145" s="47">
        <f t="shared" si="11"/>
        <v>26016.593024590155</v>
      </c>
      <c r="W145" s="296">
        <f t="shared" si="12"/>
        <v>3250</v>
      </c>
      <c r="X145" s="320"/>
      <c r="Z145" s="129"/>
      <c r="AA145" s="6"/>
    </row>
    <row r="146" spans="1:27">
      <c r="A146" s="329"/>
      <c r="B146" s="11" t="s">
        <v>552</v>
      </c>
      <c r="C146" t="s">
        <v>307</v>
      </c>
      <c r="D146" t="s">
        <v>310</v>
      </c>
      <c r="E146" t="s">
        <v>311</v>
      </c>
      <c r="F146" s="109" t="s">
        <v>298</v>
      </c>
      <c r="G146" s="277">
        <v>8000</v>
      </c>
      <c r="H146" s="59"/>
      <c r="J146" s="72">
        <v>60</v>
      </c>
      <c r="K146" s="59"/>
      <c r="M146">
        <v>12.9</v>
      </c>
      <c r="P146" s="49">
        <f>1/(M146/100)</f>
        <v>7.7519379844961236</v>
      </c>
      <c r="S146" s="306">
        <f>P146/3.6</f>
        <v>2.1533161068044788</v>
      </c>
      <c r="T146" s="257">
        <v>1085</v>
      </c>
      <c r="U146" s="161">
        <v>19151.081718406953</v>
      </c>
      <c r="V146" s="47">
        <f t="shared" si="11"/>
        <v>23230.262124427634</v>
      </c>
      <c r="W146" s="296">
        <f t="shared" si="12"/>
        <v>2900</v>
      </c>
      <c r="X146" s="320"/>
      <c r="Z146" s="6"/>
      <c r="AA146" s="6"/>
    </row>
    <row r="147" spans="1:27">
      <c r="A147" s="329"/>
      <c r="B147" s="11"/>
      <c r="C147" t="s">
        <v>352</v>
      </c>
      <c r="D147" t="s">
        <v>353</v>
      </c>
      <c r="E147" t="s">
        <v>354</v>
      </c>
      <c r="F147" s="109" t="s">
        <v>298</v>
      </c>
      <c r="G147" s="277">
        <v>8000</v>
      </c>
      <c r="H147" s="59"/>
      <c r="J147" s="72">
        <v>49</v>
      </c>
      <c r="K147" s="59"/>
      <c r="M147">
        <v>12.6</v>
      </c>
      <c r="P147" s="49">
        <f>1/(M147/100)</f>
        <v>7.9365079365079367</v>
      </c>
      <c r="S147" s="306">
        <f>P147/3.6</f>
        <v>2.2045855379188715</v>
      </c>
      <c r="T147" s="257">
        <v>1156</v>
      </c>
      <c r="U147" s="161">
        <v>24636.655737704918</v>
      </c>
      <c r="V147" s="47">
        <f t="shared" si="11"/>
        <v>29884.263409836069</v>
      </c>
      <c r="W147" s="296">
        <f t="shared" si="12"/>
        <v>3740</v>
      </c>
      <c r="X147" s="320"/>
      <c r="Z147" s="6"/>
      <c r="AA147" s="6"/>
    </row>
    <row r="148" spans="1:27">
      <c r="A148" s="329"/>
      <c r="B148" s="11"/>
      <c r="C148" s="43" t="s">
        <v>267</v>
      </c>
      <c r="D148" s="43"/>
      <c r="E148" s="43"/>
      <c r="F148" s="109" t="s">
        <v>298</v>
      </c>
      <c r="G148" s="277">
        <v>8000</v>
      </c>
      <c r="H148" s="67"/>
      <c r="I148" s="44"/>
      <c r="J148" s="62">
        <f>AVERAGE(J145:J147)</f>
        <v>56.333333333333336</v>
      </c>
      <c r="K148" s="67"/>
      <c r="L148" s="44"/>
      <c r="M148" s="44">
        <f>AVERAGE(M145:M147)</f>
        <v>12.4</v>
      </c>
      <c r="N148" s="51"/>
      <c r="O148" s="44"/>
      <c r="P148" s="49">
        <f>1/(M148/100)</f>
        <v>8.064516129032258</v>
      </c>
      <c r="S148" s="306">
        <f>P148/3.6</f>
        <v>2.2401433691756272</v>
      </c>
      <c r="T148" s="258">
        <f>AVERAGE(T145:T147)</f>
        <v>1156.6666666666667</v>
      </c>
      <c r="U148" s="164">
        <f>AVERAGE(U145:U147)</f>
        <v>21745.292266791384</v>
      </c>
      <c r="V148" s="47">
        <f t="shared" si="11"/>
        <v>26377.039519617952</v>
      </c>
      <c r="W148" s="296">
        <f t="shared" si="12"/>
        <v>3300</v>
      </c>
      <c r="X148" s="320"/>
      <c r="Z148" s="6"/>
      <c r="AA148" s="6"/>
    </row>
    <row r="149" spans="1:27">
      <c r="A149" s="329"/>
      <c r="B149" s="11"/>
      <c r="F149" s="72"/>
      <c r="H149" s="59"/>
      <c r="J149" s="72"/>
      <c r="K149" s="59"/>
      <c r="S149" s="302"/>
      <c r="T149" s="257"/>
      <c r="U149" s="161"/>
      <c r="V149" s="47"/>
      <c r="W149" s="296"/>
      <c r="X149" s="320"/>
    </row>
    <row r="150" spans="1:27">
      <c r="A150" s="329"/>
      <c r="B150" s="11"/>
      <c r="C150" s="2" t="s">
        <v>111</v>
      </c>
      <c r="D150" s="2" t="s">
        <v>112</v>
      </c>
      <c r="E150" s="2" t="s">
        <v>116</v>
      </c>
      <c r="F150" s="244" t="s">
        <v>531</v>
      </c>
      <c r="G150" s="278">
        <v>10000</v>
      </c>
      <c r="H150" s="68"/>
      <c r="I150" s="2"/>
      <c r="J150" s="74">
        <v>120</v>
      </c>
      <c r="K150" s="68"/>
      <c r="L150" s="2"/>
      <c r="M150" s="2">
        <v>13.1</v>
      </c>
      <c r="N150" s="53"/>
      <c r="O150" s="2"/>
      <c r="P150" s="49">
        <f>1/(M150/100)</f>
        <v>7.6335877862595414</v>
      </c>
      <c r="Q150" s="49"/>
      <c r="R150" s="49"/>
      <c r="S150" s="306">
        <f>P150/3.6</f>
        <v>2.1204410517387613</v>
      </c>
      <c r="T150" s="257">
        <v>1320</v>
      </c>
      <c r="U150" s="160">
        <v>31932.77</v>
      </c>
      <c r="V150" s="47">
        <f t="shared" si="11"/>
        <v>38734.45001</v>
      </c>
      <c r="W150" s="296">
        <f t="shared" si="12"/>
        <v>3870</v>
      </c>
      <c r="X150" s="320"/>
    </row>
    <row r="151" spans="1:27">
      <c r="A151" s="329"/>
      <c r="B151" s="11"/>
      <c r="C151" s="246" t="s">
        <v>273</v>
      </c>
      <c r="D151" s="55"/>
      <c r="E151" s="55"/>
      <c r="F151" s="113" t="s">
        <v>531</v>
      </c>
      <c r="G151" s="278">
        <v>10000</v>
      </c>
      <c r="H151" s="69"/>
      <c r="I151" s="55"/>
      <c r="J151" s="65">
        <f>J150/J145</f>
        <v>2</v>
      </c>
      <c r="K151" s="87"/>
      <c r="L151" s="56"/>
      <c r="M151" s="55">
        <f>M150/M145</f>
        <v>1.1196581196581197</v>
      </c>
      <c r="N151" s="55"/>
      <c r="O151" s="55"/>
      <c r="P151" s="55">
        <f>P150/P145</f>
        <v>0.89312977099236635</v>
      </c>
      <c r="Q151" s="56"/>
      <c r="R151" s="56"/>
      <c r="S151" s="302">
        <f>S150/S145</f>
        <v>0.89312977099236623</v>
      </c>
      <c r="T151" s="271"/>
      <c r="U151" s="285"/>
      <c r="V151" s="47"/>
      <c r="W151" s="296"/>
      <c r="X151" s="320"/>
    </row>
    <row r="152" spans="1:27">
      <c r="A152" s="329"/>
      <c r="B152" s="11"/>
      <c r="F152" s="72"/>
      <c r="H152" s="59"/>
      <c r="J152" s="72"/>
      <c r="K152" s="59"/>
      <c r="S152" s="302"/>
      <c r="T152" s="257"/>
      <c r="U152" s="161"/>
      <c r="V152" s="47"/>
      <c r="W152" s="296"/>
      <c r="X152" s="320"/>
    </row>
    <row r="153" spans="1:27">
      <c r="A153" s="329"/>
      <c r="B153" s="11"/>
      <c r="C153" s="2" t="s">
        <v>118</v>
      </c>
      <c r="D153" s="2" t="s">
        <v>119</v>
      </c>
      <c r="E153" s="2" t="s">
        <v>287</v>
      </c>
      <c r="F153" s="113" t="s">
        <v>60</v>
      </c>
      <c r="G153" s="278">
        <v>10000</v>
      </c>
      <c r="H153" s="68"/>
      <c r="I153" s="2"/>
      <c r="J153" s="74">
        <v>57</v>
      </c>
      <c r="K153" s="68"/>
      <c r="L153" s="2"/>
      <c r="M153" s="2">
        <v>13.3</v>
      </c>
      <c r="N153" s="53"/>
      <c r="O153" s="2"/>
      <c r="P153" s="49">
        <f>1/(M153/100)</f>
        <v>7.518796992481203</v>
      </c>
      <c r="Q153" s="49"/>
      <c r="R153" s="49"/>
      <c r="S153" s="306">
        <f>P153/3.6</f>
        <v>2.0885547201336676</v>
      </c>
      <c r="T153" s="257">
        <v>1555</v>
      </c>
      <c r="U153" s="160">
        <v>20710.43</v>
      </c>
      <c r="V153" s="47">
        <f t="shared" si="11"/>
        <v>25121.751590000003</v>
      </c>
      <c r="W153" s="296">
        <f t="shared" si="12"/>
        <v>2510</v>
      </c>
      <c r="X153" s="320"/>
      <c r="Z153" s="6"/>
      <c r="AA153" s="6"/>
    </row>
    <row r="154" spans="1:27">
      <c r="A154" s="329"/>
      <c r="B154" s="11"/>
      <c r="C154" s="43" t="s">
        <v>267</v>
      </c>
      <c r="D154" s="43"/>
      <c r="E154" s="43"/>
      <c r="F154" s="113" t="s">
        <v>60</v>
      </c>
      <c r="G154" s="278">
        <v>10000</v>
      </c>
      <c r="H154" s="67"/>
      <c r="I154" s="44"/>
      <c r="J154" s="62">
        <f>AVERAGE(J153)</f>
        <v>57</v>
      </c>
      <c r="K154" s="67"/>
      <c r="L154" s="44"/>
      <c r="M154" s="44">
        <f>AVERAGE(M153)</f>
        <v>13.3</v>
      </c>
      <c r="N154" s="51"/>
      <c r="O154" s="44"/>
      <c r="P154" s="49">
        <f>1/(M154/100)</f>
        <v>7.518796992481203</v>
      </c>
      <c r="S154" s="306">
        <f>P154/3.6</f>
        <v>2.0885547201336676</v>
      </c>
      <c r="T154" s="258">
        <f>AVERAGE(T153)</f>
        <v>1555</v>
      </c>
      <c r="U154" s="164">
        <f>AVERAGE(U153)</f>
        <v>20710.43</v>
      </c>
      <c r="V154" s="47">
        <f t="shared" si="11"/>
        <v>25121.751590000003</v>
      </c>
      <c r="W154" s="296">
        <f t="shared" si="12"/>
        <v>2510</v>
      </c>
      <c r="X154" s="320"/>
      <c r="Z154" s="6"/>
      <c r="AA154" s="6"/>
    </row>
    <row r="155" spans="1:27">
      <c r="A155" s="329"/>
      <c r="B155" s="11"/>
      <c r="F155" s="72"/>
      <c r="H155" s="59"/>
      <c r="J155" s="72"/>
      <c r="K155" s="59"/>
      <c r="N155" s="34"/>
      <c r="S155" s="302"/>
      <c r="T155" s="257"/>
      <c r="U155" s="161"/>
      <c r="V155" s="47"/>
      <c r="W155" s="296"/>
      <c r="X155" s="320"/>
      <c r="Z155" s="6"/>
      <c r="AA155" s="6"/>
    </row>
    <row r="156" spans="1:27">
      <c r="A156" s="329"/>
      <c r="B156" s="11"/>
      <c r="C156" s="2" t="s">
        <v>33</v>
      </c>
      <c r="D156" s="2" t="s">
        <v>34</v>
      </c>
      <c r="E156" s="2" t="s">
        <v>279</v>
      </c>
      <c r="F156" s="114" t="s">
        <v>59</v>
      </c>
      <c r="G156" s="90">
        <v>15000</v>
      </c>
      <c r="H156" s="68"/>
      <c r="I156" s="2"/>
      <c r="J156" s="74">
        <v>100</v>
      </c>
      <c r="K156" s="68"/>
      <c r="L156" s="2"/>
      <c r="M156" s="2">
        <v>12.7</v>
      </c>
      <c r="N156" s="53"/>
      <c r="O156" s="2"/>
      <c r="P156" s="49">
        <f>1/(M156/100)</f>
        <v>7.8740157480314963</v>
      </c>
      <c r="Q156" s="49"/>
      <c r="R156" s="49"/>
      <c r="S156" s="306">
        <f>P156/3.6</f>
        <v>2.1872265966754156</v>
      </c>
      <c r="T156" s="257">
        <v>1615</v>
      </c>
      <c r="U156" s="160">
        <v>32636.65</v>
      </c>
      <c r="V156" s="47">
        <f t="shared" si="11"/>
        <v>39588.256450000001</v>
      </c>
      <c r="W156" s="296">
        <f t="shared" si="12"/>
        <v>2640</v>
      </c>
      <c r="X156" s="320"/>
      <c r="Z156" s="6"/>
      <c r="AA156" s="6"/>
    </row>
    <row r="157" spans="1:27">
      <c r="A157" s="329"/>
      <c r="B157" s="11"/>
      <c r="C157" s="2" t="s">
        <v>69</v>
      </c>
      <c r="D157" s="2" t="s">
        <v>74</v>
      </c>
      <c r="E157" s="2" t="s">
        <v>75</v>
      </c>
      <c r="F157" s="114" t="s">
        <v>59</v>
      </c>
      <c r="G157" s="90">
        <v>15000</v>
      </c>
      <c r="H157" s="68"/>
      <c r="I157" s="2"/>
      <c r="J157" s="74">
        <v>110</v>
      </c>
      <c r="K157" s="68"/>
      <c r="L157" s="2"/>
      <c r="M157" s="2">
        <v>20.6</v>
      </c>
      <c r="N157" s="53"/>
      <c r="O157" s="2"/>
      <c r="P157" s="49">
        <f>1/(M157/100)</f>
        <v>4.8543689320388346</v>
      </c>
      <c r="Q157" s="49"/>
      <c r="R157" s="49"/>
      <c r="S157" s="306">
        <f>P157/3.6</f>
        <v>1.3484358144552318</v>
      </c>
      <c r="T157" s="257">
        <v>1995</v>
      </c>
      <c r="U157" s="160">
        <v>31038.29</v>
      </c>
      <c r="V157" s="47">
        <f t="shared" si="11"/>
        <v>37649.445770000006</v>
      </c>
      <c r="W157" s="296">
        <f t="shared" si="12"/>
        <v>2510</v>
      </c>
      <c r="X157" s="320"/>
      <c r="Z157" s="6"/>
      <c r="AA157" s="6"/>
    </row>
    <row r="158" spans="1:27" s="40" customFormat="1">
      <c r="A158" s="329"/>
      <c r="B158" s="11"/>
      <c r="C158" s="2" t="s">
        <v>71</v>
      </c>
      <c r="D158" s="2" t="s">
        <v>81</v>
      </c>
      <c r="E158" s="2" t="s">
        <v>280</v>
      </c>
      <c r="F158" s="114" t="s">
        <v>59</v>
      </c>
      <c r="G158" s="90">
        <v>15000</v>
      </c>
      <c r="H158" s="68"/>
      <c r="I158" s="2"/>
      <c r="J158" s="74">
        <v>88</v>
      </c>
      <c r="K158" s="68"/>
      <c r="L158" s="2"/>
      <c r="M158" s="2">
        <v>11.5</v>
      </c>
      <c r="N158" s="53"/>
      <c r="O158" s="2"/>
      <c r="P158" s="49">
        <f>1/(M158/100)</f>
        <v>8.695652173913043</v>
      </c>
      <c r="Q158" s="49"/>
      <c r="R158" s="49"/>
      <c r="S158" s="306">
        <f>P158/3.6</f>
        <v>2.4154589371980673</v>
      </c>
      <c r="T158" s="257">
        <v>1550</v>
      </c>
      <c r="U158" s="160">
        <v>30587.475021505903</v>
      </c>
      <c r="V158" s="47">
        <f t="shared" si="11"/>
        <v>37102.607201086663</v>
      </c>
      <c r="W158" s="296">
        <f t="shared" si="12"/>
        <v>2470</v>
      </c>
      <c r="X158" s="320"/>
      <c r="Z158" s="46"/>
      <c r="AA158" s="46"/>
    </row>
    <row r="159" spans="1:27">
      <c r="A159" s="329"/>
      <c r="B159" s="11"/>
      <c r="C159" s="43" t="s">
        <v>267</v>
      </c>
      <c r="D159" s="43"/>
      <c r="E159" s="43"/>
      <c r="F159" s="114" t="s">
        <v>59</v>
      </c>
      <c r="G159" s="90">
        <v>15000</v>
      </c>
      <c r="H159" s="67"/>
      <c r="I159" s="44"/>
      <c r="J159" s="62">
        <f>AVERAGE(J156:J158)</f>
        <v>99.333333333333329</v>
      </c>
      <c r="K159" s="67"/>
      <c r="L159" s="44"/>
      <c r="M159" s="44">
        <f>AVERAGE(M156:M158)</f>
        <v>14.933333333333332</v>
      </c>
      <c r="N159" s="51"/>
      <c r="O159" s="44"/>
      <c r="P159" s="49">
        <f>1/(M159/100)</f>
        <v>6.6964285714285721</v>
      </c>
      <c r="S159" s="306">
        <f>P159/3.6</f>
        <v>1.8601190476190477</v>
      </c>
      <c r="T159" s="258">
        <f>AVERAGE(T156:T158)</f>
        <v>1720</v>
      </c>
      <c r="U159" s="151">
        <f>AVERAGE(U156:U158)</f>
        <v>31420.805007168634</v>
      </c>
      <c r="V159" s="47">
        <f t="shared" si="11"/>
        <v>38113.436473695554</v>
      </c>
      <c r="W159" s="296">
        <f t="shared" si="12"/>
        <v>2540</v>
      </c>
      <c r="X159" s="320"/>
      <c r="Z159" s="6"/>
      <c r="AA159" s="6"/>
    </row>
    <row r="160" spans="1:27">
      <c r="A160" s="329"/>
      <c r="B160" s="11"/>
      <c r="C160" s="41"/>
      <c r="D160" s="41"/>
      <c r="E160" s="41"/>
      <c r="F160" s="112"/>
      <c r="G160" s="41"/>
      <c r="H160" s="60"/>
      <c r="I160" s="40"/>
      <c r="J160" s="73"/>
      <c r="K160" s="60"/>
      <c r="L160" s="40"/>
      <c r="M160" s="40"/>
      <c r="N160" s="54"/>
      <c r="O160" s="40"/>
      <c r="P160" s="49"/>
      <c r="Q160" s="40"/>
      <c r="R160" s="40"/>
      <c r="S160" s="303"/>
      <c r="T160" s="259"/>
      <c r="U160" s="284"/>
      <c r="V160" s="47"/>
      <c r="W160" s="296"/>
      <c r="X160" s="320"/>
      <c r="Z160" s="6"/>
      <c r="AA160" s="6"/>
    </row>
    <row r="161" spans="1:27">
      <c r="A161" s="329"/>
      <c r="B161" s="11"/>
      <c r="C161" s="2" t="s">
        <v>77</v>
      </c>
      <c r="D161" s="2" t="s">
        <v>429</v>
      </c>
      <c r="E161" s="2" t="s">
        <v>430</v>
      </c>
      <c r="F161" s="114" t="s">
        <v>100</v>
      </c>
      <c r="G161" s="90">
        <v>15000</v>
      </c>
      <c r="H161" s="68"/>
      <c r="I161" s="2"/>
      <c r="J161" s="74">
        <v>258</v>
      </c>
      <c r="K161" s="68"/>
      <c r="L161" s="2"/>
      <c r="M161" s="2">
        <v>18.2</v>
      </c>
      <c r="P161" s="49">
        <f>1/(M161/100)</f>
        <v>5.4945054945054945</v>
      </c>
      <c r="S161" s="306">
        <f>P161/3.6</f>
        <v>1.5262515262515262</v>
      </c>
      <c r="T161" s="257">
        <v>1922</v>
      </c>
      <c r="U161" s="160">
        <v>48344.262295081971</v>
      </c>
      <c r="V161" s="47">
        <f t="shared" si="11"/>
        <v>58641.590163934437</v>
      </c>
      <c r="W161" s="296">
        <f t="shared" si="12"/>
        <v>3910</v>
      </c>
      <c r="X161" s="320"/>
      <c r="Z161" s="6"/>
      <c r="AA161" s="6"/>
    </row>
    <row r="162" spans="1:27">
      <c r="A162" s="329"/>
      <c r="B162" s="11"/>
      <c r="C162" s="246" t="s">
        <v>273</v>
      </c>
      <c r="D162" s="55"/>
      <c r="E162" s="55"/>
      <c r="F162" s="114" t="s">
        <v>100</v>
      </c>
      <c r="G162" s="90">
        <v>15000</v>
      </c>
      <c r="H162" s="69"/>
      <c r="I162" s="55"/>
      <c r="J162" s="65">
        <f>J161/J159</f>
        <v>2.5973154362416109</v>
      </c>
      <c r="K162" s="87"/>
      <c r="L162" s="56"/>
      <c r="M162" s="55">
        <f>M161/M159</f>
        <v>1.21875</v>
      </c>
      <c r="N162" s="55"/>
      <c r="O162" s="55"/>
      <c r="P162" s="55">
        <f>P161/P159</f>
        <v>0.82051282051282048</v>
      </c>
      <c r="Q162" s="56"/>
      <c r="R162" s="56"/>
      <c r="S162" s="304">
        <f>S161/S159</f>
        <v>0.82051282051282048</v>
      </c>
      <c r="T162" s="271">
        <f>T161/T159</f>
        <v>1.1174418604651162</v>
      </c>
      <c r="U162" s="285">
        <f>U161/U159</f>
        <v>1.5386067379257871</v>
      </c>
      <c r="V162" s="47"/>
      <c r="W162" s="296"/>
      <c r="X162" s="320"/>
      <c r="Z162" s="6"/>
      <c r="AA162" s="6"/>
    </row>
    <row r="163" spans="1:27">
      <c r="A163" s="329"/>
      <c r="B163" s="11"/>
      <c r="C163" s="40"/>
      <c r="F163" s="72"/>
      <c r="H163" s="59"/>
      <c r="J163" s="72"/>
      <c r="K163" s="86"/>
      <c r="L163" s="34"/>
      <c r="Q163" s="34"/>
      <c r="R163" s="34"/>
      <c r="S163" s="304"/>
      <c r="T163" s="257"/>
      <c r="U163" s="161"/>
      <c r="V163" s="47"/>
      <c r="W163" s="296"/>
      <c r="X163" s="320"/>
      <c r="Z163" s="6"/>
      <c r="AA163" s="6"/>
    </row>
    <row r="164" spans="1:27">
      <c r="A164" s="329"/>
      <c r="B164" s="249" t="s">
        <v>538</v>
      </c>
      <c r="C164" s="2" t="s">
        <v>79</v>
      </c>
      <c r="D164" s="2" t="s">
        <v>371</v>
      </c>
      <c r="E164" s="2"/>
      <c r="F164" s="120" t="s">
        <v>61</v>
      </c>
      <c r="G164" s="89">
        <v>20000</v>
      </c>
      <c r="H164" s="68"/>
      <c r="I164" s="2"/>
      <c r="J164" s="74">
        <f>J168/J162</f>
        <v>109.72868217054263</v>
      </c>
      <c r="K164" s="88"/>
      <c r="L164" s="2"/>
      <c r="M164" s="2">
        <f>M168/M162</f>
        <v>15.507692307692306</v>
      </c>
      <c r="N164" s="53"/>
      <c r="P164" s="2">
        <f>P168/P162</f>
        <v>6.4484126984126995</v>
      </c>
      <c r="S164" s="308">
        <f>S168/S162</f>
        <v>1.7912257495590833</v>
      </c>
      <c r="T164" s="264">
        <f>T168/T162</f>
        <v>2126.2851196670135</v>
      </c>
      <c r="U164" s="19">
        <f>U168/U162</f>
        <v>49153.859236538265</v>
      </c>
      <c r="V164" s="47">
        <f t="shared" si="11"/>
        <v>59623.631253920918</v>
      </c>
      <c r="W164" s="296">
        <f t="shared" si="12"/>
        <v>2980</v>
      </c>
      <c r="X164" s="320"/>
    </row>
    <row r="165" spans="1:27">
      <c r="A165" s="329"/>
      <c r="B165" s="11"/>
      <c r="C165" s="43" t="s">
        <v>267</v>
      </c>
      <c r="D165" s="43"/>
      <c r="E165" s="43"/>
      <c r="F165" s="120" t="s">
        <v>61</v>
      </c>
      <c r="G165" s="89">
        <v>20000</v>
      </c>
      <c r="H165" s="67"/>
      <c r="I165" s="44"/>
      <c r="J165" s="62">
        <f>AVERAGE(J164)</f>
        <v>109.72868217054263</v>
      </c>
      <c r="K165" s="67"/>
      <c r="L165" s="44"/>
      <c r="M165" s="44">
        <f>AVERAGE(M164)</f>
        <v>15.507692307692306</v>
      </c>
      <c r="N165" s="51"/>
      <c r="O165" s="44"/>
      <c r="P165" s="49">
        <f>1/(M165/100)</f>
        <v>6.4484126984126995</v>
      </c>
      <c r="S165" s="306">
        <f>P165/3.6</f>
        <v>1.7912257495590831</v>
      </c>
      <c r="T165" s="258">
        <f>AVERAGE(T164)</f>
        <v>2126.2851196670135</v>
      </c>
      <c r="U165" s="151">
        <f>AVERAGE(U164)</f>
        <v>49153.859236538265</v>
      </c>
      <c r="V165" s="47">
        <f t="shared" si="11"/>
        <v>59623.631253920918</v>
      </c>
      <c r="W165" s="296">
        <f t="shared" si="12"/>
        <v>2980</v>
      </c>
      <c r="X165" s="320"/>
      <c r="Z165" s="6"/>
      <c r="AA165" s="6"/>
    </row>
    <row r="166" spans="1:27">
      <c r="A166" s="329"/>
      <c r="B166" s="11"/>
      <c r="F166" s="72"/>
      <c r="H166" s="59"/>
      <c r="J166" s="72"/>
      <c r="K166" s="59"/>
      <c r="N166" s="34"/>
      <c r="S166" s="302"/>
      <c r="T166" s="257"/>
      <c r="U166" s="161"/>
      <c r="V166" s="47"/>
      <c r="W166" s="296"/>
      <c r="X166" s="320"/>
      <c r="Z166" s="6"/>
      <c r="AA166" s="6"/>
    </row>
    <row r="167" spans="1:27" s="40" customFormat="1">
      <c r="A167" s="329"/>
      <c r="B167" s="11"/>
      <c r="C167" s="2" t="s">
        <v>77</v>
      </c>
      <c r="D167" s="2" t="s">
        <v>78</v>
      </c>
      <c r="E167" s="2" t="s">
        <v>431</v>
      </c>
      <c r="F167" s="120" t="s">
        <v>79</v>
      </c>
      <c r="G167" s="89">
        <v>20000</v>
      </c>
      <c r="H167" s="68"/>
      <c r="I167" s="2"/>
      <c r="J167" s="74">
        <v>285</v>
      </c>
      <c r="K167" s="68"/>
      <c r="L167" s="2"/>
      <c r="M167" s="2">
        <v>18.899999999999999</v>
      </c>
      <c r="N167" s="53"/>
      <c r="O167" s="2"/>
      <c r="P167" s="49">
        <f>1/(M167/100)</f>
        <v>5.291005291005292</v>
      </c>
      <c r="Q167" s="49"/>
      <c r="R167" s="49"/>
      <c r="S167" s="306">
        <f>P167/3.6</f>
        <v>1.4697236919459145</v>
      </c>
      <c r="T167" s="257">
        <v>2376</v>
      </c>
      <c r="U167" s="160">
        <v>75628.459016393463</v>
      </c>
      <c r="V167" s="47">
        <f t="shared" si="11"/>
        <v>91737.320786885277</v>
      </c>
      <c r="W167" s="296">
        <f t="shared" si="12"/>
        <v>4590</v>
      </c>
      <c r="X167" s="320"/>
      <c r="Z167" s="46"/>
      <c r="AA167" s="46"/>
    </row>
    <row r="168" spans="1:27">
      <c r="A168" s="329"/>
      <c r="B168" s="11"/>
      <c r="C168" s="246" t="s">
        <v>267</v>
      </c>
      <c r="D168" s="55"/>
      <c r="E168" s="55"/>
      <c r="F168" s="120" t="s">
        <v>79</v>
      </c>
      <c r="G168" s="89">
        <v>20000</v>
      </c>
      <c r="H168" s="69"/>
      <c r="I168" s="55"/>
      <c r="J168" s="65">
        <f>AVERAGE(J167)</f>
        <v>285</v>
      </c>
      <c r="K168" s="87"/>
      <c r="L168" s="56"/>
      <c r="M168" s="55">
        <f>AVERAGE(M167)</f>
        <v>18.899999999999999</v>
      </c>
      <c r="N168" s="55"/>
      <c r="O168" s="55"/>
      <c r="P168" s="55">
        <f>AVERAGE(P167)</f>
        <v>5.291005291005292</v>
      </c>
      <c r="Q168" s="56"/>
      <c r="R168" s="56"/>
      <c r="S168" s="304">
        <f>AVERAGE(S167)</f>
        <v>1.4697236919459145</v>
      </c>
      <c r="T168" s="271">
        <f>T167</f>
        <v>2376</v>
      </c>
      <c r="U168" s="285">
        <f>AVERAGE(U167)</f>
        <v>75628.459016393463</v>
      </c>
      <c r="V168" s="47">
        <f t="shared" si="11"/>
        <v>91737.320786885277</v>
      </c>
      <c r="W168" s="296">
        <f t="shared" si="12"/>
        <v>4590</v>
      </c>
      <c r="X168" s="320"/>
      <c r="Z168" s="6"/>
      <c r="AA168" s="6"/>
    </row>
    <row r="169" spans="1:27">
      <c r="A169" s="329"/>
      <c r="B169" s="11"/>
      <c r="F169" s="72"/>
      <c r="H169" s="59"/>
      <c r="J169" s="72"/>
      <c r="K169" s="59"/>
      <c r="N169" s="34"/>
      <c r="S169" s="302"/>
      <c r="T169" s="257"/>
      <c r="U169" s="161"/>
      <c r="V169" s="47"/>
      <c r="W169" s="296"/>
      <c r="X169" s="320"/>
      <c r="Z169" s="6"/>
      <c r="AA169" s="6"/>
    </row>
    <row r="170" spans="1:27">
      <c r="A170" s="329"/>
      <c r="B170" s="11"/>
      <c r="C170" s="2" t="s">
        <v>105</v>
      </c>
      <c r="D170" s="2" t="s">
        <v>355</v>
      </c>
      <c r="E170" s="2" t="s">
        <v>109</v>
      </c>
      <c r="F170" s="115" t="s">
        <v>461</v>
      </c>
      <c r="G170" s="280">
        <v>15000</v>
      </c>
      <c r="H170" s="68"/>
      <c r="I170" s="2"/>
      <c r="J170" s="74">
        <v>81</v>
      </c>
      <c r="K170" s="68"/>
      <c r="L170" s="2"/>
      <c r="M170" s="2">
        <v>14.7</v>
      </c>
      <c r="P170" s="49">
        <f>1/(M170/100)</f>
        <v>6.8027210884353746</v>
      </c>
      <c r="S170" s="306">
        <f>P170/3.6</f>
        <v>1.8896447467876041</v>
      </c>
      <c r="T170" s="257">
        <v>1623</v>
      </c>
      <c r="U170" s="160">
        <v>29644.852459016391</v>
      </c>
      <c r="V170" s="47">
        <f t="shared" si="11"/>
        <v>35959.206032786882</v>
      </c>
      <c r="W170" s="296">
        <f t="shared" si="12"/>
        <v>2400</v>
      </c>
      <c r="X170" s="320"/>
      <c r="Z170" s="6"/>
      <c r="AA170" s="6"/>
    </row>
    <row r="171" spans="1:27">
      <c r="A171" s="329"/>
      <c r="B171" s="11"/>
      <c r="C171" s="2" t="s">
        <v>71</v>
      </c>
      <c r="D171" s="2" t="s">
        <v>87</v>
      </c>
      <c r="E171" s="2" t="s">
        <v>88</v>
      </c>
      <c r="F171" s="115" t="s">
        <v>461</v>
      </c>
      <c r="G171" s="280">
        <v>15000</v>
      </c>
      <c r="H171" s="68"/>
      <c r="I171" s="2"/>
      <c r="J171" s="74">
        <v>150</v>
      </c>
      <c r="K171" s="68"/>
      <c r="L171" s="2"/>
      <c r="M171" s="2">
        <v>14.3</v>
      </c>
      <c r="P171" s="49">
        <f>1/(M171/100)</f>
        <v>6.9930069930069925</v>
      </c>
      <c r="S171" s="306">
        <f>P171/3.6</f>
        <v>1.9425019425019423</v>
      </c>
      <c r="T171" s="257">
        <v>1760</v>
      </c>
      <c r="U171" s="160">
        <v>34153.050000000003</v>
      </c>
      <c r="V171" s="47">
        <f t="shared" si="11"/>
        <v>41427.649650000007</v>
      </c>
      <c r="W171" s="296">
        <f t="shared" si="12"/>
        <v>2760</v>
      </c>
      <c r="X171" s="320"/>
      <c r="Z171" s="6"/>
      <c r="AA171" s="6"/>
    </row>
    <row r="172" spans="1:27">
      <c r="A172" s="329"/>
      <c r="B172" s="11"/>
      <c r="C172" s="2" t="s">
        <v>105</v>
      </c>
      <c r="D172" s="2" t="s">
        <v>108</v>
      </c>
      <c r="E172" s="2" t="s">
        <v>109</v>
      </c>
      <c r="F172" s="115" t="s">
        <v>461</v>
      </c>
      <c r="G172" s="280">
        <v>15000</v>
      </c>
      <c r="H172" s="68"/>
      <c r="I172" s="2"/>
      <c r="J172" s="74">
        <v>150</v>
      </c>
      <c r="K172" s="68"/>
      <c r="L172" s="2"/>
      <c r="M172" s="2">
        <v>15.9</v>
      </c>
      <c r="P172" s="49">
        <f>1/(M172/100)</f>
        <v>6.2893081761006284</v>
      </c>
      <c r="S172" s="306">
        <f>P172/3.6</f>
        <v>1.7470300489168411</v>
      </c>
      <c r="T172" s="257">
        <v>1737</v>
      </c>
      <c r="U172" s="160">
        <v>32848.74</v>
      </c>
      <c r="V172" s="47">
        <f t="shared" si="11"/>
        <v>39845.52162</v>
      </c>
      <c r="W172" s="296">
        <f t="shared" si="12"/>
        <v>2660</v>
      </c>
      <c r="X172" s="320"/>
      <c r="Z172" s="6"/>
      <c r="AA172" s="6"/>
    </row>
    <row r="173" spans="1:27">
      <c r="A173" s="329"/>
      <c r="B173" s="11"/>
      <c r="C173" s="43" t="s">
        <v>267</v>
      </c>
      <c r="D173" s="43"/>
      <c r="E173" s="43"/>
      <c r="F173" s="115" t="s">
        <v>461</v>
      </c>
      <c r="G173" s="280">
        <v>15000</v>
      </c>
      <c r="H173" s="67"/>
      <c r="I173" s="44"/>
      <c r="J173" s="62">
        <f>AVERAGE(J170:J172)</f>
        <v>127</v>
      </c>
      <c r="K173" s="67"/>
      <c r="L173" s="44"/>
      <c r="M173" s="44">
        <f>AVERAGE(M170:M172)</f>
        <v>14.966666666666667</v>
      </c>
      <c r="N173" s="51"/>
      <c r="O173" s="44"/>
      <c r="P173" s="49">
        <f>1/(M173/100)</f>
        <v>6.6815144766146988</v>
      </c>
      <c r="S173" s="306">
        <f>P173/3.6</f>
        <v>1.855976243504083</v>
      </c>
      <c r="T173" s="258">
        <f>AVERAGE(T170:T172)</f>
        <v>1706.6666666666667</v>
      </c>
      <c r="U173" s="164">
        <f>AVERAGE(U170:U172)</f>
        <v>32215.547486338794</v>
      </c>
      <c r="V173" s="47">
        <f t="shared" si="11"/>
        <v>39077.459100928958</v>
      </c>
      <c r="W173" s="296">
        <f t="shared" si="12"/>
        <v>2610</v>
      </c>
      <c r="X173" s="320"/>
      <c r="Z173" s="6"/>
      <c r="AA173" s="6"/>
    </row>
    <row r="174" spans="1:27">
      <c r="A174" s="329"/>
      <c r="B174" s="11"/>
      <c r="C174" s="41"/>
      <c r="D174" s="41"/>
      <c r="E174" s="41"/>
      <c r="F174" s="112"/>
      <c r="G174" s="41"/>
      <c r="H174" s="60"/>
      <c r="I174" s="40"/>
      <c r="J174" s="73"/>
      <c r="K174" s="60"/>
      <c r="L174" s="40"/>
      <c r="M174" s="40"/>
      <c r="N174" s="54"/>
      <c r="O174" s="40"/>
      <c r="P174" s="40"/>
      <c r="Q174" s="40"/>
      <c r="R174" s="40"/>
      <c r="S174" s="303"/>
      <c r="T174" s="259"/>
      <c r="U174" s="284"/>
      <c r="V174" s="47"/>
      <c r="W174" s="296"/>
      <c r="X174" s="320"/>
      <c r="Z174" s="6"/>
      <c r="AA174" s="6"/>
    </row>
    <row r="175" spans="1:27">
      <c r="A175" s="329"/>
      <c r="B175" s="249" t="s">
        <v>538</v>
      </c>
      <c r="C175" s="2" t="s">
        <v>191</v>
      </c>
      <c r="D175" s="2" t="s">
        <v>371</v>
      </c>
      <c r="E175" s="2"/>
      <c r="F175" s="116" t="s">
        <v>191</v>
      </c>
      <c r="G175" s="281">
        <v>20000</v>
      </c>
      <c r="H175" s="68"/>
      <c r="I175" s="2"/>
      <c r="J175" s="74">
        <f>150</f>
        <v>150</v>
      </c>
      <c r="K175" s="88"/>
      <c r="L175" s="2"/>
      <c r="M175" s="2">
        <f>M179/M162</f>
        <v>17.066666666666666</v>
      </c>
      <c r="N175" s="53"/>
      <c r="P175" s="2">
        <f>P179/P162</f>
        <v>5.859375</v>
      </c>
      <c r="S175" s="308">
        <f>S179/S162</f>
        <v>1.6276041666666665</v>
      </c>
      <c r="T175" s="264">
        <f>T179/T162</f>
        <v>2352.6951092611866</v>
      </c>
      <c r="U175" s="19">
        <f>U179/U162</f>
        <v>51995.092721255656</v>
      </c>
      <c r="V175" s="47">
        <f t="shared" si="11"/>
        <v>63070.047470883117</v>
      </c>
      <c r="W175" s="296">
        <f t="shared" si="12"/>
        <v>3150</v>
      </c>
      <c r="X175" s="320"/>
    </row>
    <row r="176" spans="1:27">
      <c r="A176" s="329"/>
      <c r="B176" s="11"/>
      <c r="C176" s="43" t="s">
        <v>267</v>
      </c>
      <c r="D176" s="43"/>
      <c r="E176" s="43"/>
      <c r="F176" s="116" t="s">
        <v>191</v>
      </c>
      <c r="G176" s="281">
        <v>20000</v>
      </c>
      <c r="H176" s="67"/>
      <c r="I176" s="44"/>
      <c r="J176" s="62">
        <f>AVERAGE(J175)</f>
        <v>150</v>
      </c>
      <c r="K176" s="67"/>
      <c r="L176" s="44"/>
      <c r="M176" s="44">
        <f>AVERAGE(M175)</f>
        <v>17.066666666666666</v>
      </c>
      <c r="N176" s="51"/>
      <c r="O176" s="44"/>
      <c r="P176" s="49">
        <f>1/(M176/100)</f>
        <v>5.859375</v>
      </c>
      <c r="S176" s="306">
        <f>P176/3.6</f>
        <v>1.6276041666666665</v>
      </c>
      <c r="T176" s="258">
        <f>AVERAGE(T175)</f>
        <v>2352.6951092611866</v>
      </c>
      <c r="U176" s="151">
        <f>AVERAGE(U175)</f>
        <v>51995.092721255656</v>
      </c>
      <c r="V176" s="47">
        <f t="shared" si="11"/>
        <v>63070.047470883117</v>
      </c>
      <c r="W176" s="296">
        <f t="shared" si="12"/>
        <v>3150</v>
      </c>
      <c r="X176" s="320"/>
      <c r="Z176" s="6"/>
      <c r="AA176" s="6"/>
    </row>
    <row r="177" spans="1:27">
      <c r="A177" s="329"/>
      <c r="B177" s="11"/>
      <c r="F177" s="72"/>
      <c r="H177" s="59"/>
      <c r="J177" s="72"/>
      <c r="K177" s="59"/>
      <c r="N177" s="34"/>
      <c r="S177" s="302"/>
      <c r="T177" s="257"/>
      <c r="U177" s="161"/>
      <c r="V177" s="47"/>
      <c r="W177" s="296"/>
      <c r="X177" s="320"/>
      <c r="Z177" s="6"/>
      <c r="AA177" s="6"/>
    </row>
    <row r="178" spans="1:27">
      <c r="A178" s="329"/>
      <c r="B178" s="11"/>
      <c r="C178" s="2" t="s">
        <v>77</v>
      </c>
      <c r="D178" s="2" t="s">
        <v>80</v>
      </c>
      <c r="E178" s="2" t="s">
        <v>432</v>
      </c>
      <c r="F178" s="116" t="s">
        <v>340</v>
      </c>
      <c r="G178" s="281">
        <v>20000</v>
      </c>
      <c r="H178" s="68"/>
      <c r="I178" s="2"/>
      <c r="J178" s="74">
        <v>158</v>
      </c>
      <c r="K178" s="68"/>
      <c r="L178" s="2"/>
      <c r="M178" s="2">
        <v>20.8</v>
      </c>
      <c r="P178" s="49">
        <f>1/(M178/100)</f>
        <v>4.8076923076923075</v>
      </c>
      <c r="S178" s="306">
        <f>P178/3.6</f>
        <v>1.3354700854700854</v>
      </c>
      <c r="T178" s="257">
        <v>2629</v>
      </c>
      <c r="U178" s="160">
        <v>80000</v>
      </c>
      <c r="V178" s="47">
        <f t="shared" si="11"/>
        <v>97040</v>
      </c>
      <c r="W178" s="296">
        <f t="shared" si="12"/>
        <v>4850</v>
      </c>
      <c r="X178" s="320"/>
      <c r="Z178" s="6"/>
      <c r="AA178" s="6"/>
    </row>
    <row r="179" spans="1:27">
      <c r="A179" s="329"/>
      <c r="B179" s="11"/>
      <c r="C179" s="246" t="s">
        <v>267</v>
      </c>
      <c r="D179" s="55"/>
      <c r="E179" s="55"/>
      <c r="F179" s="116" t="s">
        <v>340</v>
      </c>
      <c r="G179" s="281">
        <v>20000</v>
      </c>
      <c r="H179" s="69"/>
      <c r="I179" s="55"/>
      <c r="J179" s="65">
        <f>AVERAGE(J178)</f>
        <v>158</v>
      </c>
      <c r="K179" s="87"/>
      <c r="L179" s="56"/>
      <c r="M179" s="55">
        <f>AVERAGE(M178)</f>
        <v>20.8</v>
      </c>
      <c r="N179" s="55"/>
      <c r="O179" s="55"/>
      <c r="P179" s="49">
        <f>1/(M179/100)</f>
        <v>4.8076923076923075</v>
      </c>
      <c r="S179" s="306">
        <f>P179/3.6</f>
        <v>1.3354700854700854</v>
      </c>
      <c r="T179" s="271">
        <f>AVERAGE(T178)</f>
        <v>2629</v>
      </c>
      <c r="U179" s="285">
        <f>AVERAGE(U178)</f>
        <v>80000</v>
      </c>
      <c r="V179" s="47">
        <f t="shared" si="11"/>
        <v>97040</v>
      </c>
      <c r="W179" s="296">
        <f t="shared" si="12"/>
        <v>4850</v>
      </c>
      <c r="X179" s="320"/>
      <c r="Z179" s="6"/>
      <c r="AA179" s="6"/>
    </row>
    <row r="180" spans="1:27">
      <c r="A180" s="329"/>
      <c r="B180" s="11"/>
      <c r="C180" s="91" t="s">
        <v>428</v>
      </c>
      <c r="D180" s="91"/>
      <c r="E180" s="91"/>
      <c r="F180" s="119"/>
      <c r="G180" s="91"/>
      <c r="H180" s="92"/>
      <c r="I180" s="93"/>
      <c r="J180" s="94">
        <f>J159</f>
        <v>99.333333333333329</v>
      </c>
      <c r="K180" s="94">
        <f t="shared" ref="K180:U180" si="14">K159</f>
        <v>0</v>
      </c>
      <c r="L180" s="94">
        <f t="shared" si="14"/>
        <v>0</v>
      </c>
      <c r="M180" s="94">
        <f t="shared" si="14"/>
        <v>14.933333333333332</v>
      </c>
      <c r="N180" s="94">
        <f t="shared" si="14"/>
        <v>0</v>
      </c>
      <c r="O180" s="94">
        <f t="shared" si="14"/>
        <v>0</v>
      </c>
      <c r="P180" s="94">
        <f t="shared" si="14"/>
        <v>6.6964285714285721</v>
      </c>
      <c r="Q180" s="94">
        <f t="shared" si="14"/>
        <v>0</v>
      </c>
      <c r="R180" s="94">
        <f t="shared" si="14"/>
        <v>0</v>
      </c>
      <c r="S180" s="309">
        <f t="shared" si="14"/>
        <v>1.8601190476190477</v>
      </c>
      <c r="T180" s="144">
        <f t="shared" si="14"/>
        <v>1720</v>
      </c>
      <c r="U180" s="289">
        <f t="shared" si="14"/>
        <v>31420.805007168634</v>
      </c>
      <c r="V180" s="47">
        <f t="shared" si="11"/>
        <v>38113.436473695554</v>
      </c>
      <c r="W180" s="296"/>
      <c r="X180" s="320"/>
      <c r="Z180" s="6"/>
      <c r="AA180" s="6"/>
    </row>
    <row r="181" spans="1:27">
      <c r="A181" s="329" t="s">
        <v>539</v>
      </c>
      <c r="B181" s="247" t="s">
        <v>550</v>
      </c>
      <c r="C181" s="2" t="s">
        <v>362</v>
      </c>
      <c r="D181" s="2" t="s">
        <v>363</v>
      </c>
      <c r="E181" s="2" t="s">
        <v>364</v>
      </c>
      <c r="F181" s="113" t="s">
        <v>60</v>
      </c>
      <c r="G181" s="278">
        <v>10000</v>
      </c>
      <c r="H181" s="68"/>
      <c r="I181" s="2">
        <v>66</v>
      </c>
      <c r="J181" s="75" t="s">
        <v>27</v>
      </c>
      <c r="K181" s="68">
        <v>4</v>
      </c>
      <c r="L181" s="2"/>
      <c r="M181" s="2"/>
      <c r="N181" s="34">
        <f t="shared" ref="N181:N183" si="15">1/(K181/100)</f>
        <v>25</v>
      </c>
      <c r="O181" s="2"/>
      <c r="P181" s="2"/>
      <c r="Q181" s="2"/>
      <c r="R181" s="2"/>
      <c r="S181" s="302">
        <f>N181/'Fuels, properties and prices'!$F$3</f>
        <v>0.7787349295322763</v>
      </c>
      <c r="T181" s="257">
        <v>990</v>
      </c>
      <c r="U181" s="160">
        <v>13743.212931923932</v>
      </c>
      <c r="V181" s="47">
        <f t="shared" si="11"/>
        <v>16670.517286423732</v>
      </c>
      <c r="W181" s="296">
        <f t="shared" si="12"/>
        <v>1670</v>
      </c>
      <c r="X181" s="320"/>
    </row>
    <row r="182" spans="1:27">
      <c r="A182" s="329"/>
      <c r="B182" s="11" t="s">
        <v>551</v>
      </c>
      <c r="C182" t="s">
        <v>70</v>
      </c>
      <c r="D182" t="s">
        <v>366</v>
      </c>
      <c r="E182" t="s">
        <v>367</v>
      </c>
      <c r="F182" s="113" t="s">
        <v>60</v>
      </c>
      <c r="G182" s="278">
        <v>10000</v>
      </c>
      <c r="H182" s="59"/>
      <c r="I182">
        <v>74</v>
      </c>
      <c r="J182" s="64" t="s">
        <v>27</v>
      </c>
      <c r="K182" s="59">
        <v>3.6</v>
      </c>
      <c r="N182" s="34">
        <f t="shared" si="15"/>
        <v>27.777777777777775</v>
      </c>
      <c r="S182" s="302">
        <f>N182/'Fuels, properties and prices'!$F$3</f>
        <v>0.8652610328136402</v>
      </c>
      <c r="T182" s="257">
        <v>1235</v>
      </c>
      <c r="U182" s="161">
        <v>15423.540983606559</v>
      </c>
      <c r="V182" s="47">
        <f t="shared" si="11"/>
        <v>18708.755213114757</v>
      </c>
      <c r="W182" s="296">
        <f t="shared" si="12"/>
        <v>1870</v>
      </c>
      <c r="X182" s="320"/>
    </row>
    <row r="183" spans="1:27">
      <c r="A183" s="329"/>
      <c r="B183" s="11"/>
      <c r="C183" s="43" t="s">
        <v>267</v>
      </c>
      <c r="D183" s="43"/>
      <c r="E183" s="43"/>
      <c r="F183" s="113" t="s">
        <v>60</v>
      </c>
      <c r="G183" s="278">
        <v>10000</v>
      </c>
      <c r="H183" s="67"/>
      <c r="I183" s="44">
        <f>AVERAGE(I182)</f>
        <v>74</v>
      </c>
      <c r="J183" s="62" t="s">
        <v>27</v>
      </c>
      <c r="K183" s="67">
        <f>AVERAGE(K181:K182)</f>
        <v>3.8</v>
      </c>
      <c r="L183" s="44"/>
      <c r="M183" s="44"/>
      <c r="N183" s="34">
        <f t="shared" si="15"/>
        <v>26.315789473684212</v>
      </c>
      <c r="O183" s="2"/>
      <c r="P183" s="2"/>
      <c r="Q183" s="2"/>
      <c r="R183" s="2"/>
      <c r="S183" s="302">
        <f>N183/'Fuels, properties and prices'!$F$3</f>
        <v>0.81972097845502767</v>
      </c>
      <c r="T183" s="258">
        <f>AVERAGE(T182)</f>
        <v>1235</v>
      </c>
      <c r="U183" s="164">
        <f>AVERAGE(U182)</f>
        <v>15423.540983606559</v>
      </c>
      <c r="V183" s="47">
        <f t="shared" si="11"/>
        <v>18708.755213114757</v>
      </c>
      <c r="W183" s="296">
        <f t="shared" si="12"/>
        <v>1870</v>
      </c>
      <c r="X183" s="320"/>
      <c r="Z183" s="6"/>
      <c r="AA183" s="6"/>
    </row>
    <row r="184" spans="1:27">
      <c r="A184" s="329"/>
      <c r="B184" s="11"/>
      <c r="F184" s="72"/>
      <c r="H184" s="59"/>
      <c r="J184" s="72"/>
      <c r="K184" s="59"/>
      <c r="S184" s="304"/>
      <c r="T184" s="257"/>
      <c r="U184" s="161"/>
      <c r="V184" s="47"/>
      <c r="W184" s="296"/>
      <c r="X184" s="320"/>
    </row>
    <row r="185" spans="1:27">
      <c r="A185" s="329"/>
      <c r="B185" s="11"/>
      <c r="C185" s="2" t="s">
        <v>71</v>
      </c>
      <c r="D185" s="2" t="s">
        <v>81</v>
      </c>
      <c r="E185" s="2" t="s">
        <v>84</v>
      </c>
      <c r="F185" s="114" t="s">
        <v>59</v>
      </c>
      <c r="G185" s="90">
        <v>15000</v>
      </c>
      <c r="H185" s="68"/>
      <c r="I185" s="2">
        <v>104</v>
      </c>
      <c r="J185" s="74">
        <v>48</v>
      </c>
      <c r="K185" s="68">
        <v>3.4</v>
      </c>
      <c r="L185" s="2"/>
      <c r="M185" s="2"/>
      <c r="N185" s="34">
        <f>1/(K185/100)</f>
        <v>29.411764705882351</v>
      </c>
      <c r="O185" s="2"/>
      <c r="P185" s="2"/>
      <c r="Q185" s="2"/>
      <c r="R185" s="2"/>
      <c r="S185" s="302">
        <f>N185/'Fuels, properties and prices'!$F$3</f>
        <v>0.91615874062620728</v>
      </c>
      <c r="T185" s="257">
        <v>1552</v>
      </c>
      <c r="U185" s="160">
        <v>20956.330000000002</v>
      </c>
      <c r="V185" s="47">
        <f t="shared" si="11"/>
        <v>25420.028290000002</v>
      </c>
      <c r="W185" s="296">
        <f t="shared" si="12"/>
        <v>1690</v>
      </c>
      <c r="X185" s="320"/>
    </row>
    <row r="186" spans="1:27" s="40" customFormat="1">
      <c r="A186" s="329"/>
      <c r="B186" s="11"/>
      <c r="C186" s="2" t="s">
        <v>70</v>
      </c>
      <c r="D186" s="2" t="s">
        <v>64</v>
      </c>
      <c r="E186" s="2" t="s">
        <v>21</v>
      </c>
      <c r="F186" s="114" t="s">
        <v>59</v>
      </c>
      <c r="G186" s="90">
        <v>15000</v>
      </c>
      <c r="H186" s="68"/>
      <c r="I186" s="2">
        <v>100</v>
      </c>
      <c r="J186" s="74">
        <v>53</v>
      </c>
      <c r="K186" s="68">
        <v>3.9</v>
      </c>
      <c r="L186" s="2"/>
      <c r="M186" s="2"/>
      <c r="N186" s="34">
        <f>1/(K186/100)</f>
        <v>25.641025641025642</v>
      </c>
      <c r="O186" s="2"/>
      <c r="P186" s="2"/>
      <c r="Q186" s="2"/>
      <c r="R186" s="2"/>
      <c r="S186" s="302">
        <f>N186/'Fuels, properties and prices'!$F$3</f>
        <v>0.7987024918279757</v>
      </c>
      <c r="T186" s="257">
        <v>1505</v>
      </c>
      <c r="U186" s="160">
        <v>22932.77</v>
      </c>
      <c r="V186" s="47">
        <f t="shared" si="11"/>
        <v>27817.450010000004</v>
      </c>
      <c r="W186" s="296">
        <f t="shared" si="12"/>
        <v>1850</v>
      </c>
      <c r="X186" s="320"/>
      <c r="Z186" s="46"/>
      <c r="AA186" s="46"/>
    </row>
    <row r="187" spans="1:27">
      <c r="A187" s="329"/>
      <c r="B187" s="248"/>
      <c r="C187" s="2" t="s">
        <v>70</v>
      </c>
      <c r="D187" s="2" t="s">
        <v>127</v>
      </c>
      <c r="E187" s="2" t="s">
        <v>21</v>
      </c>
      <c r="F187" s="114" t="s">
        <v>59</v>
      </c>
      <c r="G187" s="90">
        <v>15000</v>
      </c>
      <c r="H187" s="68"/>
      <c r="I187" s="2">
        <v>90</v>
      </c>
      <c r="J187" s="74">
        <v>53</v>
      </c>
      <c r="K187" s="68">
        <v>3.3</v>
      </c>
      <c r="L187" s="2"/>
      <c r="M187" s="2"/>
      <c r="N187" s="34">
        <f>1/(K187/100)</f>
        <v>30.303030303030301</v>
      </c>
      <c r="O187" s="2"/>
      <c r="P187" s="2"/>
      <c r="Q187" s="2"/>
      <c r="R187" s="2"/>
      <c r="S187" s="302">
        <f>N187/'Fuels, properties and prices'!$F$3</f>
        <v>0.94392112670578932</v>
      </c>
      <c r="T187" s="257">
        <v>1375</v>
      </c>
      <c r="U187" s="160">
        <v>23907.56</v>
      </c>
      <c r="V187" s="47">
        <f t="shared" si="11"/>
        <v>28999.870280000003</v>
      </c>
      <c r="W187" s="296">
        <f t="shared" si="12"/>
        <v>1930</v>
      </c>
      <c r="X187" s="320"/>
    </row>
    <row r="188" spans="1:27">
      <c r="A188" s="329"/>
      <c r="B188" s="11"/>
      <c r="C188" s="43" t="s">
        <v>267</v>
      </c>
      <c r="D188" s="43"/>
      <c r="E188" s="43"/>
      <c r="F188" s="114" t="s">
        <v>59</v>
      </c>
      <c r="G188" s="90">
        <v>15000</v>
      </c>
      <c r="H188" s="67"/>
      <c r="I188" s="51">
        <f>AVERAGE(I185:I187)</f>
        <v>98</v>
      </c>
      <c r="J188" s="276">
        <f>AVERAGE(J185:J187)</f>
        <v>51.333333333333336</v>
      </c>
      <c r="K188" s="254">
        <f>AVERAGE(K185:K187)</f>
        <v>3.5333333333333332</v>
      </c>
      <c r="L188" s="44"/>
      <c r="M188" s="44"/>
      <c r="N188" s="34">
        <f>1/(K188/100)</f>
        <v>28.30188679245283</v>
      </c>
      <c r="O188" s="2"/>
      <c r="P188" s="2"/>
      <c r="Q188" s="2"/>
      <c r="R188" s="2"/>
      <c r="S188" s="302">
        <f>N188/'Fuels, properties and prices'!$F$3</f>
        <v>0.88158671267804856</v>
      </c>
      <c r="T188" s="258">
        <f>AVERAGE(T185:T187)</f>
        <v>1477.3333333333333</v>
      </c>
      <c r="U188" s="164">
        <f>AVERAGE(U185:U187)</f>
        <v>22598.886666666669</v>
      </c>
      <c r="V188" s="47">
        <f t="shared" si="11"/>
        <v>27412.449526666671</v>
      </c>
      <c r="W188" s="296">
        <f t="shared" si="12"/>
        <v>1830</v>
      </c>
      <c r="X188" s="320"/>
      <c r="Z188" s="6"/>
      <c r="AA188" s="6"/>
    </row>
    <row r="189" spans="1:27">
      <c r="A189" s="329"/>
      <c r="B189" s="11"/>
      <c r="C189" s="203" t="s">
        <v>519</v>
      </c>
      <c r="D189" s="203"/>
      <c r="E189" s="203"/>
      <c r="F189" s="204"/>
      <c r="G189" s="203"/>
      <c r="H189" s="205"/>
      <c r="I189" s="209">
        <f>I188/H21</f>
        <v>1.0566037735849056</v>
      </c>
      <c r="J189" s="207"/>
      <c r="K189" s="208">
        <f>K188/K21</f>
        <v>0.64535768645357694</v>
      </c>
      <c r="L189" s="206"/>
      <c r="M189" s="206"/>
      <c r="N189" s="209">
        <f>N188/N21</f>
        <v>1.5495283018867925</v>
      </c>
      <c r="O189" s="206"/>
      <c r="P189" s="206"/>
      <c r="Q189" s="206"/>
      <c r="R189" s="206"/>
      <c r="S189" s="303">
        <f>S188/S21</f>
        <v>1.5495283018867925</v>
      </c>
      <c r="T189" s="273">
        <f>T188/T21</f>
        <v>1.1285968933027757</v>
      </c>
      <c r="U189" s="290">
        <f>U188/U21</f>
        <v>1.1956450587105885</v>
      </c>
      <c r="V189" s="47"/>
      <c r="W189" s="296"/>
      <c r="X189" s="320"/>
      <c r="Z189" s="6"/>
      <c r="AA189" s="6"/>
    </row>
    <row r="190" spans="1:27">
      <c r="A190" s="329"/>
      <c r="B190" s="11"/>
      <c r="C190" t="s">
        <v>70</v>
      </c>
      <c r="D190" t="s">
        <v>255</v>
      </c>
      <c r="E190" t="s">
        <v>369</v>
      </c>
      <c r="F190" s="89" t="s">
        <v>61</v>
      </c>
      <c r="G190" s="89">
        <v>20000</v>
      </c>
      <c r="H190" s="59"/>
      <c r="I190">
        <v>160</v>
      </c>
      <c r="J190" s="64" t="s">
        <v>27</v>
      </c>
      <c r="K190" s="59">
        <v>4.3</v>
      </c>
      <c r="N190" s="34">
        <f>1/(K190/100)</f>
        <v>23.255813953488374</v>
      </c>
      <c r="S190" s="302">
        <f>N190/'Fuels, properties and prices'!$F$3</f>
        <v>0.72440458561141985</v>
      </c>
      <c r="T190" s="257">
        <v>1615</v>
      </c>
      <c r="U190" s="291">
        <v>33605.042016806728</v>
      </c>
      <c r="V190" s="47">
        <f t="shared" si="11"/>
        <v>40762.915966386565</v>
      </c>
      <c r="W190" s="296">
        <f t="shared" si="12"/>
        <v>2040</v>
      </c>
      <c r="X190" s="320"/>
    </row>
    <row r="191" spans="1:27" s="40" customFormat="1">
      <c r="A191" s="329"/>
      <c r="B191" s="11"/>
      <c r="C191" s="2" t="s">
        <v>72</v>
      </c>
      <c r="D191" s="2" t="s">
        <v>274</v>
      </c>
      <c r="E191" t="s">
        <v>276</v>
      </c>
      <c r="F191" s="89" t="s">
        <v>61</v>
      </c>
      <c r="G191" s="89">
        <v>20000</v>
      </c>
      <c r="H191" s="59"/>
      <c r="I191">
        <v>110</v>
      </c>
      <c r="J191" s="64" t="s">
        <v>27</v>
      </c>
      <c r="K191" s="59">
        <v>4.7</v>
      </c>
      <c r="L191"/>
      <c r="M191"/>
      <c r="N191" s="34">
        <f>1/(K191/100)</f>
        <v>21.276595744680851</v>
      </c>
      <c r="O191"/>
      <c r="P191"/>
      <c r="Q191"/>
      <c r="R191"/>
      <c r="S191" s="302">
        <f>N191/'Fuels, properties and prices'!$F$3</f>
        <v>0.6627531315168308</v>
      </c>
      <c r="T191" s="257">
        <v>1579</v>
      </c>
      <c r="U191" s="160">
        <v>29562.884870071477</v>
      </c>
      <c r="V191" s="47">
        <f t="shared" si="11"/>
        <v>35859.779347396703</v>
      </c>
      <c r="W191" s="296">
        <f t="shared" si="12"/>
        <v>1790</v>
      </c>
      <c r="X191" s="320"/>
    </row>
    <row r="192" spans="1:27">
      <c r="A192" s="329"/>
      <c r="B192" s="11"/>
      <c r="C192" s="43" t="s">
        <v>267</v>
      </c>
      <c r="D192" s="43"/>
      <c r="E192" s="43"/>
      <c r="F192" s="111"/>
      <c r="G192" s="43"/>
      <c r="H192" s="67"/>
      <c r="I192" s="44">
        <f>AVERAGE(I190:I191)</f>
        <v>135</v>
      </c>
      <c r="J192" s="62" t="s">
        <v>27</v>
      </c>
      <c r="K192" s="67">
        <f>AVERAGE(K190:K191)</f>
        <v>4.5</v>
      </c>
      <c r="L192" s="44"/>
      <c r="M192" s="44"/>
      <c r="N192" s="34">
        <f>1/(K192/100)</f>
        <v>22.222222222222221</v>
      </c>
      <c r="O192" s="2"/>
      <c r="P192" s="2"/>
      <c r="Q192" s="2"/>
      <c r="R192" s="2"/>
      <c r="S192" s="302">
        <f>N192/'Fuels, properties and prices'!$F$3</f>
        <v>0.69220882625091218</v>
      </c>
      <c r="T192" s="258">
        <f>AVERAGE(T190:T191)</f>
        <v>1597</v>
      </c>
      <c r="U192" s="164">
        <f>AVERAGE(U190:U191)</f>
        <v>31583.963443439105</v>
      </c>
      <c r="V192" s="47">
        <f t="shared" si="11"/>
        <v>38311.347656891638</v>
      </c>
      <c r="W192" s="296"/>
      <c r="X192" s="320"/>
      <c r="Z192" s="6"/>
      <c r="AA192" s="6"/>
    </row>
    <row r="193" spans="1:27">
      <c r="A193" s="329"/>
      <c r="B193" s="11"/>
      <c r="C193" s="41"/>
      <c r="D193" s="41"/>
      <c r="E193" s="41"/>
      <c r="F193" s="112"/>
      <c r="G193" s="41"/>
      <c r="H193" s="60"/>
      <c r="I193" s="40"/>
      <c r="J193" s="73"/>
      <c r="K193" s="60"/>
      <c r="L193" s="40"/>
      <c r="M193" s="40"/>
      <c r="N193" s="34"/>
      <c r="O193" s="2"/>
      <c r="P193" s="2"/>
      <c r="Q193" s="2"/>
      <c r="R193" s="2"/>
      <c r="S193" s="302"/>
      <c r="T193" s="259"/>
      <c r="U193" s="284"/>
      <c r="V193" s="47"/>
      <c r="W193" s="296"/>
      <c r="X193" s="320"/>
      <c r="Z193" s="6"/>
      <c r="AA193" s="6"/>
    </row>
    <row r="194" spans="1:27" s="40" customFormat="1">
      <c r="A194" s="329"/>
      <c r="B194" s="248"/>
      <c r="C194" s="2" t="s">
        <v>105</v>
      </c>
      <c r="D194" s="2" t="s">
        <v>106</v>
      </c>
      <c r="E194" s="2" t="s">
        <v>107</v>
      </c>
      <c r="F194" s="115" t="s">
        <v>461</v>
      </c>
      <c r="G194" s="280">
        <v>15000</v>
      </c>
      <c r="H194" s="68"/>
      <c r="I194" s="2">
        <v>104</v>
      </c>
      <c r="J194" s="64" t="s">
        <v>27</v>
      </c>
      <c r="K194" s="68">
        <v>3.8</v>
      </c>
      <c r="L194" s="2"/>
      <c r="M194" s="2"/>
      <c r="N194" s="34">
        <f>1/(K194/100)</f>
        <v>26.315789473684212</v>
      </c>
      <c r="S194" s="302">
        <f>N194/'Fuels, properties and prices'!$F$3</f>
        <v>0.81972097845502767</v>
      </c>
      <c r="T194" s="257">
        <v>1500</v>
      </c>
      <c r="U194" s="160">
        <v>20218.62</v>
      </c>
      <c r="V194" s="47">
        <f t="shared" si="11"/>
        <v>24525.18606</v>
      </c>
      <c r="W194" s="296">
        <f t="shared" si="12"/>
        <v>1640</v>
      </c>
      <c r="X194" s="320"/>
    </row>
    <row r="195" spans="1:27" s="40" customFormat="1">
      <c r="A195" s="329"/>
      <c r="B195" s="11"/>
      <c r="C195" t="s">
        <v>70</v>
      </c>
      <c r="D195" t="s">
        <v>359</v>
      </c>
      <c r="E195" t="s">
        <v>360</v>
      </c>
      <c r="F195" s="115" t="s">
        <v>461</v>
      </c>
      <c r="G195" s="280">
        <v>15000</v>
      </c>
      <c r="H195" s="59"/>
      <c r="I195">
        <v>90</v>
      </c>
      <c r="J195" s="64" t="s">
        <v>27</v>
      </c>
      <c r="K195" s="59">
        <v>3.9</v>
      </c>
      <c r="L195"/>
      <c r="M195"/>
      <c r="N195" s="34">
        <f>1/(K195/100)</f>
        <v>25.641025641025642</v>
      </c>
      <c r="O195"/>
      <c r="P195"/>
      <c r="Q195"/>
      <c r="R195"/>
      <c r="S195" s="302">
        <f>N195/'Fuels, properties and prices'!$F$3</f>
        <v>0.7987024918279757</v>
      </c>
      <c r="T195" s="257">
        <v>1460</v>
      </c>
      <c r="U195" s="161">
        <v>23087.475113005901</v>
      </c>
      <c r="V195" s="47">
        <f t="shared" si="11"/>
        <v>28005.107312076161</v>
      </c>
      <c r="W195" s="296">
        <f t="shared" si="12"/>
        <v>1870</v>
      </c>
      <c r="X195" s="320"/>
    </row>
    <row r="196" spans="1:27">
      <c r="A196" s="329"/>
      <c r="B196" s="11"/>
      <c r="C196" s="43" t="s">
        <v>267</v>
      </c>
      <c r="D196" s="43"/>
      <c r="E196" s="43"/>
      <c r="F196" s="115" t="s">
        <v>461</v>
      </c>
      <c r="G196" s="280">
        <v>15000</v>
      </c>
      <c r="H196" s="67"/>
      <c r="I196" s="44">
        <f>AVERAGE(I194:I195)</f>
        <v>97</v>
      </c>
      <c r="J196" s="62" t="s">
        <v>27</v>
      </c>
      <c r="K196" s="67">
        <f>AVERAGE(K194:K195)</f>
        <v>3.8499999999999996</v>
      </c>
      <c r="L196" s="44"/>
      <c r="M196" s="44"/>
      <c r="N196" s="34">
        <f>1/(K196/100)</f>
        <v>25.974025974025974</v>
      </c>
      <c r="O196" s="2"/>
      <c r="P196" s="2"/>
      <c r="Q196" s="2"/>
      <c r="R196" s="2"/>
      <c r="S196" s="302">
        <f>N196/'Fuels, properties and prices'!$F$3</f>
        <v>0.80907525146210524</v>
      </c>
      <c r="T196" s="258">
        <f>AVERAGE(T194:T195)</f>
        <v>1480</v>
      </c>
      <c r="U196" s="164">
        <f>AVERAGE(U194:U195)</f>
        <v>21653.047556502948</v>
      </c>
      <c r="V196" s="47">
        <f t="shared" ref="V196:V232" si="16">1.213*U196</f>
        <v>26265.146686038079</v>
      </c>
      <c r="W196" s="296">
        <f t="shared" ref="W196:W231" si="17">ROUND(V196/(G196)/0.001,-1)</f>
        <v>1750</v>
      </c>
      <c r="X196" s="320"/>
      <c r="Z196" s="6"/>
      <c r="AA196" s="6"/>
    </row>
    <row r="197" spans="1:27" s="40" customFormat="1">
      <c r="A197" s="329"/>
      <c r="B197" s="11"/>
      <c r="C197"/>
      <c r="D197"/>
      <c r="E197"/>
      <c r="F197" s="72"/>
      <c r="G197"/>
      <c r="H197" s="59"/>
      <c r="I197"/>
      <c r="J197" s="72"/>
      <c r="K197" s="59"/>
      <c r="L197"/>
      <c r="M197"/>
      <c r="N197"/>
      <c r="O197"/>
      <c r="P197"/>
      <c r="Q197"/>
      <c r="R197"/>
      <c r="S197" s="304"/>
      <c r="T197" s="257"/>
      <c r="U197" s="161"/>
      <c r="V197" s="47"/>
      <c r="W197" s="296"/>
      <c r="X197" s="320"/>
    </row>
    <row r="198" spans="1:27" s="40" customFormat="1">
      <c r="A198" s="329"/>
      <c r="B198" s="248"/>
      <c r="C198" s="2" t="s">
        <v>70</v>
      </c>
      <c r="D198" s="2" t="s">
        <v>123</v>
      </c>
      <c r="E198" s="2" t="s">
        <v>126</v>
      </c>
      <c r="F198" s="116" t="s">
        <v>191</v>
      </c>
      <c r="G198" s="281">
        <v>20000</v>
      </c>
      <c r="H198" s="68"/>
      <c r="I198" s="2">
        <v>145</v>
      </c>
      <c r="J198" s="64" t="s">
        <v>27</v>
      </c>
      <c r="K198" s="68">
        <v>5</v>
      </c>
      <c r="L198" s="2"/>
      <c r="M198" s="2"/>
      <c r="N198" s="34">
        <f t="shared" ref="N198:N204" si="18">1/(K198/100)</f>
        <v>20</v>
      </c>
      <c r="S198" s="302">
        <f>N198/'Fuels, properties and prices'!$F$3</f>
        <v>0.62298794362582099</v>
      </c>
      <c r="T198" s="257">
        <v>1785</v>
      </c>
      <c r="U198" s="160">
        <v>27636.66</v>
      </c>
      <c r="V198" s="47">
        <f t="shared" si="16"/>
        <v>33523.268580000004</v>
      </c>
      <c r="W198" s="296">
        <f t="shared" si="17"/>
        <v>1680</v>
      </c>
      <c r="X198" s="320"/>
    </row>
    <row r="199" spans="1:27">
      <c r="A199" s="329"/>
      <c r="B199" s="11"/>
      <c r="C199" s="43" t="s">
        <v>267</v>
      </c>
      <c r="D199" s="43"/>
      <c r="E199" s="43"/>
      <c r="F199" s="116" t="s">
        <v>191</v>
      </c>
      <c r="G199" s="281">
        <v>20000</v>
      </c>
      <c r="H199" s="67"/>
      <c r="I199" s="44">
        <f>AVERAGE(I198:I198)</f>
        <v>145</v>
      </c>
      <c r="J199" s="62" t="s">
        <v>27</v>
      </c>
      <c r="K199" s="67">
        <f>AVERAGE(K198:K198)</f>
        <v>5</v>
      </c>
      <c r="L199" s="44"/>
      <c r="M199" s="44"/>
      <c r="N199" s="34">
        <f t="shared" si="18"/>
        <v>20</v>
      </c>
      <c r="O199" s="2"/>
      <c r="P199" s="2"/>
      <c r="Q199" s="2"/>
      <c r="R199" s="2"/>
      <c r="S199" s="302">
        <f>N199/'Fuels, properties and prices'!$F$3</f>
        <v>0.62298794362582099</v>
      </c>
      <c r="T199" s="258">
        <f>AVERAGE(T198:T198)</f>
        <v>1785</v>
      </c>
      <c r="U199" s="164">
        <f>AVERAGE(U198:U198)</f>
        <v>27636.66</v>
      </c>
      <c r="V199" s="47">
        <f t="shared" si="16"/>
        <v>33523.268580000004</v>
      </c>
      <c r="W199" s="296">
        <f t="shared" si="17"/>
        <v>1680</v>
      </c>
      <c r="X199" s="320"/>
      <c r="Z199" s="6"/>
      <c r="AA199" s="6"/>
    </row>
    <row r="200" spans="1:27">
      <c r="A200" s="329"/>
      <c r="B200" s="11"/>
      <c r="C200" s="91" t="s">
        <v>434</v>
      </c>
      <c r="D200" s="91"/>
      <c r="E200" s="91"/>
      <c r="F200" s="119"/>
      <c r="G200" s="91"/>
      <c r="H200" s="92"/>
      <c r="I200" s="93">
        <f>I188</f>
        <v>98</v>
      </c>
      <c r="J200" s="94"/>
      <c r="K200" s="100">
        <f>K188</f>
        <v>3.5333333333333332</v>
      </c>
      <c r="L200" s="93"/>
      <c r="M200" s="93"/>
      <c r="N200" s="99">
        <f t="shared" si="18"/>
        <v>28.30188679245283</v>
      </c>
      <c r="O200" s="91"/>
      <c r="P200" s="91"/>
      <c r="Q200" s="91"/>
      <c r="R200" s="91"/>
      <c r="S200" s="303">
        <f>N200/'Fuels, properties and prices'!$F$3</f>
        <v>0.88158671267804856</v>
      </c>
      <c r="T200" s="265">
        <f>T188</f>
        <v>1477.3333333333333</v>
      </c>
      <c r="U200" s="162">
        <f>U188</f>
        <v>22598.886666666669</v>
      </c>
      <c r="V200" s="47">
        <f t="shared" si="16"/>
        <v>27412.449526666671</v>
      </c>
      <c r="W200" s="296"/>
      <c r="X200" s="320"/>
      <c r="Z200" s="6"/>
      <c r="AA200" s="6"/>
    </row>
    <row r="201" spans="1:27">
      <c r="A201" s="329" t="s">
        <v>553</v>
      </c>
      <c r="B201" s="247" t="s">
        <v>550</v>
      </c>
      <c r="C201" s="2" t="s">
        <v>33</v>
      </c>
      <c r="D201" s="2" t="s">
        <v>34</v>
      </c>
      <c r="E201" s="2" t="s">
        <v>43</v>
      </c>
      <c r="F201" s="114" t="s">
        <v>59</v>
      </c>
      <c r="G201" s="90">
        <v>15000</v>
      </c>
      <c r="H201" s="68"/>
      <c r="I201" s="2">
        <v>150</v>
      </c>
      <c r="J201" s="74">
        <v>75</v>
      </c>
      <c r="K201" s="68">
        <v>1.8</v>
      </c>
      <c r="L201" s="2"/>
      <c r="M201" s="2">
        <v>12</v>
      </c>
      <c r="N201" s="34">
        <f t="shared" si="18"/>
        <v>55.55555555555555</v>
      </c>
      <c r="O201" s="2"/>
      <c r="P201" s="49">
        <f>1/(M201/100)</f>
        <v>8.3333333333333339</v>
      </c>
      <c r="Q201" s="49">
        <f>N201/'Fuels, properties and prices'!$F$3</f>
        <v>1.7305220656272804</v>
      </c>
      <c r="R201" s="49">
        <f>P201/3.6</f>
        <v>2.3148148148148149</v>
      </c>
      <c r="S201" s="302">
        <f>1/(1/Q201+1/R201)</f>
        <v>0.99023597620383741</v>
      </c>
      <c r="T201" s="264">
        <v>1615</v>
      </c>
      <c r="U201" s="160">
        <v>29889</v>
      </c>
      <c r="V201" s="47">
        <f t="shared" si="16"/>
        <v>36255.357000000004</v>
      </c>
      <c r="W201" s="296">
        <f t="shared" si="17"/>
        <v>2420</v>
      </c>
      <c r="X201" s="320"/>
    </row>
    <row r="202" spans="1:27">
      <c r="A202" s="329"/>
      <c r="B202" s="11" t="s">
        <v>552</v>
      </c>
      <c r="C202" s="2" t="s">
        <v>71</v>
      </c>
      <c r="D202" s="2" t="s">
        <v>81</v>
      </c>
      <c r="E202" s="2" t="s">
        <v>83</v>
      </c>
      <c r="F202" s="114" t="s">
        <v>59</v>
      </c>
      <c r="G202" s="90">
        <v>15000</v>
      </c>
      <c r="H202" s="68"/>
      <c r="I202" s="2">
        <v>104</v>
      </c>
      <c r="J202" s="74">
        <v>45</v>
      </c>
      <c r="K202" s="68">
        <v>1.1000000000000001</v>
      </c>
      <c r="L202" s="2"/>
      <c r="M202" s="2">
        <v>9.4</v>
      </c>
      <c r="N202" s="34">
        <f t="shared" si="18"/>
        <v>90.909090909090907</v>
      </c>
      <c r="O202" s="2"/>
      <c r="P202" s="49">
        <f>1/(M202/100)</f>
        <v>10.638297872340425</v>
      </c>
      <c r="Q202" s="49">
        <f>N202/'Fuels, properties and prices'!$F$3</f>
        <v>2.8317633801173683</v>
      </c>
      <c r="R202" s="49">
        <f>P202/3.6</f>
        <v>2.9550827423167849</v>
      </c>
      <c r="S202" s="302">
        <f>1/(1/Q202+1/R202)</f>
        <v>1.4460545378022878</v>
      </c>
      <c r="T202" s="264">
        <v>1625</v>
      </c>
      <c r="U202" s="160">
        <v>28005.51</v>
      </c>
      <c r="V202" s="47">
        <f t="shared" si="16"/>
        <v>33970.68363</v>
      </c>
      <c r="W202" s="296">
        <f t="shared" si="17"/>
        <v>2260</v>
      </c>
      <c r="X202" s="320"/>
    </row>
    <row r="203" spans="1:27" s="40" customFormat="1">
      <c r="A203" s="329"/>
      <c r="B203" s="11"/>
      <c r="C203" s="2" t="s">
        <v>70</v>
      </c>
      <c r="D203" s="2" t="s">
        <v>127</v>
      </c>
      <c r="E203" s="2" t="s">
        <v>22</v>
      </c>
      <c r="F203" s="114" t="s">
        <v>59</v>
      </c>
      <c r="G203" s="90">
        <v>15000</v>
      </c>
      <c r="H203" s="68"/>
      <c r="I203" s="2">
        <v>100</v>
      </c>
      <c r="J203" s="74">
        <v>60</v>
      </c>
      <c r="K203" s="68">
        <v>1</v>
      </c>
      <c r="L203" s="2"/>
      <c r="M203" s="2">
        <v>7.2</v>
      </c>
      <c r="N203" s="34">
        <f t="shared" si="18"/>
        <v>100</v>
      </c>
      <c r="O203" s="2"/>
      <c r="P203" s="49">
        <f>1/(M203/100)</f>
        <v>13.888888888888888</v>
      </c>
      <c r="Q203" s="49">
        <f>N203/'Fuels, properties and prices'!$F$3</f>
        <v>3.1149397181291052</v>
      </c>
      <c r="R203" s="49">
        <f>P203/3.6</f>
        <v>3.8580246913580241</v>
      </c>
      <c r="S203" s="302">
        <f>1/(1/Q203+1/R203)</f>
        <v>1.72344409621299</v>
      </c>
      <c r="T203" s="257">
        <v>1798</v>
      </c>
      <c r="U203" s="160">
        <v>31554.62</v>
      </c>
      <c r="V203" s="47">
        <f t="shared" si="16"/>
        <v>38275.754059999999</v>
      </c>
      <c r="W203" s="296">
        <f t="shared" si="17"/>
        <v>2550</v>
      </c>
      <c r="X203" s="320"/>
    </row>
    <row r="204" spans="1:27">
      <c r="A204" s="329"/>
      <c r="B204" s="11"/>
      <c r="C204" s="43" t="s">
        <v>267</v>
      </c>
      <c r="D204" s="43"/>
      <c r="E204" s="43"/>
      <c r="F204" s="114" t="s">
        <v>59</v>
      </c>
      <c r="G204" s="90">
        <v>15000</v>
      </c>
      <c r="H204" s="67"/>
      <c r="I204" s="44">
        <f>AVERAGE(I201:I203)</f>
        <v>118</v>
      </c>
      <c r="J204" s="62">
        <f>AVERAGE(J201:J203)</f>
        <v>60</v>
      </c>
      <c r="K204" s="67">
        <f>AVERAGE(K201:K203)</f>
        <v>1.3</v>
      </c>
      <c r="L204" s="44"/>
      <c r="M204" s="44">
        <f>AVERAGE(M201:M203)</f>
        <v>9.5333333333333332</v>
      </c>
      <c r="N204" s="34">
        <f t="shared" si="18"/>
        <v>76.92307692307692</v>
      </c>
      <c r="O204" s="2"/>
      <c r="P204" s="49">
        <f>1/(M204/100)</f>
        <v>10.48951048951049</v>
      </c>
      <c r="Q204" s="49">
        <f>N204/'Fuels, properties and prices'!$F$3</f>
        <v>2.3961074754839267</v>
      </c>
      <c r="R204" s="49">
        <f>P204/3.6</f>
        <v>2.9137529137529139</v>
      </c>
      <c r="S204" s="302">
        <f>1/(1/Q204+1/R204)</f>
        <v>1.3148490970701152</v>
      </c>
      <c r="T204" s="258">
        <f>AVERAGE(T201:T203)</f>
        <v>1679.3333333333333</v>
      </c>
      <c r="U204" s="151">
        <f>AVERAGE(U201:U203)</f>
        <v>29816.376666666663</v>
      </c>
      <c r="V204" s="47">
        <f t="shared" si="16"/>
        <v>36167.264896666667</v>
      </c>
      <c r="W204" s="296">
        <f t="shared" si="17"/>
        <v>2410</v>
      </c>
      <c r="X204" s="320"/>
      <c r="Z204" s="6"/>
      <c r="AA204" s="6"/>
    </row>
    <row r="205" spans="1:27">
      <c r="A205" s="329"/>
      <c r="B205" s="11"/>
      <c r="D205" s="2"/>
      <c r="E205" s="2"/>
      <c r="F205" s="74"/>
      <c r="G205" s="2"/>
      <c r="H205" s="68"/>
      <c r="I205" s="2"/>
      <c r="J205" s="74"/>
      <c r="K205" s="68"/>
      <c r="L205" s="2"/>
      <c r="M205" s="2"/>
      <c r="N205" s="53"/>
      <c r="O205" s="2"/>
      <c r="P205" s="2"/>
      <c r="Q205" s="2"/>
      <c r="R205" s="2"/>
      <c r="S205" s="306"/>
      <c r="T205" s="257"/>
      <c r="U205" s="160"/>
      <c r="V205" s="47"/>
      <c r="W205" s="296"/>
      <c r="X205" s="320"/>
    </row>
    <row r="206" spans="1:27">
      <c r="A206" s="329"/>
      <c r="B206" s="11"/>
      <c r="C206" s="2" t="s">
        <v>45</v>
      </c>
      <c r="D206" s="2" t="s">
        <v>94</v>
      </c>
      <c r="E206" t="s">
        <v>110</v>
      </c>
      <c r="F206" s="90" t="s">
        <v>100</v>
      </c>
      <c r="G206" s="90">
        <v>15000</v>
      </c>
      <c r="H206" s="59"/>
      <c r="I206">
        <v>150</v>
      </c>
      <c r="J206" s="72">
        <v>75</v>
      </c>
      <c r="K206" s="59">
        <v>1.6</v>
      </c>
      <c r="M206">
        <v>11.4</v>
      </c>
      <c r="N206" s="34">
        <f>1/(K206/100)</f>
        <v>62.5</v>
      </c>
      <c r="O206" s="2"/>
      <c r="P206" s="49">
        <f>1/(M206/100)</f>
        <v>8.7719298245614024</v>
      </c>
      <c r="Q206" s="49">
        <f>N206/'Fuels, properties and prices'!$F$3</f>
        <v>1.9468373238306906</v>
      </c>
      <c r="R206" s="49">
        <f>P206/3.6</f>
        <v>2.4366471734892783</v>
      </c>
      <c r="S206" s="302">
        <f>1/(1/Q206+1/R206)</f>
        <v>1.0821883059597408</v>
      </c>
      <c r="T206" s="257">
        <v>1615</v>
      </c>
      <c r="U206" s="160">
        <v>31890.92</v>
      </c>
      <c r="V206" s="47">
        <f t="shared" si="16"/>
        <v>38683.685960000003</v>
      </c>
      <c r="W206" s="296">
        <f t="shared" si="17"/>
        <v>2580</v>
      </c>
      <c r="X206" s="320"/>
    </row>
    <row r="207" spans="1:27">
      <c r="A207" s="329"/>
      <c r="B207" s="11"/>
      <c r="C207" s="246" t="s">
        <v>273</v>
      </c>
      <c r="D207" s="55"/>
      <c r="E207" s="55"/>
      <c r="F207" s="90" t="s">
        <v>100</v>
      </c>
      <c r="G207" s="90">
        <v>15000</v>
      </c>
      <c r="H207" s="69"/>
      <c r="I207" s="55">
        <f>I206/I201</f>
        <v>1</v>
      </c>
      <c r="J207" s="65">
        <f>J206/J201</f>
        <v>1</v>
      </c>
      <c r="K207" s="87">
        <f>K206/K201</f>
        <v>0.88888888888888895</v>
      </c>
      <c r="L207" s="56"/>
      <c r="M207" s="56">
        <f>M206/M201</f>
        <v>0.95000000000000007</v>
      </c>
      <c r="N207" s="55">
        <f>N206/N201</f>
        <v>1.1250000000000002</v>
      </c>
      <c r="O207" s="55"/>
      <c r="P207" s="56">
        <f>P206/P201</f>
        <v>1.0526315789473681</v>
      </c>
      <c r="Q207" s="56"/>
      <c r="R207" s="56"/>
      <c r="S207" s="302">
        <f>S206/S201</f>
        <v>1.0928590073129956</v>
      </c>
      <c r="T207" s="271">
        <f>T206/T201</f>
        <v>1</v>
      </c>
      <c r="U207" s="292">
        <f>U206/U201</f>
        <v>1.0669784870688213</v>
      </c>
      <c r="V207" s="47"/>
      <c r="W207" s="296"/>
      <c r="X207" s="320"/>
    </row>
    <row r="208" spans="1:27">
      <c r="A208" s="329"/>
      <c r="B208" s="11"/>
      <c r="C208" s="2"/>
      <c r="D208" s="2"/>
      <c r="F208" s="72"/>
      <c r="H208" s="59"/>
      <c r="J208" s="72"/>
      <c r="K208" s="59"/>
      <c r="N208" s="34"/>
      <c r="S208" s="302"/>
      <c r="T208" s="257"/>
      <c r="U208" s="160"/>
      <c r="V208" s="47"/>
      <c r="W208" s="296"/>
      <c r="X208" s="320"/>
      <c r="Z208" s="6"/>
      <c r="AA208" s="6"/>
    </row>
    <row r="209" spans="1:27">
      <c r="A209" s="329"/>
      <c r="B209" s="11"/>
      <c r="C209" s="2" t="s">
        <v>105</v>
      </c>
      <c r="D209" s="2" t="s">
        <v>505</v>
      </c>
      <c r="E209" t="s">
        <v>506</v>
      </c>
      <c r="F209" s="89" t="s">
        <v>61</v>
      </c>
      <c r="G209" s="89">
        <v>20000</v>
      </c>
      <c r="H209" s="59"/>
      <c r="I209">
        <v>115</v>
      </c>
      <c r="J209" s="72">
        <v>68</v>
      </c>
      <c r="K209" s="59">
        <v>1.6</v>
      </c>
      <c r="M209">
        <v>12.2</v>
      </c>
      <c r="N209" s="34">
        <f>1/(K209/100)</f>
        <v>62.5</v>
      </c>
      <c r="O209" s="2"/>
      <c r="P209" s="49">
        <f>1/(M209/100)</f>
        <v>8.1967213114754092</v>
      </c>
      <c r="Q209" s="49">
        <f>N209/'Fuels, properties and prices'!$F$3</f>
        <v>1.9468373238306906</v>
      </c>
      <c r="R209" s="49">
        <f>P209/3.6</f>
        <v>2.2768670309653913</v>
      </c>
      <c r="S209" s="302">
        <f>1/(1/Q209+1/R209)</f>
        <v>1.0494791644802517</v>
      </c>
      <c r="T209" s="257">
        <v>1850</v>
      </c>
      <c r="U209" s="160">
        <v>35382.55693021902</v>
      </c>
      <c r="V209" s="47">
        <f t="shared" si="16"/>
        <v>42919.041556355674</v>
      </c>
      <c r="W209" s="296">
        <f t="shared" si="17"/>
        <v>2150</v>
      </c>
      <c r="X209" s="320"/>
      <c r="Z209" s="6"/>
      <c r="AA209" s="6"/>
    </row>
    <row r="210" spans="1:27" s="40" customFormat="1">
      <c r="A210" s="329"/>
      <c r="B210" s="11"/>
      <c r="C210" s="2" t="s">
        <v>33</v>
      </c>
      <c r="D210" s="2" t="s">
        <v>148</v>
      </c>
      <c r="E210" t="s">
        <v>160</v>
      </c>
      <c r="F210" s="89" t="s">
        <v>61</v>
      </c>
      <c r="G210" s="89">
        <v>20000</v>
      </c>
      <c r="H210" s="59"/>
      <c r="I210">
        <v>160</v>
      </c>
      <c r="J210" s="72">
        <v>85</v>
      </c>
      <c r="K210" s="59">
        <v>1.8</v>
      </c>
      <c r="L210"/>
      <c r="M210">
        <v>13.7</v>
      </c>
      <c r="N210" s="34">
        <f>1/(K210/100)</f>
        <v>55.55555555555555</v>
      </c>
      <c r="O210" s="2"/>
      <c r="P210" s="49">
        <f>1/(M210/100)</f>
        <v>7.2992700729927016</v>
      </c>
      <c r="Q210" s="49">
        <f>N210/'Fuels, properties and prices'!$F$3</f>
        <v>1.7305220656272804</v>
      </c>
      <c r="R210" s="49">
        <f>P210/3.6</f>
        <v>2.0275750202757505</v>
      </c>
      <c r="S210" s="302">
        <f>1/(1/Q210+1/R210)</f>
        <v>0.93365424897179006</v>
      </c>
      <c r="T210" s="257">
        <v>1722</v>
      </c>
      <c r="U210" s="160">
        <v>37431.74</v>
      </c>
      <c r="V210" s="47">
        <f t="shared" si="16"/>
        <v>45404.700620000003</v>
      </c>
      <c r="W210" s="296">
        <f t="shared" si="17"/>
        <v>2270</v>
      </c>
      <c r="X210" s="320"/>
    </row>
    <row r="211" spans="1:27">
      <c r="A211" s="329"/>
      <c r="B211" s="11"/>
      <c r="C211" s="43" t="s">
        <v>267</v>
      </c>
      <c r="D211" s="43"/>
      <c r="E211" s="43"/>
      <c r="F211" s="120" t="s">
        <v>61</v>
      </c>
      <c r="G211" s="89">
        <v>20000</v>
      </c>
      <c r="H211" s="67"/>
      <c r="I211" s="44">
        <f>AVERAGE(I209:I210)</f>
        <v>137.5</v>
      </c>
      <c r="J211" s="62">
        <f>AVERAGE(J209:J210)</f>
        <v>76.5</v>
      </c>
      <c r="K211" s="67">
        <f>AVERAGE(K209:K210)</f>
        <v>1.7000000000000002</v>
      </c>
      <c r="L211" s="44"/>
      <c r="M211" s="44">
        <f>AVERAGE(M210)</f>
        <v>13.7</v>
      </c>
      <c r="N211" s="34">
        <f>1/(K211/100)</f>
        <v>58.823529411764703</v>
      </c>
      <c r="O211" s="2"/>
      <c r="P211" s="49">
        <f>1/(M211/100)</f>
        <v>7.2992700729927016</v>
      </c>
      <c r="Q211" s="49">
        <f>N211/'Fuels, properties and prices'!$F$3</f>
        <v>1.8323174812524146</v>
      </c>
      <c r="R211" s="49">
        <f>P211/3.6</f>
        <v>2.0275750202757505</v>
      </c>
      <c r="S211" s="302">
        <f>1/(1/Q211+1/R211)</f>
        <v>0.96250378805397085</v>
      </c>
      <c r="T211" s="258">
        <f>AVERAGE(T209:T210)</f>
        <v>1786</v>
      </c>
      <c r="U211" s="151">
        <f>AVERAGE(U209:U210)</f>
        <v>36407.148465109509</v>
      </c>
      <c r="V211" s="47">
        <f t="shared" si="16"/>
        <v>44161.871088177839</v>
      </c>
      <c r="W211" s="296">
        <f t="shared" si="17"/>
        <v>2210</v>
      </c>
      <c r="X211" s="320"/>
      <c r="Z211" s="6"/>
      <c r="AA211" s="6"/>
    </row>
    <row r="212" spans="1:27">
      <c r="A212" s="329"/>
      <c r="B212" s="11"/>
      <c r="C212" s="2"/>
      <c r="D212" s="2"/>
      <c r="F212" s="72"/>
      <c r="H212" s="59"/>
      <c r="J212" s="72"/>
      <c r="K212" s="59"/>
      <c r="N212" s="34"/>
      <c r="S212" s="302"/>
      <c r="T212" s="257"/>
      <c r="U212" s="160"/>
      <c r="V212" s="47"/>
      <c r="W212" s="296"/>
      <c r="X212" s="320"/>
      <c r="Z212" s="6"/>
      <c r="AA212" s="6"/>
    </row>
    <row r="213" spans="1:27" s="40" customFormat="1">
      <c r="A213" s="329"/>
      <c r="B213" s="248"/>
      <c r="C213" s="2" t="s">
        <v>105</v>
      </c>
      <c r="D213" s="2" t="s">
        <v>106</v>
      </c>
      <c r="E213" s="2" t="s">
        <v>526</v>
      </c>
      <c r="F213" s="115" t="s">
        <v>461</v>
      </c>
      <c r="G213" s="280">
        <v>15000</v>
      </c>
      <c r="H213" s="68"/>
      <c r="I213" s="2">
        <v>104</v>
      </c>
      <c r="J213" s="74">
        <v>45</v>
      </c>
      <c r="K213" s="68">
        <v>1.3</v>
      </c>
      <c r="L213" s="2"/>
      <c r="M213" s="2">
        <v>9.8000000000000007</v>
      </c>
      <c r="N213" s="34">
        <f>1/(K213/100)</f>
        <v>76.92307692307692</v>
      </c>
      <c r="P213" s="49">
        <f>1/(M213/100)</f>
        <v>10.204081632653061</v>
      </c>
      <c r="Q213" s="49">
        <f>N213/'Fuels, properties and prices'!$F$3</f>
        <v>2.3961074754839267</v>
      </c>
      <c r="R213" s="49">
        <f>P213/3.6</f>
        <v>2.8344671201814058</v>
      </c>
      <c r="S213" s="302">
        <f>1/(1/Q213+1/R213)</f>
        <v>1.2984592288022148</v>
      </c>
      <c r="T213" s="257">
        <v>1594</v>
      </c>
      <c r="U213" s="160">
        <v>29938.95</v>
      </c>
      <c r="V213" s="47">
        <f t="shared" si="16"/>
        <v>36315.946350000006</v>
      </c>
      <c r="W213" s="296">
        <f t="shared" si="17"/>
        <v>2420</v>
      </c>
      <c r="X213" s="320"/>
    </row>
    <row r="214" spans="1:27">
      <c r="A214" s="329"/>
      <c r="B214" s="11"/>
      <c r="C214" s="43" t="s">
        <v>267</v>
      </c>
      <c r="D214" s="43"/>
      <c r="E214" s="43"/>
      <c r="F214" s="115" t="s">
        <v>461</v>
      </c>
      <c r="G214" s="280">
        <v>15000</v>
      </c>
      <c r="H214" s="67"/>
      <c r="I214" s="44">
        <f>AVERAGE(I213)</f>
        <v>104</v>
      </c>
      <c r="J214" s="62">
        <f>AVERAGE(J213)</f>
        <v>45</v>
      </c>
      <c r="K214" s="67">
        <f>AVERAGE(K213)</f>
        <v>1.3</v>
      </c>
      <c r="L214" s="44"/>
      <c r="M214" s="44">
        <f>AVERAGE(M213)</f>
        <v>9.8000000000000007</v>
      </c>
      <c r="N214" s="34">
        <f>1/(K214/100)</f>
        <v>76.92307692307692</v>
      </c>
      <c r="O214" s="2"/>
      <c r="P214" s="49">
        <f>1/(M214/100)</f>
        <v>10.204081632653061</v>
      </c>
      <c r="Q214" s="49">
        <f>N214/'Fuels, properties and prices'!$F$3</f>
        <v>2.3961074754839267</v>
      </c>
      <c r="R214" s="49">
        <f>P214/3.6</f>
        <v>2.8344671201814058</v>
      </c>
      <c r="S214" s="302">
        <f>1/(1/Q214+1/R214)</f>
        <v>1.2984592288022148</v>
      </c>
      <c r="T214" s="258">
        <f>AVERAGE(T213)</f>
        <v>1594</v>
      </c>
      <c r="U214" s="151"/>
      <c r="V214" s="47"/>
      <c r="W214" s="296">
        <f t="shared" si="17"/>
        <v>0</v>
      </c>
      <c r="X214" s="320"/>
      <c r="Z214" s="6"/>
      <c r="AA214" s="6"/>
    </row>
    <row r="215" spans="1:27">
      <c r="A215" s="329"/>
      <c r="B215" s="11"/>
      <c r="C215" s="2"/>
      <c r="D215" s="2"/>
      <c r="F215" s="72"/>
      <c r="H215" s="59"/>
      <c r="J215" s="72"/>
      <c r="K215" s="59"/>
      <c r="N215" s="34"/>
      <c r="S215" s="302"/>
      <c r="T215" s="257"/>
      <c r="U215" s="160"/>
      <c r="V215" s="47"/>
      <c r="W215" s="296"/>
      <c r="X215" s="320"/>
      <c r="Z215" s="6"/>
      <c r="AA215" s="6"/>
    </row>
    <row r="216" spans="1:27" s="40" customFormat="1">
      <c r="A216" s="329"/>
      <c r="B216" s="248"/>
      <c r="C216" s="2" t="s">
        <v>128</v>
      </c>
      <c r="D216" s="2" t="s">
        <v>129</v>
      </c>
      <c r="E216" s="2" t="s">
        <v>131</v>
      </c>
      <c r="F216" s="116" t="s">
        <v>191</v>
      </c>
      <c r="G216" s="281">
        <v>20000</v>
      </c>
      <c r="H216" s="68"/>
      <c r="I216" s="2">
        <v>149</v>
      </c>
      <c r="J216" s="74">
        <v>70</v>
      </c>
      <c r="K216" s="68">
        <v>1.7</v>
      </c>
      <c r="L216" s="2"/>
      <c r="M216" s="2">
        <v>13.4</v>
      </c>
      <c r="N216" s="34">
        <f>1/(K216/100)</f>
        <v>58.823529411764703</v>
      </c>
      <c r="P216" s="49">
        <f>1/(M216/100)</f>
        <v>7.4626865671641784</v>
      </c>
      <c r="Q216" s="49">
        <f>N216/'Fuels, properties and prices'!$F$3</f>
        <v>1.8323174812524146</v>
      </c>
      <c r="R216" s="49">
        <f>P216/3.6</f>
        <v>2.0729684908789383</v>
      </c>
      <c r="S216" s="302">
        <f>1/(1/Q216+1/R216)</f>
        <v>0.97261415195413492</v>
      </c>
      <c r="T216" s="257">
        <v>1982</v>
      </c>
      <c r="U216" s="160">
        <v>40218.620000000003</v>
      </c>
      <c r="V216" s="47">
        <f t="shared" si="16"/>
        <v>48785.186060000007</v>
      </c>
      <c r="W216" s="296">
        <f t="shared" si="17"/>
        <v>2440</v>
      </c>
      <c r="X216" s="320"/>
    </row>
    <row r="217" spans="1:27">
      <c r="A217" s="329"/>
      <c r="B217" s="11"/>
      <c r="C217" s="43" t="s">
        <v>267</v>
      </c>
      <c r="D217" s="43"/>
      <c r="E217" s="43"/>
      <c r="F217" s="116" t="s">
        <v>191</v>
      </c>
      <c r="G217" s="281">
        <v>20000</v>
      </c>
      <c r="H217" s="67"/>
      <c r="I217" s="44">
        <f>AVERAGE(I216)</f>
        <v>149</v>
      </c>
      <c r="J217" s="62">
        <f>AVERAGE(J216)</f>
        <v>70</v>
      </c>
      <c r="K217" s="67">
        <f>AVERAGE(K216)</f>
        <v>1.7</v>
      </c>
      <c r="L217" s="44"/>
      <c r="M217" s="44">
        <f>AVERAGE(M216)</f>
        <v>13.4</v>
      </c>
      <c r="N217" s="34">
        <f>1/(K217/100)</f>
        <v>58.823529411764703</v>
      </c>
      <c r="O217" s="2"/>
      <c r="P217" s="49">
        <f>1/(M217/100)</f>
        <v>7.4626865671641784</v>
      </c>
      <c r="Q217" s="49">
        <f>N217/'Fuels, properties and prices'!$F$3</f>
        <v>1.8323174812524146</v>
      </c>
      <c r="R217" s="49">
        <f>P217/3.6</f>
        <v>2.0729684908789383</v>
      </c>
      <c r="S217" s="302">
        <f>1/(1/Q217+1/R217)</f>
        <v>0.97261415195413492</v>
      </c>
      <c r="T217" s="258">
        <f>AVERAGE(T216)</f>
        <v>1982</v>
      </c>
      <c r="U217" s="151">
        <f>AVERAGE(U216)</f>
        <v>40218.620000000003</v>
      </c>
      <c r="V217" s="47">
        <f t="shared" si="16"/>
        <v>48785.186060000007</v>
      </c>
      <c r="W217" s="296">
        <f t="shared" si="17"/>
        <v>2440</v>
      </c>
      <c r="X217" s="320"/>
      <c r="Z217" s="6"/>
      <c r="AA217" s="6"/>
    </row>
    <row r="218" spans="1:27" s="40" customFormat="1">
      <c r="A218" s="329"/>
      <c r="B218" s="248"/>
      <c r="C218" s="41"/>
      <c r="D218" s="41"/>
      <c r="E218" s="41"/>
      <c r="F218" s="112"/>
      <c r="G218" s="41"/>
      <c r="H218" s="60"/>
      <c r="J218" s="73"/>
      <c r="K218" s="60"/>
      <c r="Q218" s="52"/>
      <c r="R218" s="52"/>
      <c r="S218" s="307"/>
      <c r="T218" s="266"/>
      <c r="U218" s="284"/>
      <c r="V218" s="47"/>
      <c r="W218" s="296"/>
      <c r="X218" s="320"/>
    </row>
    <row r="219" spans="1:27" s="40" customFormat="1">
      <c r="A219" s="329"/>
      <c r="B219" s="249" t="s">
        <v>538</v>
      </c>
      <c r="C219" s="2" t="s">
        <v>324</v>
      </c>
      <c r="D219" s="2" t="s">
        <v>371</v>
      </c>
      <c r="E219" s="2"/>
      <c r="F219" s="118" t="s">
        <v>516</v>
      </c>
      <c r="G219" s="282">
        <v>25000</v>
      </c>
      <c r="H219" s="68"/>
      <c r="I219" s="2">
        <f>I225/I207</f>
        <v>246</v>
      </c>
      <c r="J219" s="77">
        <f>J225/J207</f>
        <v>96.666666666666671</v>
      </c>
      <c r="K219" s="88">
        <f>K225/K207</f>
        <v>2.6624999999999996</v>
      </c>
      <c r="L219" s="2"/>
      <c r="M219" s="2">
        <f>M225/M207</f>
        <v>17.473684210526311</v>
      </c>
      <c r="N219" s="2">
        <f>N225/N207</f>
        <v>37.558685446009385</v>
      </c>
      <c r="P219" s="49">
        <f>1/(M219/100)</f>
        <v>5.7228915662650621</v>
      </c>
      <c r="Q219" s="49">
        <f>N219/'Fuels, properties and prices'!$F$3</f>
        <v>1.169930410564922</v>
      </c>
      <c r="R219" s="49">
        <f>P219/3.6</f>
        <v>1.589692101740295</v>
      </c>
      <c r="S219" s="302">
        <f>1/(1/Q219+1/R219)</f>
        <v>0.6739433110752715</v>
      </c>
      <c r="T219" s="263">
        <f>T225/T207</f>
        <v>2340.3333333333335</v>
      </c>
      <c r="U219" s="147">
        <f>U225/U207</f>
        <v>60586.791689609447</v>
      </c>
      <c r="V219" s="47">
        <f t="shared" si="16"/>
        <v>73491.778319496269</v>
      </c>
      <c r="W219" s="296">
        <f t="shared" si="17"/>
        <v>2940</v>
      </c>
      <c r="X219" s="320"/>
    </row>
    <row r="220" spans="1:27">
      <c r="A220" s="329"/>
      <c r="B220" s="11"/>
      <c r="C220" s="43" t="s">
        <v>267</v>
      </c>
      <c r="D220" s="43"/>
      <c r="E220" s="43"/>
      <c r="F220" s="118" t="s">
        <v>516</v>
      </c>
      <c r="G220" s="282">
        <v>25000</v>
      </c>
      <c r="H220" s="67"/>
      <c r="I220" s="44">
        <f>AVERAGE(I219)</f>
        <v>246</v>
      </c>
      <c r="J220" s="276">
        <f>AVERAGE(J219)</f>
        <v>96.666666666666671</v>
      </c>
      <c r="K220" s="254">
        <f>AVERAGE(K219)</f>
        <v>2.6624999999999996</v>
      </c>
      <c r="L220" s="44"/>
      <c r="M220" s="44">
        <f>AVERAGE(M219)</f>
        <v>17.473684210526311</v>
      </c>
      <c r="N220" s="34">
        <f>1/(K220/100)</f>
        <v>37.558685446009399</v>
      </c>
      <c r="O220" s="2"/>
      <c r="P220" s="49">
        <f>1/(M220/100)</f>
        <v>5.7228915662650621</v>
      </c>
      <c r="Q220" s="49">
        <f>N220/'Fuels, properties and prices'!$F$3</f>
        <v>1.1699304105649224</v>
      </c>
      <c r="R220" s="49">
        <f>P220/3.6</f>
        <v>1.589692101740295</v>
      </c>
      <c r="S220" s="302">
        <f>1/(1/Q220+1/R220)</f>
        <v>0.67394331107527161</v>
      </c>
      <c r="T220" s="258">
        <f>AVERAGE(T219)</f>
        <v>2340.3333333333335</v>
      </c>
      <c r="U220" s="151">
        <f>AVERAGE(U219)</f>
        <v>60586.791689609447</v>
      </c>
      <c r="V220" s="47">
        <f t="shared" si="16"/>
        <v>73491.778319496269</v>
      </c>
      <c r="W220" s="296">
        <f t="shared" si="17"/>
        <v>2940</v>
      </c>
      <c r="X220" s="320"/>
      <c r="Z220" s="6"/>
      <c r="AA220" s="6"/>
    </row>
    <row r="221" spans="1:27">
      <c r="A221" s="329"/>
      <c r="B221" s="11"/>
      <c r="C221" s="2"/>
      <c r="D221" s="2"/>
      <c r="F221" s="72"/>
      <c r="H221" s="59"/>
      <c r="J221" s="72"/>
      <c r="K221" s="59"/>
      <c r="N221" s="34"/>
      <c r="S221" s="302"/>
      <c r="T221" s="257"/>
      <c r="U221" s="160"/>
      <c r="V221" s="47"/>
      <c r="W221" s="296"/>
      <c r="X221" s="320"/>
      <c r="Z221" s="6"/>
      <c r="AA221" s="6"/>
    </row>
    <row r="222" spans="1:27">
      <c r="A222" s="329"/>
      <c r="B222" s="248"/>
      <c r="C222" s="2" t="s">
        <v>334</v>
      </c>
      <c r="D222" s="2" t="s">
        <v>335</v>
      </c>
      <c r="E222" s="2" t="s">
        <v>339</v>
      </c>
      <c r="F222" s="118" t="s">
        <v>517</v>
      </c>
      <c r="G222" s="282">
        <v>25000</v>
      </c>
      <c r="H222" s="59"/>
      <c r="I222">
        <v>223</v>
      </c>
      <c r="J222" s="72">
        <v>65</v>
      </c>
      <c r="K222" s="86">
        <v>2.6</v>
      </c>
      <c r="M222">
        <v>16.5</v>
      </c>
      <c r="N222" s="34">
        <f>1/(K222/100)</f>
        <v>38.46153846153846</v>
      </c>
      <c r="P222" s="49">
        <f>1/(M222/100)</f>
        <v>6.0606060606060606</v>
      </c>
      <c r="Q222" s="49">
        <f>N222/'Fuels, properties and prices'!$F$3</f>
        <v>1.1980537377419633</v>
      </c>
      <c r="R222" s="49">
        <f>P222/3.6</f>
        <v>1.6835016835016834</v>
      </c>
      <c r="S222" s="302">
        <f>1/(1/Q222+1/R222)</f>
        <v>0.69994332558892702</v>
      </c>
      <c r="T222" s="257">
        <v>2476</v>
      </c>
      <c r="U222" s="160">
        <v>66147.539999999994</v>
      </c>
      <c r="V222" s="47">
        <f t="shared" si="16"/>
        <v>80236.966019999993</v>
      </c>
      <c r="W222" s="296">
        <f t="shared" si="17"/>
        <v>3210</v>
      </c>
      <c r="X222" s="320"/>
      <c r="Z222" s="6"/>
      <c r="AA222" s="6"/>
    </row>
    <row r="223" spans="1:27">
      <c r="A223" s="329"/>
      <c r="B223" s="248"/>
      <c r="C223" s="2" t="s">
        <v>192</v>
      </c>
      <c r="D223" s="2" t="s">
        <v>193</v>
      </c>
      <c r="E223" s="2" t="s">
        <v>196</v>
      </c>
      <c r="F223" s="118" t="s">
        <v>517</v>
      </c>
      <c r="G223" s="282">
        <v>25000</v>
      </c>
      <c r="H223" s="68"/>
      <c r="I223" s="2">
        <v>240</v>
      </c>
      <c r="J223" s="74">
        <v>85</v>
      </c>
      <c r="K223" s="68">
        <v>2.7</v>
      </c>
      <c r="L223" s="2"/>
      <c r="M223" s="2">
        <v>15.2</v>
      </c>
      <c r="N223" s="34">
        <f>1/(K223/100)</f>
        <v>37.037037037037031</v>
      </c>
      <c r="O223" s="40"/>
      <c r="P223" s="49">
        <f>1/(M223/100)</f>
        <v>6.5789473684210531</v>
      </c>
      <c r="Q223" s="49">
        <f>N223/'Fuels, properties and prices'!$F$3</f>
        <v>1.1536813770848535</v>
      </c>
      <c r="R223" s="49">
        <f>P223/3.6</f>
        <v>1.827485380116959</v>
      </c>
      <c r="S223" s="302">
        <f>1/(1/Q223+1/R223)</f>
        <v>0.7072183549754526</v>
      </c>
      <c r="T223" s="257">
        <v>2025</v>
      </c>
      <c r="U223" s="160">
        <v>58683</v>
      </c>
      <c r="V223" s="47">
        <f t="shared" si="16"/>
        <v>71182.479000000007</v>
      </c>
      <c r="W223" s="296">
        <f t="shared" si="17"/>
        <v>2850</v>
      </c>
      <c r="X223" s="320"/>
      <c r="Z223" s="6"/>
      <c r="AA223" s="6"/>
    </row>
    <row r="224" spans="1:27">
      <c r="A224" s="329"/>
      <c r="B224" s="248"/>
      <c r="C224" s="2" t="s">
        <v>45</v>
      </c>
      <c r="D224" s="2" t="s">
        <v>46</v>
      </c>
      <c r="E224" s="2" t="s">
        <v>44</v>
      </c>
      <c r="F224" s="118" t="s">
        <v>517</v>
      </c>
      <c r="G224" s="282">
        <v>25000</v>
      </c>
      <c r="H224" s="68"/>
      <c r="I224" s="2">
        <v>275</v>
      </c>
      <c r="J224" s="74">
        <v>140</v>
      </c>
      <c r="K224" s="68">
        <v>1.8</v>
      </c>
      <c r="L224" s="2"/>
      <c r="M224" s="2">
        <v>18.100000000000001</v>
      </c>
      <c r="N224" s="34">
        <f>1/(K224/100)</f>
        <v>55.55555555555555</v>
      </c>
      <c r="O224" s="40"/>
      <c r="P224" s="49">
        <f>1/(M224/100)</f>
        <v>5.5248618784530379</v>
      </c>
      <c r="Q224" s="49">
        <f>N224/'Fuels, properties and prices'!$F$3</f>
        <v>1.7305220656272804</v>
      </c>
      <c r="R224" s="49">
        <f>P224/3.6</f>
        <v>1.5346838551258437</v>
      </c>
      <c r="S224" s="302">
        <f>1/(1/Q224+1/R224)</f>
        <v>0.81336501878100487</v>
      </c>
      <c r="T224" s="264">
        <v>2520</v>
      </c>
      <c r="U224" s="160">
        <v>69103.87</v>
      </c>
      <c r="V224" s="47">
        <f t="shared" si="16"/>
        <v>83822.994309999995</v>
      </c>
      <c r="W224" s="296">
        <f t="shared" si="17"/>
        <v>3350</v>
      </c>
      <c r="X224" s="320"/>
      <c r="Z224" s="6"/>
      <c r="AA224" s="6"/>
    </row>
    <row r="225" spans="1:27">
      <c r="A225" s="329"/>
      <c r="B225" s="11"/>
      <c r="C225" s="43" t="s">
        <v>267</v>
      </c>
      <c r="D225" s="43"/>
      <c r="E225" s="43"/>
      <c r="F225" s="118" t="s">
        <v>517</v>
      </c>
      <c r="G225" s="282">
        <v>25000</v>
      </c>
      <c r="H225" s="67"/>
      <c r="I225" s="44">
        <f>AVERAGE(I222:I224)</f>
        <v>246</v>
      </c>
      <c r="J225" s="276">
        <f>AVERAGE(J222:J224)</f>
        <v>96.666666666666671</v>
      </c>
      <c r="K225" s="254">
        <f>AVERAGE(K222:K224)</f>
        <v>2.3666666666666667</v>
      </c>
      <c r="L225" s="44"/>
      <c r="M225" s="44">
        <f>AVERAGE(M222:M224)</f>
        <v>16.599999999999998</v>
      </c>
      <c r="N225" s="34">
        <f>1/(K225/100)</f>
        <v>42.253521126760567</v>
      </c>
      <c r="O225" s="2"/>
      <c r="P225" s="49">
        <f>1/(M225/100)</f>
        <v>6.024096385542169</v>
      </c>
      <c r="Q225" s="49">
        <f>N225/'Fuels, properties and prices'!$F$3</f>
        <v>1.3161717118855374</v>
      </c>
      <c r="R225" s="49">
        <f>P225/3.6</f>
        <v>1.6733601070950468</v>
      </c>
      <c r="S225" s="302">
        <f>1/(1/Q225+1/R225)</f>
        <v>0.73671376326319615</v>
      </c>
      <c r="T225" s="258">
        <f>AVERAGE(T222:T224)</f>
        <v>2340.3333333333335</v>
      </c>
      <c r="U225" s="151">
        <f>AVERAGE(U222:U224)</f>
        <v>64644.803333333322</v>
      </c>
      <c r="V225" s="47">
        <f t="shared" si="16"/>
        <v>78414.146443333331</v>
      </c>
      <c r="W225" s="296">
        <f t="shared" si="17"/>
        <v>3140</v>
      </c>
      <c r="X225" s="320"/>
      <c r="Z225" s="6"/>
      <c r="AA225" s="6"/>
    </row>
    <row r="226" spans="1:27">
      <c r="A226" s="329"/>
      <c r="B226" s="11"/>
      <c r="C226" s="91" t="s">
        <v>504</v>
      </c>
      <c r="D226" s="91"/>
      <c r="E226" s="91"/>
      <c r="F226" s="119"/>
      <c r="G226" s="91"/>
      <c r="H226" s="92"/>
      <c r="I226" s="93">
        <f>I204</f>
        <v>118</v>
      </c>
      <c r="J226" s="93">
        <f t="shared" ref="J226:U226" si="19">J204</f>
        <v>60</v>
      </c>
      <c r="K226" s="93">
        <f t="shared" si="19"/>
        <v>1.3</v>
      </c>
      <c r="L226" s="93"/>
      <c r="M226" s="99">
        <f t="shared" si="19"/>
        <v>9.5333333333333332</v>
      </c>
      <c r="N226" s="99">
        <f t="shared" si="19"/>
        <v>76.92307692307692</v>
      </c>
      <c r="O226" s="93"/>
      <c r="P226" s="99">
        <f t="shared" si="19"/>
        <v>10.48951048951049</v>
      </c>
      <c r="Q226" s="99">
        <f t="shared" si="19"/>
        <v>2.3961074754839267</v>
      </c>
      <c r="R226" s="99">
        <f t="shared" si="19"/>
        <v>2.9137529137529139</v>
      </c>
      <c r="S226" s="310">
        <f t="shared" si="19"/>
        <v>1.3148490970701152</v>
      </c>
      <c r="T226" s="153">
        <f t="shared" si="19"/>
        <v>1679.3333333333333</v>
      </c>
      <c r="U226" s="152">
        <f t="shared" si="19"/>
        <v>29816.376666666663</v>
      </c>
      <c r="V226" s="47">
        <f t="shared" si="16"/>
        <v>36167.264896666667</v>
      </c>
      <c r="W226" s="296"/>
      <c r="X226" s="320"/>
      <c r="Z226" s="6"/>
      <c r="AA226" s="6"/>
    </row>
    <row r="227" spans="1:27" s="40" customFormat="1">
      <c r="A227" s="327" t="s">
        <v>31</v>
      </c>
      <c r="B227" s="247" t="s">
        <v>550</v>
      </c>
      <c r="C227" s="2" t="s">
        <v>70</v>
      </c>
      <c r="D227" s="2" t="s">
        <v>41</v>
      </c>
      <c r="E227" s="2"/>
      <c r="F227" s="120" t="s">
        <v>61</v>
      </c>
      <c r="G227" s="89">
        <v>20000</v>
      </c>
      <c r="H227" s="68">
        <v>113</v>
      </c>
      <c r="I227" s="2"/>
      <c r="J227" s="74"/>
      <c r="K227" s="68"/>
      <c r="L227" s="2">
        <v>0.78</v>
      </c>
      <c r="M227" s="2"/>
      <c r="N227" s="53"/>
      <c r="O227" s="49">
        <f>1/(L227/100)</f>
        <v>128.2051282051282</v>
      </c>
      <c r="P227" s="2"/>
      <c r="Q227" s="2"/>
      <c r="R227" s="2"/>
      <c r="S227" s="311">
        <f>O227/'Fuels, properties and prices'!$G$9</f>
        <v>1.0683760683760684</v>
      </c>
      <c r="T227" s="264">
        <v>1925</v>
      </c>
      <c r="U227" s="293">
        <v>66050.420168067241</v>
      </c>
      <c r="V227" s="47">
        <f t="shared" si="16"/>
        <v>80119.159663865576</v>
      </c>
      <c r="W227" s="296">
        <f t="shared" si="17"/>
        <v>4010</v>
      </c>
      <c r="X227" s="320"/>
    </row>
    <row r="228" spans="1:27">
      <c r="A228" s="327"/>
      <c r="B228" s="11" t="s">
        <v>552</v>
      </c>
      <c r="C228" s="43" t="s">
        <v>267</v>
      </c>
      <c r="D228" s="43"/>
      <c r="E228" s="43"/>
      <c r="F228" s="120" t="s">
        <v>61</v>
      </c>
      <c r="G228" s="89">
        <v>20000</v>
      </c>
      <c r="H228" s="67">
        <f>AVERAGE(H227)</f>
        <v>113</v>
      </c>
      <c r="I228" s="44"/>
      <c r="J228" s="62"/>
      <c r="K228" s="67"/>
      <c r="L228" s="44">
        <f>AVERAGE(L227)</f>
        <v>0.78</v>
      </c>
      <c r="M228" s="44"/>
      <c r="N228" s="51"/>
      <c r="O228" s="49">
        <f>1/(L228/100)</f>
        <v>128.2051282051282</v>
      </c>
      <c r="P228" s="2"/>
      <c r="Q228" s="2"/>
      <c r="R228" s="2"/>
      <c r="S228" s="311">
        <f>O228/'Fuels, properties and prices'!$G$9</f>
        <v>1.0683760683760684</v>
      </c>
      <c r="T228" s="258">
        <f>AVERAGE(T227)</f>
        <v>1925</v>
      </c>
      <c r="U228" s="151">
        <f>AVERAGE(U227)</f>
        <v>66050.420168067241</v>
      </c>
      <c r="V228" s="47">
        <f t="shared" si="16"/>
        <v>80119.159663865576</v>
      </c>
      <c r="W228" s="296">
        <f t="shared" si="17"/>
        <v>4010</v>
      </c>
      <c r="X228" s="320"/>
      <c r="Z228" s="6"/>
      <c r="AA228" s="6"/>
    </row>
    <row r="229" spans="1:27">
      <c r="A229" s="327"/>
      <c r="B229" s="11"/>
      <c r="F229" s="72"/>
      <c r="H229" s="59"/>
      <c r="J229" s="72"/>
      <c r="K229" s="59"/>
      <c r="S229" s="304"/>
      <c r="T229" s="257"/>
      <c r="U229" s="161"/>
      <c r="V229" s="47"/>
      <c r="W229" s="296"/>
      <c r="X229" s="320"/>
    </row>
    <row r="230" spans="1:27">
      <c r="A230" s="327"/>
      <c r="B230" s="248"/>
      <c r="C230" s="2" t="s">
        <v>71</v>
      </c>
      <c r="D230" s="2" t="s">
        <v>57</v>
      </c>
      <c r="F230" s="116" t="s">
        <v>191</v>
      </c>
      <c r="G230" s="281">
        <v>20000</v>
      </c>
      <c r="H230" s="59">
        <v>136</v>
      </c>
      <c r="J230" s="72"/>
      <c r="K230" s="59"/>
      <c r="L230">
        <v>0.76</v>
      </c>
      <c r="N230" s="40"/>
      <c r="O230" s="49">
        <f>1/(L230/100)</f>
        <v>131.57894736842104</v>
      </c>
      <c r="P230" s="2"/>
      <c r="Q230" s="2"/>
      <c r="R230" s="2"/>
      <c r="S230" s="311">
        <f>O230/'Fuels, properties and prices'!$G$9</f>
        <v>1.0964912280701753</v>
      </c>
      <c r="T230" s="257">
        <v>1889</v>
      </c>
      <c r="U230" s="291">
        <v>57983.193277310929</v>
      </c>
      <c r="V230" s="47">
        <f t="shared" si="16"/>
        <v>70333.613445378156</v>
      </c>
      <c r="W230" s="296">
        <f t="shared" si="17"/>
        <v>3520</v>
      </c>
      <c r="X230" s="320"/>
    </row>
    <row r="231" spans="1:27">
      <c r="A231" s="327"/>
      <c r="B231" s="11"/>
      <c r="C231" s="43" t="s">
        <v>267</v>
      </c>
      <c r="D231" s="43"/>
      <c r="E231" s="43"/>
      <c r="F231" s="116" t="s">
        <v>191</v>
      </c>
      <c r="G231" s="281">
        <v>20000</v>
      </c>
      <c r="H231" s="67">
        <f>AVERAGE(H230)</f>
        <v>136</v>
      </c>
      <c r="I231" s="44"/>
      <c r="J231" s="62"/>
      <c r="K231" s="67"/>
      <c r="L231" s="44">
        <f>AVERAGE(L230)</f>
        <v>0.76</v>
      </c>
      <c r="M231" s="44"/>
      <c r="N231" s="51"/>
      <c r="O231" s="49">
        <f>1/(L231/100)</f>
        <v>131.57894736842104</v>
      </c>
      <c r="P231" s="2"/>
      <c r="Q231" s="2"/>
      <c r="R231" s="2"/>
      <c r="S231" s="311">
        <f>O231/'Fuels, properties and prices'!$G$9</f>
        <v>1.0964912280701753</v>
      </c>
      <c r="T231" s="258">
        <f>AVERAGE(T230)</f>
        <v>1889</v>
      </c>
      <c r="U231" s="151">
        <f>AVERAGE(U230)</f>
        <v>57983.193277310929</v>
      </c>
      <c r="V231" s="47">
        <f t="shared" si="16"/>
        <v>70333.613445378156</v>
      </c>
      <c r="W231" s="296">
        <f>ROUND(V231/(G231)/0.001,-1)</f>
        <v>3520</v>
      </c>
      <c r="X231" s="320"/>
      <c r="Z231" s="6"/>
      <c r="AA231" s="6"/>
    </row>
    <row r="232" spans="1:27">
      <c r="A232" s="328"/>
      <c r="B232" s="131"/>
      <c r="C232" s="121" t="s">
        <v>435</v>
      </c>
      <c r="D232" s="121"/>
      <c r="E232" s="121"/>
      <c r="F232" s="122"/>
      <c r="G232" s="121"/>
      <c r="H232" s="123">
        <f>AVERAGE(H228,H231)</f>
        <v>124.5</v>
      </c>
      <c r="I232" s="124"/>
      <c r="J232" s="125"/>
      <c r="K232" s="123"/>
      <c r="L232" s="124">
        <f>AVERAGE(L228,L231)</f>
        <v>0.77</v>
      </c>
      <c r="M232" s="124"/>
      <c r="N232" s="126"/>
      <c r="O232" s="221">
        <f>1/(L232/100)</f>
        <v>129.87012987012986</v>
      </c>
      <c r="P232" s="124"/>
      <c r="Q232" s="124"/>
      <c r="R232" s="124"/>
      <c r="S232" s="312">
        <f>O232/'Fuels, properties and prices'!$G$9</f>
        <v>1.0822510822510822</v>
      </c>
      <c r="T232" s="274">
        <f>AVERAGE(T228,T231)</f>
        <v>1907</v>
      </c>
      <c r="U232" s="294">
        <f>AVERAGE(U228,U231)</f>
        <v>62016.806722689085</v>
      </c>
      <c r="V232" s="223">
        <f t="shared" si="16"/>
        <v>75226.386554621859</v>
      </c>
      <c r="W232" s="297"/>
      <c r="X232" s="320"/>
      <c r="Z232" s="6"/>
      <c r="AA232" s="6"/>
    </row>
    <row r="233" spans="1:27">
      <c r="I233" t="s">
        <v>86</v>
      </c>
      <c r="N233" s="34"/>
      <c r="V233" s="47"/>
      <c r="W233" s="298"/>
      <c r="X233" s="47"/>
    </row>
    <row r="234" spans="1:27">
      <c r="N234" s="34"/>
    </row>
    <row r="235" spans="1:27">
      <c r="N235" s="34"/>
      <c r="U235" s="25"/>
      <c r="V235" s="25"/>
      <c r="W235" s="299"/>
      <c r="X235" s="25"/>
    </row>
    <row r="236" spans="1:27">
      <c r="N236" s="34"/>
    </row>
    <row r="237" spans="1:27">
      <c r="N237" s="34"/>
    </row>
    <row r="238" spans="1:27">
      <c r="N238" s="34"/>
    </row>
    <row r="240" spans="1:27">
      <c r="N240" s="34"/>
    </row>
    <row r="241" spans="14:14">
      <c r="N241" s="34"/>
    </row>
    <row r="242" spans="14:14">
      <c r="N242" s="34"/>
    </row>
    <row r="243" spans="14:14">
      <c r="N243" s="34"/>
    </row>
    <row r="244" spans="14:14">
      <c r="N244" s="34"/>
    </row>
    <row r="245" spans="14:14">
      <c r="N245" s="34"/>
    </row>
    <row r="246" spans="14:14">
      <c r="N246" s="34"/>
    </row>
    <row r="247" spans="14:14">
      <c r="N247" s="34"/>
    </row>
    <row r="248" spans="14:14">
      <c r="N248" s="34"/>
    </row>
    <row r="249" spans="14:14">
      <c r="N249" s="34"/>
    </row>
    <row r="250" spans="14:14">
      <c r="N250" s="34"/>
    </row>
    <row r="251" spans="14:14">
      <c r="N251" s="34"/>
    </row>
    <row r="252" spans="14:14">
      <c r="N252" s="34"/>
    </row>
    <row r="253" spans="14:14">
      <c r="N253" s="34"/>
    </row>
    <row r="254" spans="14:14">
      <c r="N254" s="34"/>
    </row>
    <row r="255" spans="14:14">
      <c r="N255" s="34"/>
    </row>
    <row r="256" spans="14:14">
      <c r="N256" s="34"/>
    </row>
    <row r="257" spans="14:14">
      <c r="N257" s="34"/>
    </row>
    <row r="258" spans="14:14">
      <c r="N258" s="34"/>
    </row>
    <row r="259" spans="14:14">
      <c r="N259" s="34"/>
    </row>
    <row r="260" spans="14:14">
      <c r="N260" s="34"/>
    </row>
    <row r="261" spans="14:14">
      <c r="N261" s="34"/>
    </row>
    <row r="262" spans="14:14">
      <c r="N262" s="34"/>
    </row>
    <row r="263" spans="14:14">
      <c r="N263" s="34"/>
    </row>
    <row r="264" spans="14:14">
      <c r="N264" s="34"/>
    </row>
    <row r="265" spans="14:14">
      <c r="N265" s="34"/>
    </row>
    <row r="266" spans="14:14">
      <c r="N266" s="34"/>
    </row>
    <row r="267" spans="14:14">
      <c r="N267" s="34"/>
    </row>
    <row r="268" spans="14:14">
      <c r="N268" s="34"/>
    </row>
    <row r="269" spans="14:14">
      <c r="N269" s="34"/>
    </row>
    <row r="270" spans="14:14">
      <c r="N270" s="34"/>
    </row>
    <row r="271" spans="14:14">
      <c r="N271" s="34"/>
    </row>
    <row r="272" spans="14:14">
      <c r="N272" s="34"/>
    </row>
    <row r="273" spans="14:14">
      <c r="N273" s="34"/>
    </row>
    <row r="274" spans="14:14">
      <c r="N274" s="34"/>
    </row>
    <row r="275" spans="14:14">
      <c r="N275" s="34"/>
    </row>
    <row r="276" spans="14:14">
      <c r="N276" s="34"/>
    </row>
    <row r="277" spans="14:14">
      <c r="N277" s="34"/>
    </row>
    <row r="278" spans="14:14">
      <c r="N278" s="34"/>
    </row>
    <row r="279" spans="14:14">
      <c r="N279" s="34"/>
    </row>
    <row r="280" spans="14:14">
      <c r="N280" s="34"/>
    </row>
    <row r="281" spans="14:14">
      <c r="N281" s="34"/>
    </row>
    <row r="282" spans="14:14">
      <c r="N282" s="34"/>
    </row>
    <row r="283" spans="14:14">
      <c r="N283" s="34"/>
    </row>
    <row r="284" spans="14:14">
      <c r="N284" s="34"/>
    </row>
    <row r="285" spans="14:14">
      <c r="N285" s="34"/>
    </row>
    <row r="286" spans="14:14">
      <c r="N286" s="34"/>
    </row>
    <row r="287" spans="14:14">
      <c r="N287" s="34"/>
    </row>
    <row r="288" spans="14:14">
      <c r="N288" s="34"/>
    </row>
    <row r="289" spans="14:14">
      <c r="N289" s="34"/>
    </row>
    <row r="290" spans="14:14">
      <c r="N290" s="34"/>
    </row>
    <row r="291" spans="14:14">
      <c r="N291" s="34"/>
    </row>
    <row r="292" spans="14:14">
      <c r="N292" s="34"/>
    </row>
    <row r="293" spans="14:14">
      <c r="N293" s="34"/>
    </row>
    <row r="294" spans="14:14">
      <c r="N294" s="34"/>
    </row>
    <row r="295" spans="14:14">
      <c r="N295" s="34"/>
    </row>
    <row r="296" spans="14:14">
      <c r="N296" s="34"/>
    </row>
    <row r="297" spans="14:14">
      <c r="N297" s="34"/>
    </row>
    <row r="298" spans="14:14">
      <c r="N298" s="34"/>
    </row>
    <row r="299" spans="14:14">
      <c r="N299" s="34"/>
    </row>
    <row r="300" spans="14:14">
      <c r="N300" s="34"/>
    </row>
    <row r="301" spans="14:14">
      <c r="N301" s="34"/>
    </row>
    <row r="302" spans="14:14">
      <c r="N302" s="34"/>
    </row>
    <row r="303" spans="14:14">
      <c r="N303" s="34"/>
    </row>
    <row r="304" spans="14:14">
      <c r="N304" s="34"/>
    </row>
    <row r="305" spans="14:14">
      <c r="N305" s="34"/>
    </row>
    <row r="306" spans="14:14">
      <c r="N306" s="34"/>
    </row>
    <row r="307" spans="14:14">
      <c r="N307" s="34"/>
    </row>
    <row r="308" spans="14:14">
      <c r="N308" s="34"/>
    </row>
    <row r="309" spans="14:14">
      <c r="N309" s="34"/>
    </row>
    <row r="310" spans="14:14">
      <c r="N310" s="34"/>
    </row>
    <row r="311" spans="14:14">
      <c r="N311" s="34"/>
    </row>
    <row r="312" spans="14:14">
      <c r="N312" s="34"/>
    </row>
    <row r="313" spans="14:14">
      <c r="N313" s="34"/>
    </row>
    <row r="314" spans="14:14">
      <c r="N314" s="34"/>
    </row>
    <row r="315" spans="14:14">
      <c r="N315" s="34"/>
    </row>
    <row r="316" spans="14:14">
      <c r="N316" s="34"/>
    </row>
    <row r="317" spans="14:14">
      <c r="N317" s="34"/>
    </row>
    <row r="318" spans="14:14">
      <c r="N318" s="34"/>
    </row>
    <row r="319" spans="14:14">
      <c r="N319" s="34"/>
    </row>
    <row r="320" spans="14:14">
      <c r="N320" s="34"/>
    </row>
    <row r="321" spans="14:14">
      <c r="N321" s="34"/>
    </row>
    <row r="322" spans="14:14">
      <c r="N322" s="34"/>
    </row>
    <row r="323" spans="14:14">
      <c r="N323" s="34"/>
    </row>
    <row r="324" spans="14:14">
      <c r="N324" s="34"/>
    </row>
    <row r="325" spans="14:14">
      <c r="N325" s="34"/>
    </row>
    <row r="326" spans="14:14">
      <c r="N326" s="34"/>
    </row>
    <row r="327" spans="14:14">
      <c r="N327" s="34"/>
    </row>
    <row r="328" spans="14:14">
      <c r="N328" s="34"/>
    </row>
    <row r="329" spans="14:14">
      <c r="N329" s="34"/>
    </row>
    <row r="330" spans="14:14">
      <c r="N330" s="34"/>
    </row>
    <row r="331" spans="14:14">
      <c r="N331" s="34"/>
    </row>
    <row r="332" spans="14:14">
      <c r="N332" s="34"/>
    </row>
    <row r="333" spans="14:14">
      <c r="N333" s="34"/>
    </row>
    <row r="334" spans="14:14">
      <c r="N334" s="34"/>
    </row>
    <row r="335" spans="14:14">
      <c r="N335" s="34"/>
    </row>
    <row r="336" spans="14:14">
      <c r="N336" s="34"/>
    </row>
    <row r="337" spans="14:14">
      <c r="N337" s="34"/>
    </row>
    <row r="338" spans="14:14">
      <c r="N338" s="34"/>
    </row>
    <row r="339" spans="14:14">
      <c r="N339" s="34"/>
    </row>
    <row r="340" spans="14:14">
      <c r="N340" s="34"/>
    </row>
    <row r="341" spans="14:14">
      <c r="N341" s="34"/>
    </row>
    <row r="342" spans="14:14">
      <c r="N342" s="34"/>
    </row>
    <row r="343" spans="14:14">
      <c r="N343" s="34"/>
    </row>
    <row r="344" spans="14:14">
      <c r="N344" s="34"/>
    </row>
    <row r="345" spans="14:14">
      <c r="N345" s="34"/>
    </row>
    <row r="346" spans="14:14">
      <c r="N346" s="34"/>
    </row>
    <row r="347" spans="14:14">
      <c r="N347" s="34"/>
    </row>
    <row r="348" spans="14:14">
      <c r="N348" s="34"/>
    </row>
    <row r="349" spans="14:14">
      <c r="N349" s="34"/>
    </row>
  </sheetData>
  <mergeCells count="12">
    <mergeCell ref="AA1:AG1"/>
    <mergeCell ref="H1:J1"/>
    <mergeCell ref="K1:R1"/>
    <mergeCell ref="A3:A57"/>
    <mergeCell ref="U1:W1"/>
    <mergeCell ref="A58:A110"/>
    <mergeCell ref="A227:A232"/>
    <mergeCell ref="A201:A226"/>
    <mergeCell ref="A181:A200"/>
    <mergeCell ref="A145:A180"/>
    <mergeCell ref="A124:A144"/>
    <mergeCell ref="A111:A123"/>
  </mergeCells>
  <pageMargins left="0.7" right="0.7" top="0.75" bottom="0.75" header="0.3" footer="0.3"/>
  <pageSetup paperSize="9" orientation="portrait" horizontalDpi="4294967294" verticalDpi="0" r:id="rId1"/>
  <ignoredErrors>
    <ignoredError sqref="E3 E5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7779-A4B4-4305-A215-564A64F6B2D0}">
  <dimension ref="A1:K231"/>
  <sheetViews>
    <sheetView topLeftCell="A127" zoomScaleNormal="100" workbookViewId="0">
      <selection activeCell="A26" sqref="A26:XFD26"/>
    </sheetView>
  </sheetViews>
  <sheetFormatPr defaultRowHeight="14.5"/>
  <cols>
    <col min="1" max="1" width="23.54296875" style="354" bestFit="1" customWidth="1"/>
    <col min="2" max="2" width="14.6328125" style="338" customWidth="1"/>
    <col min="3" max="3" width="9.1796875" style="338" bestFit="1" customWidth="1"/>
    <col min="4" max="4" width="11.81640625" bestFit="1" customWidth="1"/>
    <col min="5" max="5" width="9" style="338" bestFit="1" customWidth="1"/>
    <col min="6" max="6" width="22.36328125" style="340" bestFit="1" customWidth="1"/>
    <col min="7" max="7" width="8.7265625" style="343"/>
    <col min="8" max="8" width="8.7265625" style="338"/>
    <col min="9" max="9" width="19.90625" style="338" bestFit="1" customWidth="1"/>
    <col min="10" max="16384" width="8.7265625" style="338"/>
  </cols>
  <sheetData>
    <row r="1" spans="1:10" s="366" customFormat="1">
      <c r="A1" s="365" t="s">
        <v>554</v>
      </c>
      <c r="B1" s="365"/>
      <c r="G1" s="367"/>
    </row>
    <row r="2" spans="1:10">
      <c r="A2" s="368" t="s">
        <v>3</v>
      </c>
      <c r="B2" s="336" t="s">
        <v>555</v>
      </c>
      <c r="C2" s="336" t="s">
        <v>556</v>
      </c>
      <c r="D2" s="337" t="s">
        <v>556</v>
      </c>
      <c r="F2" s="375" t="s">
        <v>581</v>
      </c>
      <c r="I2" s="336" t="s">
        <v>576</v>
      </c>
      <c r="J2" s="336" t="s">
        <v>556</v>
      </c>
    </row>
    <row r="3" spans="1:10">
      <c r="A3" s="372" t="s">
        <v>580</v>
      </c>
      <c r="B3" s="336">
        <v>8000</v>
      </c>
      <c r="C3" s="336" t="s">
        <v>557</v>
      </c>
      <c r="D3" s="336" t="s">
        <v>578</v>
      </c>
      <c r="F3" s="344"/>
      <c r="I3" s="336" t="s">
        <v>3</v>
      </c>
      <c r="J3" s="336" t="s">
        <v>557</v>
      </c>
    </row>
    <row r="4" spans="1:10">
      <c r="A4" s="369" t="s">
        <v>0</v>
      </c>
      <c r="B4" s="338" t="s">
        <v>558</v>
      </c>
      <c r="C4" s="339">
        <f>J4*G4</f>
        <v>5.1634835752482809E-2</v>
      </c>
      <c r="D4" s="34">
        <f>C4*1000</f>
        <v>51.634835752482807</v>
      </c>
      <c r="F4" s="340" t="s">
        <v>0</v>
      </c>
      <c r="G4" s="345">
        <v>0.71715049656226126</v>
      </c>
      <c r="I4" s="340" t="s">
        <v>0</v>
      </c>
      <c r="J4" s="341">
        <f>0.072</f>
        <v>7.1999999999999995E-2</v>
      </c>
    </row>
    <row r="5" spans="1:10">
      <c r="A5" s="369" t="s">
        <v>1</v>
      </c>
      <c r="C5" s="339"/>
      <c r="D5" s="34"/>
      <c r="F5" s="340" t="s">
        <v>1</v>
      </c>
      <c r="G5" s="345"/>
      <c r="I5" s="340" t="s">
        <v>1</v>
      </c>
      <c r="J5" s="341">
        <f>0.072</f>
        <v>7.1999999999999995E-2</v>
      </c>
    </row>
    <row r="6" spans="1:10">
      <c r="A6" s="369" t="s">
        <v>2</v>
      </c>
      <c r="B6" s="338" t="s">
        <v>558</v>
      </c>
      <c r="C6" s="339">
        <f t="shared" ref="C6:C7" si="0">J6*G6</f>
        <v>5.2150438282154474E-2</v>
      </c>
      <c r="D6" s="34">
        <f>C6*1000</f>
        <v>52.150438282154475</v>
      </c>
      <c r="F6" s="340" t="s">
        <v>2</v>
      </c>
      <c r="G6" s="345">
        <v>0.70473565246154701</v>
      </c>
      <c r="I6" s="340" t="s">
        <v>2</v>
      </c>
      <c r="J6" s="341">
        <f>0.074</f>
        <v>7.3999999999999996E-2</v>
      </c>
    </row>
    <row r="7" spans="1:10">
      <c r="A7" s="369" t="s">
        <v>530</v>
      </c>
      <c r="B7" s="338" t="s">
        <v>558</v>
      </c>
      <c r="C7" s="339">
        <f t="shared" si="0"/>
        <v>5.8169963369963364E-2</v>
      </c>
      <c r="D7" s="34">
        <f t="shared" ref="D7:D8" si="1">C7*1000</f>
        <v>58.169963369963362</v>
      </c>
      <c r="F7" s="340" t="s">
        <v>530</v>
      </c>
      <c r="G7" s="345">
        <v>0.78608058608058606</v>
      </c>
      <c r="I7" s="340" t="s">
        <v>530</v>
      </c>
      <c r="J7" s="341">
        <f>0.074</f>
        <v>7.3999999999999996E-2</v>
      </c>
    </row>
    <row r="8" spans="1:10">
      <c r="A8" s="369" t="s">
        <v>29</v>
      </c>
      <c r="B8" s="338" t="s">
        <v>558</v>
      </c>
      <c r="C8" s="339">
        <f>J9*G8</f>
        <v>4.7746124031007753E-2</v>
      </c>
      <c r="D8" s="34">
        <f t="shared" si="1"/>
        <v>47.746124031007753</v>
      </c>
      <c r="F8" s="340" t="s">
        <v>29</v>
      </c>
      <c r="G8" s="345">
        <v>0.67248062015503884</v>
      </c>
      <c r="I8" s="340" t="s">
        <v>29</v>
      </c>
      <c r="J8" s="341">
        <v>5.8999999999999997E-2</v>
      </c>
    </row>
    <row r="9" spans="1:10">
      <c r="A9" s="368" t="s">
        <v>3</v>
      </c>
      <c r="B9" s="336" t="s">
        <v>555</v>
      </c>
      <c r="C9" s="336" t="s">
        <v>556</v>
      </c>
      <c r="D9" s="337" t="s">
        <v>556</v>
      </c>
      <c r="F9" s="342"/>
      <c r="G9" s="345"/>
      <c r="I9" s="340" t="s">
        <v>21</v>
      </c>
      <c r="J9" s="341">
        <v>7.0999999999999994E-2</v>
      </c>
    </row>
    <row r="10" spans="1:10">
      <c r="A10" s="372" t="s">
        <v>580</v>
      </c>
      <c r="B10" s="336">
        <v>10000</v>
      </c>
      <c r="C10" s="336" t="s">
        <v>557</v>
      </c>
      <c r="D10" s="336" t="s">
        <v>578</v>
      </c>
      <c r="F10" s="344"/>
      <c r="G10" s="345"/>
      <c r="I10" s="340" t="s">
        <v>520</v>
      </c>
      <c r="J10" s="341">
        <v>5.2999999999999999E-2</v>
      </c>
    </row>
    <row r="11" spans="1:10">
      <c r="A11" s="369" t="s">
        <v>0</v>
      </c>
      <c r="B11" s="338" t="s">
        <v>559</v>
      </c>
      <c r="C11" s="339">
        <v>6.0614209320091671E-2</v>
      </c>
      <c r="D11" s="34">
        <f>C11*1000</f>
        <v>60.614209320091668</v>
      </c>
      <c r="F11" s="340" t="s">
        <v>0</v>
      </c>
      <c r="G11" s="345">
        <v>0.84186401833460656</v>
      </c>
      <c r="I11" s="340" t="s">
        <v>31</v>
      </c>
      <c r="J11" s="341">
        <v>7.0000000000000007E-2</v>
      </c>
    </row>
    <row r="12" spans="1:10">
      <c r="A12" s="369" t="s">
        <v>1</v>
      </c>
      <c r="B12" s="338" t="s">
        <v>559</v>
      </c>
      <c r="C12" s="339">
        <v>6.5547355026358833E-2</v>
      </c>
      <c r="D12" s="34">
        <f t="shared" ref="D12:D62" si="2">C12*1000</f>
        <v>65.547355026358829</v>
      </c>
      <c r="F12" s="340" t="s">
        <v>1</v>
      </c>
      <c r="G12" s="345">
        <v>0.91037993092165059</v>
      </c>
    </row>
    <row r="13" spans="1:10">
      <c r="A13" s="369" t="s">
        <v>2</v>
      </c>
      <c r="B13" s="338" t="s">
        <v>559</v>
      </c>
      <c r="C13" s="339">
        <v>6.2297937356760889E-2</v>
      </c>
      <c r="D13" s="34">
        <f t="shared" si="2"/>
        <v>62.29793735676089</v>
      </c>
      <c r="F13" s="340" t="s">
        <v>2</v>
      </c>
      <c r="G13" s="345">
        <v>0.84186401833460667</v>
      </c>
    </row>
    <row r="14" spans="1:10">
      <c r="A14" s="369" t="s">
        <v>530</v>
      </c>
      <c r="B14" s="338" t="s">
        <v>559</v>
      </c>
      <c r="C14" s="339">
        <v>6.7928205128205119E-2</v>
      </c>
      <c r="D14" s="34">
        <f t="shared" si="2"/>
        <v>67.928205128205121</v>
      </c>
      <c r="F14" s="340" t="s">
        <v>530</v>
      </c>
      <c r="G14" s="345">
        <v>0.91794871794871791</v>
      </c>
    </row>
    <row r="15" spans="1:10">
      <c r="A15" s="369" t="s">
        <v>29</v>
      </c>
      <c r="B15" s="338" t="s">
        <v>559</v>
      </c>
      <c r="C15" s="339">
        <v>5.3340116279069767E-2</v>
      </c>
      <c r="D15" s="34">
        <f t="shared" si="2"/>
        <v>53.340116279069768</v>
      </c>
      <c r="F15" s="340" t="s">
        <v>29</v>
      </c>
      <c r="G15" s="345">
        <v>0.90406976744186052</v>
      </c>
    </row>
    <row r="16" spans="1:10">
      <c r="A16" s="354" t="s">
        <v>577</v>
      </c>
      <c r="B16" s="338" t="s">
        <v>559</v>
      </c>
      <c r="C16" s="339">
        <v>5.935356498194945E-2</v>
      </c>
      <c r="D16" s="34">
        <f t="shared" si="2"/>
        <v>59.353564981949447</v>
      </c>
      <c r="F16" s="340" t="s">
        <v>577</v>
      </c>
      <c r="G16" s="345">
        <v>0.83596570397111913</v>
      </c>
    </row>
    <row r="17" spans="1:7">
      <c r="A17" s="368" t="s">
        <v>3</v>
      </c>
      <c r="B17" s="336" t="s">
        <v>555</v>
      </c>
      <c r="C17" s="336" t="s">
        <v>556</v>
      </c>
      <c r="D17" s="337" t="s">
        <v>556</v>
      </c>
      <c r="F17" s="338"/>
      <c r="G17" s="338"/>
    </row>
    <row r="18" spans="1:7">
      <c r="A18" s="372" t="s">
        <v>580</v>
      </c>
      <c r="B18" s="336">
        <v>15000</v>
      </c>
      <c r="C18" s="336" t="s">
        <v>557</v>
      </c>
      <c r="D18" s="336" t="s">
        <v>578</v>
      </c>
      <c r="F18" s="338"/>
      <c r="G18" s="338"/>
    </row>
    <row r="19" spans="1:7">
      <c r="A19" s="369" t="s">
        <v>0</v>
      </c>
      <c r="B19" s="338" t="s">
        <v>560</v>
      </c>
      <c r="C19" s="319">
        <v>7.1999999999999995E-2</v>
      </c>
      <c r="D19" s="34">
        <f t="shared" si="2"/>
        <v>72</v>
      </c>
      <c r="F19" s="340" t="s">
        <v>0</v>
      </c>
      <c r="G19" s="338">
        <v>1</v>
      </c>
    </row>
    <row r="20" spans="1:7">
      <c r="A20" s="369" t="s">
        <v>1</v>
      </c>
      <c r="B20" s="338" t="s">
        <v>560</v>
      </c>
      <c r="C20" s="339">
        <v>7.1999999999999995E-2</v>
      </c>
      <c r="D20" s="34">
        <f t="shared" si="2"/>
        <v>72</v>
      </c>
      <c r="F20" s="340" t="s">
        <v>1</v>
      </c>
      <c r="G20" s="338">
        <v>1</v>
      </c>
    </row>
    <row r="21" spans="1:7">
      <c r="A21" s="369" t="s">
        <v>2</v>
      </c>
      <c r="B21" s="338" t="s">
        <v>560</v>
      </c>
      <c r="C21" s="319">
        <v>7.3999999999999996E-2</v>
      </c>
      <c r="D21" s="34">
        <f t="shared" si="2"/>
        <v>74</v>
      </c>
      <c r="F21" s="340" t="s">
        <v>2</v>
      </c>
      <c r="G21" s="338">
        <v>1</v>
      </c>
    </row>
    <row r="22" spans="1:7">
      <c r="A22" s="369" t="s">
        <v>530</v>
      </c>
      <c r="B22" s="338" t="s">
        <v>560</v>
      </c>
      <c r="C22" s="319">
        <v>7.3999999999999996E-2</v>
      </c>
      <c r="D22" s="34">
        <f t="shared" si="2"/>
        <v>74</v>
      </c>
      <c r="F22" s="340" t="s">
        <v>530</v>
      </c>
      <c r="G22" s="338">
        <v>1</v>
      </c>
    </row>
    <row r="23" spans="1:7">
      <c r="A23" s="369" t="s">
        <v>29</v>
      </c>
      <c r="B23" s="338" t="s">
        <v>560</v>
      </c>
      <c r="C23" s="339">
        <v>5.8999999999999997E-2</v>
      </c>
      <c r="D23" s="34">
        <f t="shared" si="2"/>
        <v>59</v>
      </c>
      <c r="F23" s="340" t="s">
        <v>29</v>
      </c>
      <c r="G23" s="338">
        <v>1</v>
      </c>
    </row>
    <row r="24" spans="1:7">
      <c r="A24" s="354" t="s">
        <v>577</v>
      </c>
      <c r="B24" s="338" t="s">
        <v>560</v>
      </c>
      <c r="C24" s="339">
        <v>7.0999999999999994E-2</v>
      </c>
      <c r="D24" s="34">
        <f t="shared" si="2"/>
        <v>71</v>
      </c>
      <c r="F24" s="340" t="s">
        <v>577</v>
      </c>
      <c r="G24" s="338">
        <v>1</v>
      </c>
    </row>
    <row r="25" spans="1:7">
      <c r="A25" s="354" t="s">
        <v>553</v>
      </c>
      <c r="B25" s="338" t="s">
        <v>560</v>
      </c>
      <c r="C25" s="339">
        <v>5.2999999999999999E-2</v>
      </c>
      <c r="D25" s="34">
        <f t="shared" si="2"/>
        <v>53</v>
      </c>
      <c r="F25" s="340" t="s">
        <v>553</v>
      </c>
      <c r="G25" s="338">
        <v>1</v>
      </c>
    </row>
    <row r="26" spans="1:7">
      <c r="A26" s="368" t="s">
        <v>3</v>
      </c>
      <c r="B26" s="336" t="s">
        <v>555</v>
      </c>
      <c r="C26" s="336" t="s">
        <v>556</v>
      </c>
      <c r="D26" s="337" t="s">
        <v>556</v>
      </c>
      <c r="F26" s="342"/>
      <c r="G26" s="345"/>
    </row>
    <row r="27" spans="1:7">
      <c r="A27" s="372" t="s">
        <v>580</v>
      </c>
      <c r="B27" s="336">
        <v>20000</v>
      </c>
      <c r="C27" s="336" t="s">
        <v>557</v>
      </c>
      <c r="D27" s="336" t="s">
        <v>578</v>
      </c>
      <c r="F27" s="344"/>
      <c r="G27" s="345"/>
    </row>
    <row r="28" spans="1:7" s="346" customFormat="1">
      <c r="A28" s="369" t="s">
        <v>0</v>
      </c>
      <c r="B28" s="338" t="s">
        <v>561</v>
      </c>
      <c r="C28" s="339">
        <v>8.2139037433155079E-2</v>
      </c>
      <c r="D28" s="34">
        <f t="shared" si="2"/>
        <v>82.139037433155082</v>
      </c>
      <c r="E28" s="338"/>
      <c r="F28" s="340" t="s">
        <v>0</v>
      </c>
      <c r="G28" s="345">
        <v>1.1408199643493762</v>
      </c>
    </row>
    <row r="29" spans="1:7">
      <c r="A29" s="369" t="s">
        <v>1</v>
      </c>
      <c r="B29" s="338" t="s">
        <v>561</v>
      </c>
      <c r="C29" s="339">
        <v>8.345246318851117E-2</v>
      </c>
      <c r="D29" s="34">
        <f t="shared" si="2"/>
        <v>83.452463188511175</v>
      </c>
      <c r="F29" s="340" t="s">
        <v>1</v>
      </c>
      <c r="G29" s="345">
        <v>1.1590619887293219</v>
      </c>
    </row>
    <row r="30" spans="1:7">
      <c r="A30" s="369" t="s">
        <v>29</v>
      </c>
      <c r="B30" s="338" t="s">
        <v>561</v>
      </c>
      <c r="C30" s="339">
        <v>7.2936524453694071E-2</v>
      </c>
      <c r="D30" s="34">
        <f t="shared" si="2"/>
        <v>72.936524453694076</v>
      </c>
      <c r="F30" s="340" t="s">
        <v>29</v>
      </c>
      <c r="G30" s="345">
        <v>1.2362122788761707</v>
      </c>
    </row>
    <row r="31" spans="1:7">
      <c r="A31" s="354" t="s">
        <v>577</v>
      </c>
      <c r="B31" s="338" t="s">
        <v>561</v>
      </c>
      <c r="C31" s="339">
        <v>7.6751128158844759E-2</v>
      </c>
      <c r="D31" s="34">
        <f t="shared" si="2"/>
        <v>76.751128158844764</v>
      </c>
      <c r="F31" s="340" t="s">
        <v>577</v>
      </c>
      <c r="G31" s="345">
        <v>1.0810018050541517</v>
      </c>
    </row>
    <row r="32" spans="1:7">
      <c r="A32" s="354" t="s">
        <v>553</v>
      </c>
      <c r="B32" s="338" t="s">
        <v>561</v>
      </c>
      <c r="C32" s="339">
        <v>5.6366415244144499E-2</v>
      </c>
      <c r="D32" s="34">
        <f t="shared" si="2"/>
        <v>56.366415244144498</v>
      </c>
      <c r="F32" s="340" t="s">
        <v>553</v>
      </c>
      <c r="G32" s="345">
        <v>1.0635172687574435</v>
      </c>
    </row>
    <row r="33" spans="1:7">
      <c r="A33" s="354" t="s">
        <v>31</v>
      </c>
      <c r="B33" s="338" t="s">
        <v>561</v>
      </c>
      <c r="C33" s="339">
        <v>7.8343023255813965E-2</v>
      </c>
      <c r="D33" s="34">
        <f t="shared" si="2"/>
        <v>78.343023255813961</v>
      </c>
      <c r="F33" s="340" t="s">
        <v>31</v>
      </c>
      <c r="G33" s="345">
        <v>1.1191860465116279</v>
      </c>
    </row>
    <row r="34" spans="1:7">
      <c r="A34" s="368" t="s">
        <v>3</v>
      </c>
      <c r="B34" s="336" t="s">
        <v>555</v>
      </c>
      <c r="C34" s="336" t="s">
        <v>556</v>
      </c>
      <c r="D34" s="337" t="s">
        <v>556</v>
      </c>
      <c r="F34" s="342"/>
      <c r="G34" s="345"/>
    </row>
    <row r="35" spans="1:7">
      <c r="A35" s="372" t="s">
        <v>580</v>
      </c>
      <c r="B35" s="336">
        <v>15000</v>
      </c>
      <c r="C35" s="336" t="s">
        <v>557</v>
      </c>
      <c r="D35" s="336" t="s">
        <v>578</v>
      </c>
      <c r="F35" s="344"/>
      <c r="G35" s="345"/>
    </row>
    <row r="36" spans="1:7">
      <c r="A36" s="369" t="s">
        <v>0</v>
      </c>
      <c r="B36" s="338" t="s">
        <v>562</v>
      </c>
      <c r="C36" s="339">
        <v>7.4121575903088516E-2</v>
      </c>
      <c r="D36" s="34">
        <f t="shared" si="2"/>
        <v>74.121575903088512</v>
      </c>
      <c r="F36" s="340" t="s">
        <v>0</v>
      </c>
      <c r="G36" s="345">
        <v>1.0294663319873405</v>
      </c>
    </row>
    <row r="37" spans="1:7">
      <c r="A37" s="369" t="s">
        <v>1</v>
      </c>
      <c r="B37" s="338" t="s">
        <v>562</v>
      </c>
      <c r="C37" s="339">
        <v>7.3505180876204321E-2</v>
      </c>
      <c r="D37" s="34">
        <f t="shared" si="2"/>
        <v>73.505180876204321</v>
      </c>
      <c r="F37" s="340" t="s">
        <v>1</v>
      </c>
      <c r="G37" s="345">
        <v>1.0209052899472824</v>
      </c>
    </row>
    <row r="38" spans="1:7">
      <c r="A38" s="369" t="s">
        <v>2</v>
      </c>
      <c r="B38" s="338" t="s">
        <v>562</v>
      </c>
      <c r="C38" s="339">
        <v>6.0936374189788388E-2</v>
      </c>
      <c r="D38" s="34">
        <f t="shared" si="2"/>
        <v>60.936374189788388</v>
      </c>
      <c r="F38" s="340" t="s">
        <v>2</v>
      </c>
      <c r="G38" s="345">
        <v>0.82346451607822146</v>
      </c>
    </row>
    <row r="39" spans="1:7">
      <c r="A39" s="369" t="s">
        <v>530</v>
      </c>
      <c r="B39" s="338" t="s">
        <v>562</v>
      </c>
      <c r="C39" s="339">
        <v>6.6843956043956043E-2</v>
      </c>
      <c r="D39" s="34">
        <f t="shared" si="2"/>
        <v>66.843956043956041</v>
      </c>
      <c r="F39" s="340" t="s">
        <v>530</v>
      </c>
      <c r="G39" s="345">
        <v>0.90329670329670331</v>
      </c>
    </row>
    <row r="40" spans="1:7">
      <c r="A40" s="369" t="s">
        <v>29</v>
      </c>
      <c r="B40" s="338" t="s">
        <v>562</v>
      </c>
      <c r="C40" s="339">
        <v>5.8542635658914731E-2</v>
      </c>
      <c r="D40" s="34">
        <f t="shared" si="2"/>
        <v>58.542635658914733</v>
      </c>
      <c r="F40" s="340" t="s">
        <v>29</v>
      </c>
      <c r="G40" s="345">
        <v>0.99224806201550397</v>
      </c>
    </row>
    <row r="41" spans="1:7">
      <c r="A41" s="354" t="s">
        <v>577</v>
      </c>
      <c r="B41" s="338" t="s">
        <v>562</v>
      </c>
      <c r="C41" s="339">
        <v>7.1128158844765338E-2</v>
      </c>
      <c r="D41" s="34">
        <f t="shared" si="2"/>
        <v>71.128158844765338</v>
      </c>
      <c r="F41" s="340" t="s">
        <v>577</v>
      </c>
      <c r="G41" s="345">
        <v>1.0018050541516246</v>
      </c>
    </row>
    <row r="42" spans="1:7">
      <c r="A42" s="354" t="s">
        <v>553</v>
      </c>
      <c r="B42" s="338" t="s">
        <v>562</v>
      </c>
      <c r="C42" s="339">
        <v>5.0306867804684401E-2</v>
      </c>
      <c r="D42" s="34">
        <f t="shared" si="2"/>
        <v>50.306867804684401</v>
      </c>
      <c r="F42" s="340" t="s">
        <v>553</v>
      </c>
      <c r="G42" s="345">
        <v>0.94918618499404528</v>
      </c>
    </row>
    <row r="43" spans="1:7">
      <c r="A43" s="354" t="s">
        <v>31</v>
      </c>
      <c r="C43" s="339"/>
      <c r="D43" s="34"/>
      <c r="F43" s="340" t="s">
        <v>31</v>
      </c>
      <c r="G43" s="345"/>
    </row>
    <row r="44" spans="1:7">
      <c r="A44" s="368" t="s">
        <v>3</v>
      </c>
      <c r="B44" s="336" t="s">
        <v>555</v>
      </c>
      <c r="C44" s="336" t="s">
        <v>556</v>
      </c>
      <c r="D44" s="337" t="s">
        <v>556</v>
      </c>
      <c r="F44" s="342"/>
      <c r="G44" s="345"/>
    </row>
    <row r="45" spans="1:7">
      <c r="A45" s="372" t="s">
        <v>580</v>
      </c>
      <c r="B45" s="336">
        <v>20000</v>
      </c>
      <c r="C45" s="336" t="s">
        <v>557</v>
      </c>
      <c r="D45" s="336" t="s">
        <v>578</v>
      </c>
      <c r="F45" s="344"/>
      <c r="G45" s="345"/>
    </row>
    <row r="46" spans="1:7">
      <c r="A46" s="369" t="s">
        <v>0</v>
      </c>
      <c r="B46" s="338" t="s">
        <v>563</v>
      </c>
      <c r="C46" s="339">
        <v>8.6091978609625669E-2</v>
      </c>
      <c r="D46" s="34">
        <f t="shared" si="2"/>
        <v>86.09197860962567</v>
      </c>
      <c r="F46" s="340" t="s">
        <v>0</v>
      </c>
      <c r="G46" s="345">
        <v>1.1957219251336899</v>
      </c>
    </row>
    <row r="47" spans="1:7">
      <c r="A47" s="369" t="s">
        <v>1</v>
      </c>
      <c r="B47" s="338" t="s">
        <v>563</v>
      </c>
      <c r="C47" s="339">
        <v>8.4667078712961266E-2</v>
      </c>
      <c r="D47" s="34">
        <f t="shared" si="2"/>
        <v>84.667078712961271</v>
      </c>
      <c r="F47" s="340" t="s">
        <v>1</v>
      </c>
      <c r="G47" s="345">
        <v>1.1759316487911289</v>
      </c>
    </row>
    <row r="48" spans="1:7">
      <c r="A48" s="369" t="s">
        <v>2</v>
      </c>
      <c r="B48" s="338" t="s">
        <v>563</v>
      </c>
      <c r="C48" s="339">
        <v>7.7878532771343184E-2</v>
      </c>
      <c r="D48" s="34">
        <f t="shared" si="2"/>
        <v>77.878532771343188</v>
      </c>
      <c r="F48" s="340" t="s">
        <v>2</v>
      </c>
      <c r="G48" s="345">
        <v>1.0524126050181513</v>
      </c>
    </row>
    <row r="49" spans="1:7">
      <c r="A49" s="369" t="s">
        <v>530</v>
      </c>
      <c r="C49" s="339"/>
      <c r="D49" s="34"/>
      <c r="F49" s="340" t="s">
        <v>530</v>
      </c>
      <c r="G49" s="345"/>
    </row>
    <row r="50" spans="1:7">
      <c r="A50" s="369" t="s">
        <v>29</v>
      </c>
      <c r="B50" s="338" t="s">
        <v>563</v>
      </c>
      <c r="C50" s="339">
        <v>8.0702913631633733E-2</v>
      </c>
      <c r="D50" s="34">
        <f t="shared" si="2"/>
        <v>80.702913631633734</v>
      </c>
      <c r="F50" s="340" t="s">
        <v>29</v>
      </c>
      <c r="G50" s="345">
        <v>1.367845993756504</v>
      </c>
    </row>
    <row r="51" spans="1:7">
      <c r="A51" s="354" t="s">
        <v>577</v>
      </c>
      <c r="B51" s="338" t="s">
        <v>563</v>
      </c>
      <c r="C51" s="339">
        <v>8.5786326714801436E-2</v>
      </c>
      <c r="D51" s="34">
        <f t="shared" si="2"/>
        <v>85.786326714801433</v>
      </c>
      <c r="F51" s="340" t="s">
        <v>577</v>
      </c>
      <c r="G51" s="345">
        <v>1.2082581227436824</v>
      </c>
    </row>
    <row r="52" spans="1:7">
      <c r="A52" s="354" t="s">
        <v>553</v>
      </c>
      <c r="B52" s="338" t="s">
        <v>563</v>
      </c>
      <c r="C52" s="339">
        <v>6.2552203255260036E-2</v>
      </c>
      <c r="D52" s="34">
        <f t="shared" si="2"/>
        <v>62.552203255260039</v>
      </c>
      <c r="F52" s="340" t="s">
        <v>553</v>
      </c>
      <c r="G52" s="345">
        <v>1.1802302500992459</v>
      </c>
    </row>
    <row r="53" spans="1:7">
      <c r="A53" s="354" t="s">
        <v>31</v>
      </c>
      <c r="B53" s="338" t="s">
        <v>563</v>
      </c>
      <c r="C53" s="339">
        <v>7.6877906976744195E-2</v>
      </c>
      <c r="D53" s="34">
        <f t="shared" si="2"/>
        <v>76.8779069767442</v>
      </c>
      <c r="F53" s="340" t="s">
        <v>31</v>
      </c>
      <c r="G53" s="345">
        <v>1.0982558139534884</v>
      </c>
    </row>
    <row r="54" spans="1:7">
      <c r="A54" s="368" t="s">
        <v>3</v>
      </c>
      <c r="B54" s="336" t="s">
        <v>555</v>
      </c>
      <c r="C54" s="336" t="s">
        <v>556</v>
      </c>
      <c r="D54" s="337" t="s">
        <v>556</v>
      </c>
      <c r="F54" s="342"/>
      <c r="G54" s="345"/>
    </row>
    <row r="55" spans="1:7">
      <c r="A55" s="372" t="s">
        <v>580</v>
      </c>
      <c r="B55" s="336">
        <v>25000</v>
      </c>
      <c r="C55" s="336" t="s">
        <v>557</v>
      </c>
      <c r="D55" s="336" t="s">
        <v>578</v>
      </c>
      <c r="F55" s="344"/>
      <c r="G55" s="345"/>
    </row>
    <row r="56" spans="1:7">
      <c r="A56" s="369" t="s">
        <v>0</v>
      </c>
      <c r="B56" s="338" t="s">
        <v>564</v>
      </c>
      <c r="C56" s="339">
        <v>0.12139343009931244</v>
      </c>
      <c r="D56" s="34">
        <f t="shared" si="2"/>
        <v>121.39343009931244</v>
      </c>
      <c r="F56" s="340" t="s">
        <v>0</v>
      </c>
      <c r="G56" s="345">
        <v>1.6860198624904508</v>
      </c>
    </row>
    <row r="57" spans="1:7">
      <c r="A57" s="369" t="s">
        <v>1</v>
      </c>
      <c r="B57" s="338" t="s">
        <v>564</v>
      </c>
      <c r="C57" s="339">
        <v>0.10854753681148882</v>
      </c>
      <c r="D57" s="34">
        <f t="shared" si="2"/>
        <v>108.54753681148883</v>
      </c>
      <c r="F57" s="340" t="s">
        <v>1</v>
      </c>
      <c r="G57" s="345">
        <v>1.5076046779373449</v>
      </c>
    </row>
    <row r="58" spans="1:7">
      <c r="A58" s="369" t="s">
        <v>2</v>
      </c>
      <c r="D58" s="34"/>
      <c r="F58" s="340" t="s">
        <v>2</v>
      </c>
      <c r="G58" s="345"/>
    </row>
    <row r="59" spans="1:7">
      <c r="A59" s="369" t="s">
        <v>530</v>
      </c>
      <c r="C59" s="339"/>
      <c r="D59" s="34"/>
      <c r="F59" s="340" t="s">
        <v>530</v>
      </c>
      <c r="G59" s="345"/>
    </row>
    <row r="60" spans="1:7" s="346" customFormat="1">
      <c r="A60" s="370" t="s">
        <v>29</v>
      </c>
      <c r="C60" s="347"/>
      <c r="D60" s="355"/>
      <c r="F60" s="352" t="s">
        <v>29</v>
      </c>
      <c r="G60" s="348"/>
    </row>
    <row r="61" spans="1:7" s="346" customFormat="1">
      <c r="A61" s="351" t="s">
        <v>577</v>
      </c>
      <c r="D61" s="355"/>
      <c r="F61" s="352" t="s">
        <v>577</v>
      </c>
      <c r="G61" s="348"/>
    </row>
    <row r="62" spans="1:7" s="346" customFormat="1">
      <c r="A62" s="351" t="s">
        <v>553</v>
      </c>
      <c r="B62" s="346" t="s">
        <v>564</v>
      </c>
      <c r="C62" s="347">
        <v>0.15967364673582315</v>
      </c>
      <c r="D62" s="355">
        <f t="shared" si="2"/>
        <v>159.67364673582316</v>
      </c>
      <c r="F62" s="352" t="s">
        <v>553</v>
      </c>
      <c r="G62" s="348">
        <v>1.3936085748312823</v>
      </c>
    </row>
    <row r="63" spans="1:7" s="346" customFormat="1">
      <c r="A63" s="351" t="s">
        <v>31</v>
      </c>
      <c r="C63" s="347"/>
      <c r="D63" s="355"/>
      <c r="F63" s="352" t="s">
        <v>31</v>
      </c>
      <c r="G63" s="348"/>
    </row>
    <row r="64" spans="1:7" s="366" customFormat="1">
      <c r="A64" s="365" t="s">
        <v>565</v>
      </c>
      <c r="B64" s="365"/>
      <c r="G64" s="367"/>
    </row>
    <row r="65" spans="1:7" s="346" customFormat="1">
      <c r="A65" s="371" t="s">
        <v>3</v>
      </c>
      <c r="B65" s="356" t="s">
        <v>555</v>
      </c>
      <c r="C65" s="356" t="s">
        <v>556</v>
      </c>
      <c r="D65" s="357" t="s">
        <v>556</v>
      </c>
      <c r="F65" s="350"/>
      <c r="G65" s="348"/>
    </row>
    <row r="66" spans="1:7" s="346" customFormat="1">
      <c r="A66" s="372" t="s">
        <v>580</v>
      </c>
      <c r="B66" s="358">
        <v>15000</v>
      </c>
      <c r="C66" s="356" t="s">
        <v>557</v>
      </c>
      <c r="D66" s="356" t="s">
        <v>578</v>
      </c>
      <c r="F66" s="359"/>
      <c r="G66" s="348"/>
    </row>
    <row r="67" spans="1:7" s="351" customFormat="1">
      <c r="A67" s="370" t="s">
        <v>0</v>
      </c>
      <c r="B67" s="346" t="s">
        <v>566</v>
      </c>
      <c r="C67" s="347">
        <v>8.800611153552329E-2</v>
      </c>
      <c r="D67" s="355">
        <f t="shared" ref="D67:D118" si="3">C67*1000</f>
        <v>88.006111535523289</v>
      </c>
      <c r="E67" s="346"/>
      <c r="F67" s="352" t="s">
        <v>0</v>
      </c>
      <c r="G67" s="348">
        <v>1.2223071046600458</v>
      </c>
    </row>
    <row r="68" spans="1:7" s="346" customFormat="1">
      <c r="A68" s="370" t="s">
        <v>1</v>
      </c>
      <c r="B68" s="346" t="s">
        <v>566</v>
      </c>
      <c r="C68" s="347">
        <v>8.3766587893110339E-2</v>
      </c>
      <c r="D68" s="355">
        <f t="shared" si="3"/>
        <v>83.766587893110341</v>
      </c>
      <c r="F68" s="352" t="s">
        <v>1</v>
      </c>
      <c r="G68" s="348">
        <v>1.1634248318487548</v>
      </c>
    </row>
    <row r="69" spans="1:7" s="346" customFormat="1">
      <c r="A69" s="370" t="s">
        <v>2</v>
      </c>
      <c r="B69" s="346" t="s">
        <v>566</v>
      </c>
      <c r="C69" s="347">
        <v>8.2207587439849419E-2</v>
      </c>
      <c r="D69" s="355">
        <f t="shared" si="3"/>
        <v>82.207587439849419</v>
      </c>
      <c r="F69" s="352" t="s">
        <v>2</v>
      </c>
      <c r="G69" s="348">
        <v>1.1109133437817489</v>
      </c>
    </row>
    <row r="70" spans="1:7" s="346" customFormat="1">
      <c r="A70" s="370" t="s">
        <v>530</v>
      </c>
      <c r="B70" s="346" t="s">
        <v>566</v>
      </c>
      <c r="C70" s="347">
        <v>8.673992673992674E-2</v>
      </c>
      <c r="D70" s="355">
        <f t="shared" si="3"/>
        <v>86.739926739926744</v>
      </c>
      <c r="F70" s="352" t="s">
        <v>530</v>
      </c>
      <c r="G70" s="348">
        <v>1.1721611721611722</v>
      </c>
    </row>
    <row r="71" spans="1:7" s="346" customFormat="1">
      <c r="A71" s="370" t="s">
        <v>29</v>
      </c>
      <c r="B71" s="346" t="s">
        <v>566</v>
      </c>
      <c r="C71" s="347">
        <v>5.4883720930232555E-2</v>
      </c>
      <c r="D71" s="355">
        <f t="shared" si="3"/>
        <v>54.883720930232556</v>
      </c>
      <c r="F71" s="352" t="s">
        <v>29</v>
      </c>
      <c r="G71" s="348">
        <v>0.93023255813953487</v>
      </c>
    </row>
    <row r="72" spans="1:7" s="346" customFormat="1">
      <c r="A72" s="370" t="s">
        <v>547</v>
      </c>
      <c r="B72" s="346" t="s">
        <v>566</v>
      </c>
      <c r="C72" s="347">
        <v>7.6895306859205773E-2</v>
      </c>
      <c r="D72" s="355">
        <f t="shared" si="3"/>
        <v>76.895306859205775</v>
      </c>
      <c r="F72" s="352" t="s">
        <v>547</v>
      </c>
      <c r="G72" s="348">
        <v>1.0830324909747293</v>
      </c>
    </row>
    <row r="73" spans="1:7" s="346" customFormat="1">
      <c r="A73" s="371" t="s">
        <v>3</v>
      </c>
      <c r="B73" s="356" t="s">
        <v>555</v>
      </c>
      <c r="C73" s="360" t="s">
        <v>556</v>
      </c>
      <c r="D73" s="357" t="s">
        <v>556</v>
      </c>
      <c r="F73" s="350"/>
      <c r="G73" s="348"/>
    </row>
    <row r="74" spans="1:7" s="346" customFormat="1">
      <c r="A74" s="372" t="s">
        <v>580</v>
      </c>
      <c r="B74" s="358">
        <v>20000</v>
      </c>
      <c r="C74" s="356" t="s">
        <v>557</v>
      </c>
      <c r="D74" s="356" t="s">
        <v>578</v>
      </c>
      <c r="F74" s="359"/>
      <c r="G74" s="348"/>
    </row>
    <row r="75" spans="1:7" s="346" customFormat="1">
      <c r="A75" s="370" t="s">
        <v>0</v>
      </c>
      <c r="B75" s="346" t="s">
        <v>567</v>
      </c>
      <c r="C75" s="347">
        <v>0.12320855614973261</v>
      </c>
      <c r="D75" s="355">
        <f t="shared" si="3"/>
        <v>123.20855614973262</v>
      </c>
      <c r="F75" s="352" t="s">
        <v>0</v>
      </c>
      <c r="G75" s="348">
        <v>1.7112299465240641</v>
      </c>
    </row>
    <row r="76" spans="1:7" s="346" customFormat="1">
      <c r="A76" s="370" t="s">
        <v>1</v>
      </c>
      <c r="B76" s="346" t="s">
        <v>567</v>
      </c>
      <c r="C76" s="347">
        <v>0.11727322305035448</v>
      </c>
      <c r="D76" s="355">
        <f t="shared" si="3"/>
        <v>117.27322305035447</v>
      </c>
      <c r="F76" s="352" t="s">
        <v>1</v>
      </c>
      <c r="G76" s="348">
        <v>1.6287947645882568</v>
      </c>
    </row>
    <row r="77" spans="1:7" s="346" customFormat="1">
      <c r="A77" s="370" t="s">
        <v>2</v>
      </c>
      <c r="B77" s="346" t="s">
        <v>567</v>
      </c>
      <c r="C77" s="347">
        <v>0.11509062241578918</v>
      </c>
      <c r="D77" s="355">
        <f t="shared" si="3"/>
        <v>115.09062241578918</v>
      </c>
      <c r="F77" s="352" t="s">
        <v>2</v>
      </c>
      <c r="G77" s="348">
        <v>1.5552786812944486</v>
      </c>
    </row>
    <row r="78" spans="1:7" s="346" customFormat="1">
      <c r="A78" s="370" t="s">
        <v>530</v>
      </c>
      <c r="B78" s="346" t="s">
        <v>567</v>
      </c>
      <c r="C78" s="347">
        <v>0.12143589743589743</v>
      </c>
      <c r="D78" s="355">
        <f t="shared" si="3"/>
        <v>121.43589743589743</v>
      </c>
      <c r="F78" s="352" t="s">
        <v>530</v>
      </c>
      <c r="G78" s="348">
        <v>1.641025641025641</v>
      </c>
    </row>
    <row r="79" spans="1:7" s="346" customFormat="1">
      <c r="A79" s="370" t="s">
        <v>29</v>
      </c>
      <c r="C79" s="347"/>
      <c r="D79" s="355">
        <f t="shared" si="3"/>
        <v>0</v>
      </c>
      <c r="F79" s="352" t="s">
        <v>29</v>
      </c>
      <c r="G79" s="348">
        <v>0</v>
      </c>
    </row>
    <row r="80" spans="1:7" s="346" customFormat="1">
      <c r="A80" s="370" t="s">
        <v>547</v>
      </c>
      <c r="B80" s="346" t="s">
        <v>567</v>
      </c>
      <c r="C80" s="347">
        <v>0.10765342960288808</v>
      </c>
      <c r="D80" s="355">
        <f t="shared" si="3"/>
        <v>107.65342960288808</v>
      </c>
      <c r="F80" s="352" t="s">
        <v>547</v>
      </c>
      <c r="G80" s="348">
        <v>1.5162454873646209</v>
      </c>
    </row>
    <row r="81" spans="1:8" s="346" customFormat="1">
      <c r="A81" s="371" t="s">
        <v>3</v>
      </c>
      <c r="B81" s="356" t="s">
        <v>555</v>
      </c>
      <c r="C81" s="360" t="s">
        <v>556</v>
      </c>
      <c r="D81" s="357" t="s">
        <v>556</v>
      </c>
      <c r="F81" s="350"/>
      <c r="G81" s="348"/>
    </row>
    <row r="82" spans="1:8" s="346" customFormat="1">
      <c r="A82" s="372" t="s">
        <v>580</v>
      </c>
      <c r="B82" s="358">
        <v>25000</v>
      </c>
      <c r="C82" s="356" t="s">
        <v>557</v>
      </c>
      <c r="D82" s="356" t="s">
        <v>578</v>
      </c>
      <c r="F82" s="359"/>
      <c r="G82" s="348"/>
      <c r="H82" s="351"/>
    </row>
    <row r="83" spans="1:8" s="346" customFormat="1">
      <c r="A83" s="370" t="s">
        <v>0</v>
      </c>
      <c r="B83" s="358"/>
      <c r="C83" s="361"/>
      <c r="D83" s="355"/>
      <c r="F83" s="352" t="s">
        <v>0</v>
      </c>
      <c r="G83" s="348">
        <v>2.1390374331550803</v>
      </c>
    </row>
    <row r="84" spans="1:8" s="346" customFormat="1">
      <c r="A84" s="370" t="s">
        <v>1</v>
      </c>
      <c r="B84" s="346" t="s">
        <v>568</v>
      </c>
      <c r="C84" s="347">
        <v>0.1465915288129431</v>
      </c>
      <c r="D84" s="355">
        <f t="shared" si="3"/>
        <v>146.5915288129431</v>
      </c>
      <c r="F84" s="352" t="s">
        <v>1</v>
      </c>
      <c r="G84" s="348">
        <v>2.035993455735321</v>
      </c>
    </row>
    <row r="85" spans="1:8" s="346" customFormat="1">
      <c r="A85" s="370" t="s">
        <v>2</v>
      </c>
      <c r="B85" s="346" t="s">
        <v>568</v>
      </c>
      <c r="C85" s="347">
        <v>0.1438632780197365</v>
      </c>
      <c r="D85" s="355">
        <f t="shared" si="3"/>
        <v>143.8632780197365</v>
      </c>
      <c r="F85" s="352" t="s">
        <v>2</v>
      </c>
      <c r="G85" s="348">
        <v>1.9440983516180608</v>
      </c>
    </row>
    <row r="86" spans="1:8" s="346" customFormat="1">
      <c r="A86" s="370" t="s">
        <v>530</v>
      </c>
      <c r="B86" s="346" t="s">
        <v>568</v>
      </c>
      <c r="C86" s="347">
        <v>0.15179487179487178</v>
      </c>
      <c r="D86" s="355">
        <f t="shared" si="3"/>
        <v>151.79487179487177</v>
      </c>
      <c r="F86" s="352" t="s">
        <v>530</v>
      </c>
      <c r="G86" s="348">
        <v>2.0512820512820511</v>
      </c>
    </row>
    <row r="87" spans="1:8" s="346" customFormat="1">
      <c r="A87" s="370" t="s">
        <v>29</v>
      </c>
      <c r="B87" s="346" t="s">
        <v>568</v>
      </c>
      <c r="C87" s="347">
        <v>9.6046511627906977E-2</v>
      </c>
      <c r="D87" s="355">
        <f t="shared" si="3"/>
        <v>96.04651162790698</v>
      </c>
      <c r="F87" s="352" t="s">
        <v>29</v>
      </c>
      <c r="G87" s="348">
        <v>1.6279069767441861</v>
      </c>
    </row>
    <row r="88" spans="1:8" s="346" customFormat="1">
      <c r="A88" s="370" t="s">
        <v>547</v>
      </c>
      <c r="B88" s="346" t="s">
        <v>568</v>
      </c>
      <c r="C88" s="347">
        <v>0.13456678700361011</v>
      </c>
      <c r="D88" s="355">
        <f t="shared" si="3"/>
        <v>134.5667870036101</v>
      </c>
      <c r="F88" s="352" t="s">
        <v>547</v>
      </c>
      <c r="G88" s="353">
        <v>1.8953068592057762</v>
      </c>
    </row>
    <row r="89" spans="1:8" s="366" customFormat="1">
      <c r="A89" s="365" t="s">
        <v>569</v>
      </c>
      <c r="B89" s="365"/>
      <c r="G89" s="367"/>
    </row>
    <row r="90" spans="1:8" s="346" customFormat="1">
      <c r="A90" s="371" t="s">
        <v>3</v>
      </c>
      <c r="B90" s="356" t="s">
        <v>555</v>
      </c>
      <c r="C90" s="356" t="s">
        <v>556</v>
      </c>
      <c r="D90" s="357" t="s">
        <v>556</v>
      </c>
      <c r="F90" s="350"/>
      <c r="G90" s="348"/>
    </row>
    <row r="91" spans="1:8" s="346" customFormat="1">
      <c r="A91" s="372" t="s">
        <v>580</v>
      </c>
      <c r="B91" s="358">
        <v>25000</v>
      </c>
      <c r="C91" s="356" t="s">
        <v>557</v>
      </c>
      <c r="D91" s="356" t="s">
        <v>578</v>
      </c>
      <c r="F91" s="359"/>
      <c r="G91" s="348"/>
    </row>
    <row r="92" spans="1:8" s="351" customFormat="1">
      <c r="A92" s="370" t="s">
        <v>0</v>
      </c>
      <c r="B92" s="346" t="s">
        <v>570</v>
      </c>
      <c r="C92" s="347">
        <v>0.16</v>
      </c>
      <c r="D92" s="355">
        <f t="shared" si="3"/>
        <v>160</v>
      </c>
      <c r="E92" s="346"/>
      <c r="F92" s="352" t="s">
        <v>0</v>
      </c>
      <c r="G92" s="348">
        <v>2.1390374331550803</v>
      </c>
    </row>
    <row r="93" spans="1:8" s="346" customFormat="1">
      <c r="A93" s="370" t="s">
        <v>1</v>
      </c>
      <c r="B93" s="346" t="s">
        <v>570</v>
      </c>
      <c r="C93" s="362">
        <v>0.15401069518716576</v>
      </c>
      <c r="D93" s="355">
        <f t="shared" si="3"/>
        <v>154.01069518716577</v>
      </c>
      <c r="F93" s="352" t="s">
        <v>1</v>
      </c>
      <c r="G93" s="348">
        <v>2.035993455735321</v>
      </c>
    </row>
    <row r="94" spans="1:8" s="346" customFormat="1">
      <c r="A94" s="370" t="s">
        <v>2</v>
      </c>
      <c r="B94" s="346" t="s">
        <v>570</v>
      </c>
      <c r="C94" s="362">
        <v>0.1465915288129431</v>
      </c>
      <c r="D94" s="355">
        <f t="shared" si="3"/>
        <v>146.5915288129431</v>
      </c>
      <c r="F94" s="352" t="s">
        <v>2</v>
      </c>
      <c r="G94" s="348">
        <v>1.9440983516180608</v>
      </c>
    </row>
    <row r="95" spans="1:8" s="346" customFormat="1">
      <c r="A95" s="370" t="s">
        <v>530</v>
      </c>
      <c r="B95" s="346" t="s">
        <v>570</v>
      </c>
      <c r="C95" s="347">
        <v>0.1465915288129431</v>
      </c>
      <c r="D95" s="355">
        <f t="shared" si="3"/>
        <v>146.5915288129431</v>
      </c>
      <c r="F95" s="352" t="s">
        <v>530</v>
      </c>
      <c r="G95" s="348">
        <v>2.0512820512820511</v>
      </c>
    </row>
    <row r="96" spans="1:8" s="346" customFormat="1">
      <c r="A96" s="351" t="s">
        <v>29</v>
      </c>
      <c r="B96" s="346" t="s">
        <v>570</v>
      </c>
      <c r="C96" s="347">
        <v>0.11</v>
      </c>
      <c r="D96" s="347">
        <f t="shared" si="3"/>
        <v>110</v>
      </c>
      <c r="F96" s="352" t="s">
        <v>29</v>
      </c>
      <c r="G96" s="348">
        <v>1.6279069767441861</v>
      </c>
    </row>
    <row r="97" spans="1:11" s="346" customFormat="1">
      <c r="A97" s="370" t="s">
        <v>577</v>
      </c>
      <c r="B97" s="346" t="s">
        <v>570</v>
      </c>
      <c r="C97" s="347">
        <v>0.1605700710712846</v>
      </c>
      <c r="D97" s="355">
        <f t="shared" si="3"/>
        <v>160.57007107128459</v>
      </c>
      <c r="F97" s="351" t="s">
        <v>577</v>
      </c>
    </row>
    <row r="98" spans="1:11" s="366" customFormat="1">
      <c r="A98" s="365" t="s">
        <v>571</v>
      </c>
      <c r="B98" s="365"/>
      <c r="G98" s="367"/>
    </row>
    <row r="99" spans="1:11" s="346" customFormat="1">
      <c r="A99" s="371" t="s">
        <v>3</v>
      </c>
      <c r="B99" s="356" t="s">
        <v>555</v>
      </c>
      <c r="C99" s="356" t="s">
        <v>556</v>
      </c>
      <c r="D99" s="357" t="s">
        <v>556</v>
      </c>
      <c r="F99" s="350"/>
      <c r="G99" s="348"/>
    </row>
    <row r="100" spans="1:11" s="346" customFormat="1">
      <c r="A100" s="372" t="s">
        <v>580</v>
      </c>
      <c r="B100" s="358">
        <v>8000</v>
      </c>
      <c r="C100" s="356" t="s">
        <v>557</v>
      </c>
      <c r="D100" s="356" t="s">
        <v>578</v>
      </c>
      <c r="F100" s="359"/>
      <c r="G100" s="348"/>
    </row>
    <row r="101" spans="1:11" s="351" customFormat="1">
      <c r="A101" s="370" t="s">
        <v>0</v>
      </c>
      <c r="B101" s="346"/>
      <c r="C101" s="347">
        <v>1.2375859434682963E-2</v>
      </c>
      <c r="D101" s="355">
        <f t="shared" si="3"/>
        <v>12.375859434682964</v>
      </c>
      <c r="E101" s="346"/>
      <c r="F101" s="352" t="s">
        <v>0</v>
      </c>
      <c r="G101" s="348">
        <v>0.17188693659281895</v>
      </c>
    </row>
    <row r="102" spans="1:11" s="346" customFormat="1">
      <c r="A102" s="373" t="s">
        <v>1</v>
      </c>
      <c r="C102" s="347">
        <v>1.1779676422468641E-2</v>
      </c>
      <c r="D102" s="355">
        <f t="shared" si="3"/>
        <v>11.779676422468642</v>
      </c>
      <c r="F102" s="352" t="s">
        <v>1</v>
      </c>
      <c r="G102" s="348">
        <v>0.16360661697873113</v>
      </c>
      <c r="I102" s="359"/>
      <c r="J102" s="348"/>
      <c r="K102" s="349"/>
    </row>
    <row r="103" spans="1:11" s="346" customFormat="1">
      <c r="A103" s="370" t="s">
        <v>29</v>
      </c>
      <c r="C103" s="347"/>
      <c r="D103" s="355">
        <f>C103*1000</f>
        <v>0</v>
      </c>
      <c r="F103" s="352" t="s">
        <v>29</v>
      </c>
      <c r="G103" s="348">
        <v>0.1308139534883721</v>
      </c>
      <c r="K103" s="352"/>
    </row>
    <row r="104" spans="1:11" s="346" customFormat="1">
      <c r="A104" s="370" t="s">
        <v>577</v>
      </c>
      <c r="C104" s="347"/>
      <c r="D104" s="355">
        <f>C104*1000</f>
        <v>0</v>
      </c>
      <c r="F104" s="352" t="s">
        <v>577</v>
      </c>
      <c r="G104" s="348">
        <v>0.1523014440433213</v>
      </c>
      <c r="I104" s="352"/>
      <c r="J104" s="348"/>
      <c r="K104" s="352"/>
    </row>
    <row r="105" spans="1:11" s="366" customFormat="1">
      <c r="A105" s="365" t="s">
        <v>572</v>
      </c>
      <c r="B105" s="365"/>
      <c r="G105" s="367"/>
    </row>
    <row r="106" spans="1:11" s="346" customFormat="1">
      <c r="A106" s="371" t="s">
        <v>3</v>
      </c>
      <c r="B106" s="356" t="s">
        <v>555</v>
      </c>
      <c r="C106" s="356" t="s">
        <v>556</v>
      </c>
      <c r="D106" s="357" t="s">
        <v>556</v>
      </c>
      <c r="F106" s="350"/>
      <c r="G106" s="348"/>
      <c r="I106" s="352"/>
      <c r="J106" s="348"/>
      <c r="K106" s="352"/>
    </row>
    <row r="107" spans="1:11" s="346" customFormat="1">
      <c r="A107" s="372" t="s">
        <v>580</v>
      </c>
      <c r="B107" s="358">
        <v>2000</v>
      </c>
      <c r="C107" s="356" t="s">
        <v>557</v>
      </c>
      <c r="D107" s="356" t="s">
        <v>578</v>
      </c>
      <c r="F107" s="359"/>
      <c r="G107" s="348"/>
      <c r="I107" s="352"/>
      <c r="J107" s="348"/>
      <c r="K107" s="352"/>
    </row>
    <row r="108" spans="1:11" s="351" customFormat="1">
      <c r="A108" s="370" t="s">
        <v>0</v>
      </c>
      <c r="B108" s="346" t="s">
        <v>573</v>
      </c>
      <c r="C108" s="347">
        <v>2.7501909854851028E-2</v>
      </c>
      <c r="D108" s="355">
        <f t="shared" si="3"/>
        <v>27.501909854851029</v>
      </c>
      <c r="E108" s="346"/>
      <c r="F108" s="352" t="s">
        <v>0</v>
      </c>
      <c r="G108" s="348">
        <v>0.3819709702062643</v>
      </c>
    </row>
    <row r="109" spans="1:11" s="346" customFormat="1">
      <c r="A109" s="370" t="s">
        <v>1</v>
      </c>
      <c r="B109" s="346" t="s">
        <v>573</v>
      </c>
      <c r="C109" s="347">
        <v>2.6177058716596979E-2</v>
      </c>
      <c r="D109" s="355">
        <f t="shared" si="3"/>
        <v>26.177058716596978</v>
      </c>
      <c r="F109" s="352" t="s">
        <v>1</v>
      </c>
      <c r="G109" s="348">
        <v>0.36357025995273584</v>
      </c>
    </row>
    <row r="110" spans="1:11" s="366" customFormat="1">
      <c r="A110" s="365" t="s">
        <v>574</v>
      </c>
      <c r="B110" s="365"/>
      <c r="G110" s="367"/>
    </row>
    <row r="111" spans="1:11" s="346" customFormat="1">
      <c r="A111" s="371" t="s">
        <v>3</v>
      </c>
      <c r="B111" s="356" t="s">
        <v>555</v>
      </c>
      <c r="C111" s="356" t="s">
        <v>556</v>
      </c>
      <c r="D111" s="357" t="s">
        <v>556</v>
      </c>
      <c r="F111" s="350"/>
      <c r="G111" s="348"/>
    </row>
    <row r="112" spans="1:11" s="346" customFormat="1">
      <c r="A112" s="372" t="s">
        <v>580</v>
      </c>
      <c r="B112" s="358">
        <v>30000</v>
      </c>
      <c r="C112" s="356" t="s">
        <v>557</v>
      </c>
      <c r="D112" s="356" t="s">
        <v>578</v>
      </c>
      <c r="F112" s="359"/>
      <c r="G112" s="348"/>
    </row>
    <row r="113" spans="1:7" s="351" customFormat="1">
      <c r="A113" s="370" t="s">
        <v>0</v>
      </c>
      <c r="B113" s="363">
        <v>8</v>
      </c>
      <c r="C113" s="347">
        <v>0.44003055767761645</v>
      </c>
      <c r="D113" s="355">
        <f t="shared" si="3"/>
        <v>440.03055767761646</v>
      </c>
      <c r="E113" s="346"/>
      <c r="F113" s="352" t="s">
        <v>0</v>
      </c>
      <c r="G113" s="348">
        <v>6.1115355233002289</v>
      </c>
    </row>
    <row r="114" spans="1:7" s="346" customFormat="1">
      <c r="A114" s="373" t="s">
        <v>1</v>
      </c>
      <c r="B114" s="363">
        <v>8</v>
      </c>
      <c r="C114" s="347">
        <v>0.41883293946555167</v>
      </c>
      <c r="D114" s="355">
        <f t="shared" si="3"/>
        <v>418.83293946555165</v>
      </c>
      <c r="F114" s="352" t="s">
        <v>1</v>
      </c>
      <c r="G114" s="348">
        <v>5.8171241592437735</v>
      </c>
    </row>
    <row r="115" spans="1:7" s="346" customFormat="1">
      <c r="A115" s="373" t="s">
        <v>2</v>
      </c>
      <c r="B115" s="363">
        <v>8</v>
      </c>
      <c r="C115" s="347">
        <v>0.41103793719924708</v>
      </c>
      <c r="D115" s="355">
        <f t="shared" si="3"/>
        <v>411.0379371992471</v>
      </c>
      <c r="F115" s="352" t="s">
        <v>2</v>
      </c>
      <c r="G115" s="348">
        <v>5.5545667189087444</v>
      </c>
    </row>
    <row r="116" spans="1:7" s="346" customFormat="1">
      <c r="A116" s="373" t="s">
        <v>530</v>
      </c>
      <c r="B116" s="363">
        <v>8</v>
      </c>
      <c r="C116" s="347">
        <v>0.43369963369963366</v>
      </c>
      <c r="D116" s="355">
        <f t="shared" si="3"/>
        <v>433.69963369963364</v>
      </c>
      <c r="F116" s="352" t="s">
        <v>530</v>
      </c>
      <c r="G116" s="348">
        <v>5.8608058608058604</v>
      </c>
    </row>
    <row r="117" spans="1:7" s="346" customFormat="1">
      <c r="A117" s="373" t="s">
        <v>29</v>
      </c>
      <c r="B117" s="363">
        <v>8</v>
      </c>
      <c r="C117" s="347">
        <v>0.2744186046511628</v>
      </c>
      <c r="D117" s="355">
        <f t="shared" si="3"/>
        <v>274.41860465116281</v>
      </c>
      <c r="F117" s="352" t="s">
        <v>29</v>
      </c>
      <c r="G117" s="348">
        <v>4.6511627906976747</v>
      </c>
    </row>
    <row r="118" spans="1:7" s="346" customFormat="1">
      <c r="A118" s="373" t="s">
        <v>547</v>
      </c>
      <c r="B118" s="363">
        <v>8</v>
      </c>
      <c r="C118" s="347">
        <v>0.3844765342960289</v>
      </c>
      <c r="D118" s="355">
        <f t="shared" si="3"/>
        <v>384.47653429602889</v>
      </c>
      <c r="F118" s="352" t="s">
        <v>547</v>
      </c>
      <c r="G118" s="348">
        <v>5.4151624548736468</v>
      </c>
    </row>
    <row r="119" spans="1:7" s="366" customFormat="1">
      <c r="A119" s="365" t="s">
        <v>575</v>
      </c>
      <c r="B119" s="365"/>
      <c r="G119" s="367"/>
    </row>
    <row r="120" spans="1:7" s="346" customFormat="1">
      <c r="A120" s="371" t="s">
        <v>3</v>
      </c>
      <c r="B120" s="356" t="s">
        <v>555</v>
      </c>
      <c r="C120" s="356" t="s">
        <v>556</v>
      </c>
      <c r="D120" s="357" t="s">
        <v>556</v>
      </c>
      <c r="F120" s="359"/>
      <c r="G120" s="348"/>
    </row>
    <row r="121" spans="1:7" s="346" customFormat="1">
      <c r="A121" s="372" t="s">
        <v>580</v>
      </c>
      <c r="B121" s="358">
        <v>50000</v>
      </c>
      <c r="C121" s="356" t="s">
        <v>557</v>
      </c>
      <c r="D121" s="356" t="s">
        <v>578</v>
      </c>
    </row>
    <row r="122" spans="1:7" s="351" customFormat="1">
      <c r="A122" s="370" t="s">
        <v>0</v>
      </c>
      <c r="B122" s="363">
        <v>28</v>
      </c>
      <c r="C122" s="364">
        <v>1.6501145912910617</v>
      </c>
      <c r="D122" s="355">
        <f t="shared" ref="D122:D137" si="4">C122*1000</f>
        <v>1650.1145912910617</v>
      </c>
      <c r="E122" s="346"/>
      <c r="F122" s="352" t="s">
        <v>0</v>
      </c>
      <c r="G122" s="348">
        <v>22.918258212375861</v>
      </c>
    </row>
    <row r="123" spans="1:7" s="346" customFormat="1">
      <c r="A123" s="373" t="s">
        <v>1</v>
      </c>
      <c r="B123" s="363">
        <v>28</v>
      </c>
      <c r="C123" s="364">
        <v>1.570623522995819</v>
      </c>
      <c r="D123" s="355">
        <f t="shared" si="4"/>
        <v>1570.623522995819</v>
      </c>
      <c r="F123" s="352" t="s">
        <v>1</v>
      </c>
      <c r="G123" s="348">
        <v>21.814215597164154</v>
      </c>
    </row>
    <row r="124" spans="1:7" s="346" customFormat="1">
      <c r="A124" s="373" t="s">
        <v>2</v>
      </c>
      <c r="B124" s="363">
        <v>28</v>
      </c>
      <c r="C124" s="364">
        <v>1.5413922644971765</v>
      </c>
      <c r="D124" s="355">
        <f t="shared" si="4"/>
        <v>1541.3922644971765</v>
      </c>
      <c r="F124" s="352" t="s">
        <v>2</v>
      </c>
      <c r="G124" s="348">
        <v>20.829625195907791</v>
      </c>
    </row>
    <row r="125" spans="1:7" s="346" customFormat="1">
      <c r="A125" s="373" t="s">
        <v>530</v>
      </c>
      <c r="B125" s="363">
        <v>28</v>
      </c>
      <c r="C125" s="364">
        <v>1.6263736263736264</v>
      </c>
      <c r="D125" s="355">
        <f t="shared" si="4"/>
        <v>1626.3736263736264</v>
      </c>
      <c r="F125" s="352" t="s">
        <v>530</v>
      </c>
      <c r="G125" s="348">
        <v>21.978021978021978</v>
      </c>
    </row>
    <row r="126" spans="1:7" s="346" customFormat="1">
      <c r="A126" s="373" t="s">
        <v>29</v>
      </c>
      <c r="B126" s="363"/>
      <c r="C126" s="364"/>
      <c r="D126" s="355"/>
      <c r="F126" s="352" t="s">
        <v>29</v>
      </c>
      <c r="G126" s="348">
        <v>17.441860465116278</v>
      </c>
    </row>
    <row r="127" spans="1:7" s="346" customFormat="1">
      <c r="A127" s="373" t="s">
        <v>547</v>
      </c>
      <c r="B127" s="363">
        <v>28</v>
      </c>
      <c r="C127" s="364">
        <v>1.4417870036101081</v>
      </c>
      <c r="D127" s="355">
        <f t="shared" si="4"/>
        <v>1441.7870036101081</v>
      </c>
      <c r="F127" s="352" t="s">
        <v>547</v>
      </c>
      <c r="G127" s="348">
        <v>20.306859205776174</v>
      </c>
    </row>
    <row r="128" spans="1:7" s="366" customFormat="1">
      <c r="A128" s="365" t="s">
        <v>204</v>
      </c>
      <c r="B128" s="365"/>
      <c r="G128" s="367"/>
    </row>
    <row r="129" spans="1:7" s="346" customFormat="1">
      <c r="A129" s="371" t="s">
        <v>3</v>
      </c>
      <c r="B129" s="356" t="s">
        <v>555</v>
      </c>
      <c r="C129" s="356" t="s">
        <v>556</v>
      </c>
      <c r="D129" s="357" t="s">
        <v>556</v>
      </c>
      <c r="F129" s="359"/>
      <c r="G129" s="348"/>
    </row>
    <row r="130" spans="1:7" s="346" customFormat="1">
      <c r="A130" s="372" t="s">
        <v>580</v>
      </c>
      <c r="B130" s="358">
        <v>50000</v>
      </c>
      <c r="C130" s="356" t="s">
        <v>557</v>
      </c>
      <c r="D130" s="356" t="s">
        <v>578</v>
      </c>
      <c r="F130" s="352" t="s">
        <v>0</v>
      </c>
      <c r="G130" s="348">
        <v>12.605042016806722</v>
      </c>
    </row>
    <row r="131" spans="1:7" s="351" customFormat="1">
      <c r="A131" s="370" t="s">
        <v>0</v>
      </c>
      <c r="B131" s="363">
        <v>26.5</v>
      </c>
      <c r="C131" s="347">
        <v>0.90756302521008392</v>
      </c>
      <c r="D131" s="355">
        <f t="shared" si="4"/>
        <v>907.56302521008388</v>
      </c>
      <c r="E131" s="346"/>
      <c r="F131" s="352" t="s">
        <v>1</v>
      </c>
      <c r="G131" s="348">
        <v>11.997818578440283</v>
      </c>
    </row>
    <row r="132" spans="1:7" s="346" customFormat="1">
      <c r="A132" s="373" t="s">
        <v>1</v>
      </c>
      <c r="B132" s="363">
        <v>26.5</v>
      </c>
      <c r="C132" s="347">
        <v>0.86384293764770026</v>
      </c>
      <c r="D132" s="355">
        <f t="shared" si="4"/>
        <v>863.8429376477003</v>
      </c>
      <c r="F132" s="352" t="s">
        <v>2</v>
      </c>
      <c r="G132" s="348">
        <v>11.456293857749285</v>
      </c>
    </row>
    <row r="133" spans="1:7" s="346" customFormat="1">
      <c r="A133" s="373" t="s">
        <v>2</v>
      </c>
      <c r="B133" s="363">
        <v>26.5</v>
      </c>
      <c r="C133" s="347">
        <v>0.84776574547344707</v>
      </c>
      <c r="D133" s="355">
        <f t="shared" si="4"/>
        <v>847.76574547344705</v>
      </c>
      <c r="F133" s="352" t="s">
        <v>530</v>
      </c>
      <c r="G133" s="348">
        <v>12.087912087912088</v>
      </c>
    </row>
    <row r="134" spans="1:7" s="346" customFormat="1">
      <c r="A134" s="373" t="s">
        <v>530</v>
      </c>
      <c r="B134" s="363">
        <v>26.5</v>
      </c>
      <c r="C134" s="347">
        <v>0.89450549450549444</v>
      </c>
      <c r="D134" s="355">
        <f t="shared" si="4"/>
        <v>894.50549450549443</v>
      </c>
      <c r="F134" s="352"/>
      <c r="G134" s="348"/>
    </row>
    <row r="135" spans="1:7" s="346" customFormat="1">
      <c r="A135" s="373" t="s">
        <v>29</v>
      </c>
      <c r="B135" s="363">
        <v>26.5</v>
      </c>
      <c r="C135" s="347">
        <v>0.56598837209302322</v>
      </c>
      <c r="D135" s="355">
        <f t="shared" si="4"/>
        <v>565.98837209302326</v>
      </c>
      <c r="F135" s="352" t="s">
        <v>29</v>
      </c>
      <c r="G135" s="348">
        <v>9.5930232558139537</v>
      </c>
    </row>
    <row r="136" spans="1:7" s="346" customFormat="1">
      <c r="A136" s="373" t="s">
        <v>547</v>
      </c>
      <c r="B136" s="363">
        <v>26.5</v>
      </c>
      <c r="C136" s="347">
        <v>0.79298285198555951</v>
      </c>
      <c r="D136" s="355">
        <f t="shared" si="4"/>
        <v>792.98285198555948</v>
      </c>
      <c r="F136" s="352" t="s">
        <v>547</v>
      </c>
      <c r="G136" s="348">
        <v>11.168772563176896</v>
      </c>
    </row>
    <row r="137" spans="1:7" s="346" customFormat="1">
      <c r="A137" s="374" t="s">
        <v>579</v>
      </c>
      <c r="F137" s="352" t="s">
        <v>579</v>
      </c>
      <c r="G137" s="348">
        <v>9.825327510917031</v>
      </c>
    </row>
    <row r="138" spans="1:7" s="346" customFormat="1">
      <c r="A138" s="373" t="s">
        <v>31</v>
      </c>
      <c r="B138" s="363">
        <v>26.5</v>
      </c>
      <c r="C138" s="347">
        <v>0.60566334556895651</v>
      </c>
      <c r="D138" s="355">
        <f>C138*1000</f>
        <v>605.66334556895652</v>
      </c>
      <c r="F138" s="352" t="s">
        <v>31</v>
      </c>
      <c r="G138" s="348">
        <v>8.6523335081279491</v>
      </c>
    </row>
    <row r="139" spans="1:7">
      <c r="D139" s="338"/>
      <c r="F139" s="338"/>
      <c r="G139" s="338"/>
    </row>
    <row r="140" spans="1:7">
      <c r="D140" s="338"/>
      <c r="F140" s="338"/>
      <c r="G140" s="338"/>
    </row>
    <row r="141" spans="1:7">
      <c r="D141" s="338"/>
      <c r="F141" s="338"/>
      <c r="G141" s="338"/>
    </row>
    <row r="142" spans="1:7">
      <c r="G142" s="345"/>
    </row>
    <row r="143" spans="1:7">
      <c r="G143" s="345"/>
    </row>
    <row r="144" spans="1:7">
      <c r="F144" s="342"/>
      <c r="G144" s="345"/>
    </row>
    <row r="145" spans="6:7">
      <c r="F145" s="338"/>
      <c r="G145" s="338"/>
    </row>
    <row r="146" spans="6:7">
      <c r="F146" s="338"/>
      <c r="G146" s="338"/>
    </row>
    <row r="147" spans="6:7">
      <c r="F147" s="338"/>
      <c r="G147" s="338"/>
    </row>
    <row r="148" spans="6:7">
      <c r="F148" s="338"/>
      <c r="G148" s="338"/>
    </row>
    <row r="149" spans="6:7">
      <c r="F149" s="338"/>
      <c r="G149" s="338"/>
    </row>
    <row r="150" spans="6:7">
      <c r="F150" s="338"/>
      <c r="G150" s="338"/>
    </row>
    <row r="154" spans="6:7">
      <c r="F154" s="338"/>
      <c r="G154" s="338"/>
    </row>
    <row r="155" spans="6:7">
      <c r="G155" s="345"/>
    </row>
    <row r="156" spans="6:7">
      <c r="G156" s="345"/>
    </row>
    <row r="157" spans="6:7">
      <c r="G157" s="345"/>
    </row>
    <row r="158" spans="6:7">
      <c r="F158" s="338"/>
      <c r="G158" s="338"/>
    </row>
    <row r="159" spans="6:7">
      <c r="F159" s="338"/>
      <c r="G159" s="338"/>
    </row>
    <row r="160" spans="6:7">
      <c r="F160" s="338"/>
      <c r="G160" s="338"/>
    </row>
    <row r="161" spans="6:7">
      <c r="F161" s="338"/>
      <c r="G161" s="338"/>
    </row>
    <row r="162" spans="6:7">
      <c r="F162" s="338"/>
      <c r="G162" s="338"/>
    </row>
    <row r="163" spans="6:7">
      <c r="F163" s="338"/>
      <c r="G163" s="338"/>
    </row>
    <row r="164" spans="6:7">
      <c r="F164" s="338"/>
      <c r="G164" s="338"/>
    </row>
    <row r="168" spans="6:7">
      <c r="F168" s="338"/>
      <c r="G168" s="338"/>
    </row>
    <row r="169" spans="6:7">
      <c r="G169" s="345"/>
    </row>
    <row r="170" spans="6:7">
      <c r="G170" s="345"/>
    </row>
    <row r="171" spans="6:7">
      <c r="G171" s="345"/>
    </row>
    <row r="172" spans="6:7">
      <c r="F172" s="338"/>
      <c r="G172" s="338"/>
    </row>
    <row r="173" spans="6:7">
      <c r="F173" s="338"/>
      <c r="G173" s="338"/>
    </row>
    <row r="174" spans="6:7">
      <c r="F174" s="338"/>
      <c r="G174" s="338"/>
    </row>
    <row r="175" spans="6:7">
      <c r="F175" s="338"/>
      <c r="G175" s="338"/>
    </row>
    <row r="176" spans="6:7">
      <c r="G176" s="345"/>
    </row>
    <row r="177" spans="6:7">
      <c r="G177" s="345"/>
    </row>
    <row r="178" spans="6:7">
      <c r="G178" s="345"/>
    </row>
    <row r="179" spans="6:7">
      <c r="G179" s="345"/>
    </row>
    <row r="180" spans="6:7">
      <c r="G180" s="345"/>
    </row>
    <row r="181" spans="6:7">
      <c r="G181" s="345"/>
    </row>
    <row r="182" spans="6:7">
      <c r="G182" s="345"/>
    </row>
    <row r="183" spans="6:7">
      <c r="G183" s="345"/>
    </row>
    <row r="184" spans="6:7">
      <c r="G184" s="345"/>
    </row>
    <row r="185" spans="6:7">
      <c r="G185" s="345"/>
    </row>
    <row r="186" spans="6:7">
      <c r="F186" s="342"/>
      <c r="G186" s="345"/>
    </row>
    <row r="187" spans="6:7">
      <c r="F187" s="338"/>
      <c r="G187" s="338"/>
    </row>
    <row r="188" spans="6:7">
      <c r="F188" s="338"/>
      <c r="G188" s="338"/>
    </row>
    <row r="189" spans="6:7">
      <c r="F189" s="338"/>
      <c r="G189" s="338"/>
    </row>
    <row r="190" spans="6:7">
      <c r="F190" s="338"/>
      <c r="G190" s="338"/>
    </row>
    <row r="191" spans="6:7">
      <c r="F191" s="338"/>
      <c r="G191" s="338"/>
    </row>
    <row r="192" spans="6:7">
      <c r="F192" s="338"/>
      <c r="G192" s="338"/>
    </row>
    <row r="194" spans="6:7">
      <c r="F194" s="338"/>
      <c r="G194" s="338"/>
    </row>
    <row r="195" spans="6:7">
      <c r="F195" s="338"/>
      <c r="G195" s="338"/>
    </row>
    <row r="196" spans="6:7">
      <c r="F196" s="338"/>
      <c r="G196" s="338"/>
    </row>
    <row r="197" spans="6:7">
      <c r="G197" s="345"/>
    </row>
    <row r="198" spans="6:7">
      <c r="F198" s="342"/>
      <c r="G198" s="345"/>
    </row>
    <row r="199" spans="6:7">
      <c r="F199" s="344"/>
      <c r="G199" s="345"/>
    </row>
    <row r="200" spans="6:7">
      <c r="G200" s="345"/>
    </row>
    <row r="201" spans="6:7">
      <c r="G201" s="345"/>
    </row>
    <row r="202" spans="6:7">
      <c r="G202" s="345"/>
    </row>
    <row r="203" spans="6:7">
      <c r="G203" s="345"/>
    </row>
    <row r="204" spans="6:7">
      <c r="G204" s="345"/>
    </row>
    <row r="205" spans="6:7">
      <c r="G205" s="345"/>
    </row>
    <row r="206" spans="6:7">
      <c r="F206" s="342"/>
      <c r="G206" s="345"/>
    </row>
    <row r="207" spans="6:7">
      <c r="F207" s="344"/>
      <c r="G207" s="345"/>
    </row>
    <row r="208" spans="6:7">
      <c r="G208" s="345"/>
    </row>
    <row r="209" spans="6:7">
      <c r="G209" s="345"/>
    </row>
    <row r="210" spans="6:7">
      <c r="G210" s="345"/>
    </row>
    <row r="211" spans="6:7">
      <c r="G211" s="345"/>
    </row>
    <row r="212" spans="6:7">
      <c r="G212" s="345"/>
    </row>
    <row r="213" spans="6:7">
      <c r="F213" s="342"/>
      <c r="G213" s="345"/>
    </row>
    <row r="214" spans="6:7">
      <c r="F214" s="344"/>
      <c r="G214" s="345"/>
    </row>
    <row r="215" spans="6:7">
      <c r="G215" s="345"/>
    </row>
    <row r="216" spans="6:7">
      <c r="G216" s="345"/>
    </row>
    <row r="217" spans="6:7">
      <c r="G217" s="345"/>
    </row>
    <row r="218" spans="6:7">
      <c r="F218" s="342"/>
      <c r="G218" s="345"/>
    </row>
    <row r="219" spans="6:7">
      <c r="F219" s="344"/>
      <c r="G219" s="345"/>
    </row>
    <row r="220" spans="6:7">
      <c r="G220" s="345"/>
    </row>
    <row r="221" spans="6:7">
      <c r="G221" s="345"/>
    </row>
    <row r="222" spans="6:7">
      <c r="G222" s="345"/>
    </row>
    <row r="223" spans="6:7">
      <c r="G223" s="345"/>
    </row>
    <row r="224" spans="6:7">
      <c r="F224" s="342"/>
      <c r="G224" s="345"/>
    </row>
    <row r="225" spans="6:7">
      <c r="F225" s="344"/>
      <c r="G225" s="345"/>
    </row>
    <row r="226" spans="6:7">
      <c r="G226" s="345"/>
    </row>
    <row r="227" spans="6:7">
      <c r="G227" s="345"/>
    </row>
    <row r="228" spans="6:7">
      <c r="G228" s="345"/>
    </row>
    <row r="229" spans="6:7">
      <c r="G229" s="345"/>
    </row>
    <row r="230" spans="6:7">
      <c r="G230" s="345"/>
    </row>
    <row r="231" spans="6:7">
      <c r="G231" s="34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F556-586E-46E3-9594-A356FFD8F0AD}">
  <dimension ref="A1:BC77"/>
  <sheetViews>
    <sheetView topLeftCell="U70" zoomScaleNormal="100" workbookViewId="0">
      <selection activeCell="Z3" sqref="Z3:Z73"/>
    </sheetView>
  </sheetViews>
  <sheetFormatPr defaultRowHeight="14.5"/>
  <cols>
    <col min="1" max="1" width="10.90625" bestFit="1" customWidth="1"/>
    <col min="2" max="2" width="15" bestFit="1" customWidth="1"/>
    <col min="3" max="3" width="12" bestFit="1" customWidth="1"/>
    <col min="4" max="4" width="17.453125" bestFit="1" customWidth="1"/>
    <col min="5" max="5" width="12.81640625" customWidth="1"/>
    <col min="6" max="6" width="23.81640625" bestFit="1" customWidth="1"/>
    <col min="7" max="7" width="31.6328125" customWidth="1"/>
    <col min="9" max="9" width="9.81640625" customWidth="1"/>
    <col min="12" max="13" width="11.36328125" customWidth="1"/>
    <col min="14" max="14" width="9" customWidth="1"/>
    <col min="15" max="15" width="8.90625" customWidth="1"/>
    <col min="16" max="16" width="8.6328125" customWidth="1"/>
    <col min="17" max="17" width="8.7265625" customWidth="1"/>
    <col min="18" max="18" width="11.6328125" customWidth="1"/>
    <col min="19" max="19" width="10.90625" customWidth="1"/>
    <col min="20" max="20" width="11.453125" customWidth="1"/>
    <col min="21" max="21" width="12.36328125" style="9" bestFit="1" customWidth="1"/>
    <col min="22" max="22" width="12.36328125" customWidth="1"/>
    <col min="23" max="23" width="11.54296875" customWidth="1"/>
    <col min="24" max="24" width="13.26953125" customWidth="1"/>
    <col min="25" max="25" width="16.1796875" bestFit="1" customWidth="1"/>
    <col min="26" max="26" width="17.36328125" bestFit="1" customWidth="1"/>
  </cols>
  <sheetData>
    <row r="1" spans="1:55">
      <c r="A1" s="3" t="s">
        <v>3</v>
      </c>
      <c r="B1" s="3" t="s">
        <v>541</v>
      </c>
      <c r="C1" s="15" t="s">
        <v>32</v>
      </c>
      <c r="D1" s="16" t="s">
        <v>20</v>
      </c>
      <c r="E1" s="16" t="s">
        <v>36</v>
      </c>
      <c r="F1" s="127" t="s">
        <v>58</v>
      </c>
      <c r="G1" s="16"/>
      <c r="H1" s="321" t="s">
        <v>38</v>
      </c>
      <c r="I1" s="322"/>
      <c r="J1" s="323"/>
      <c r="K1" s="321" t="s">
        <v>37</v>
      </c>
      <c r="L1" s="322"/>
      <c r="M1" s="322"/>
      <c r="N1" s="322"/>
      <c r="O1" s="322"/>
      <c r="P1" s="322"/>
      <c r="Q1" s="322"/>
      <c r="R1" s="322"/>
      <c r="S1" s="322"/>
      <c r="T1" s="323"/>
      <c r="U1" s="315" t="s">
        <v>6</v>
      </c>
      <c r="V1" s="321" t="s">
        <v>40</v>
      </c>
      <c r="W1" s="323"/>
      <c r="X1" s="321" t="s">
        <v>63</v>
      </c>
      <c r="Y1" s="322"/>
      <c r="Z1" s="323"/>
      <c r="AA1" s="3"/>
      <c r="AC1" s="3"/>
      <c r="AD1" s="3"/>
      <c r="AK1" t="s">
        <v>436</v>
      </c>
    </row>
    <row r="2" spans="1:55" s="5" customFormat="1">
      <c r="A2" s="4" t="s">
        <v>464</v>
      </c>
      <c r="B2" s="4"/>
      <c r="C2" s="7"/>
      <c r="D2" s="4"/>
      <c r="E2" s="4"/>
      <c r="F2" s="8"/>
      <c r="G2" s="4"/>
      <c r="H2" s="7" t="s">
        <v>82</v>
      </c>
      <c r="I2" s="4" t="s">
        <v>85</v>
      </c>
      <c r="J2" s="8" t="s">
        <v>66</v>
      </c>
      <c r="K2" s="7" t="s">
        <v>503</v>
      </c>
      <c r="L2" s="4" t="s">
        <v>42</v>
      </c>
      <c r="M2" s="4" t="s">
        <v>76</v>
      </c>
      <c r="N2" s="4" t="s">
        <v>268</v>
      </c>
      <c r="O2" s="4" t="s">
        <v>271</v>
      </c>
      <c r="P2" s="4" t="s">
        <v>272</v>
      </c>
      <c r="Q2" s="4" t="s">
        <v>289</v>
      </c>
      <c r="R2" s="4" t="s">
        <v>290</v>
      </c>
      <c r="S2" s="4" t="s">
        <v>291</v>
      </c>
      <c r="T2" s="8" t="s">
        <v>292</v>
      </c>
      <c r="U2" s="316" t="s">
        <v>277</v>
      </c>
      <c r="V2" s="7" t="s">
        <v>471</v>
      </c>
      <c r="W2" s="8" t="s">
        <v>465</v>
      </c>
      <c r="X2" s="7" t="s">
        <v>522</v>
      </c>
      <c r="Y2" s="4" t="s">
        <v>543</v>
      </c>
      <c r="Z2" s="295" t="s">
        <v>544</v>
      </c>
      <c r="AA2" s="4"/>
      <c r="AC2" s="4"/>
      <c r="AD2" s="4"/>
      <c r="AK2" s="5" t="s">
        <v>370</v>
      </c>
      <c r="AL2" s="5" t="s">
        <v>371</v>
      </c>
    </row>
    <row r="3" spans="1:55">
      <c r="A3" s="333" t="s">
        <v>0</v>
      </c>
      <c r="B3" s="247" t="s">
        <v>550</v>
      </c>
      <c r="C3" s="19" t="s">
        <v>33</v>
      </c>
      <c r="D3" s="2" t="s">
        <v>133</v>
      </c>
      <c r="E3" t="s">
        <v>470</v>
      </c>
      <c r="F3" s="135" t="s">
        <v>182</v>
      </c>
      <c r="G3" s="277">
        <v>15000</v>
      </c>
      <c r="H3" s="161">
        <v>62</v>
      </c>
      <c r="I3" s="48"/>
      <c r="J3" s="165"/>
      <c r="K3" s="154">
        <v>5.6</v>
      </c>
      <c r="L3" s="157"/>
      <c r="M3" s="157"/>
      <c r="N3" s="157">
        <f t="shared" ref="N3:N17" si="0">1/(K3/100)</f>
        <v>17.857142857142858</v>
      </c>
      <c r="O3" s="80"/>
      <c r="P3" s="80"/>
      <c r="T3" s="11"/>
      <c r="U3" s="235">
        <f>N3/'Fuels, properties and prices'!$F$3</f>
        <v>0.55623923538019737</v>
      </c>
      <c r="V3" s="10"/>
      <c r="W3" s="11">
        <v>2100</v>
      </c>
      <c r="X3" s="160">
        <v>17185.84</v>
      </c>
      <c r="Y3" s="47">
        <f>1.213*X3</f>
        <v>20846.423920000001</v>
      </c>
      <c r="Z3" s="296">
        <f>ROUND(Y3/(G3)/0.001,-1)</f>
        <v>1390</v>
      </c>
      <c r="AK3" s="6">
        <v>0.02</v>
      </c>
      <c r="AM3" t="s">
        <v>0</v>
      </c>
    </row>
    <row r="4" spans="1:55">
      <c r="A4" s="333"/>
      <c r="B4" s="11" t="s">
        <v>551</v>
      </c>
      <c r="C4" s="19" t="s">
        <v>72</v>
      </c>
      <c r="D4" s="2" t="s">
        <v>164</v>
      </c>
      <c r="E4" s="2" t="s">
        <v>165</v>
      </c>
      <c r="F4" s="135" t="s">
        <v>182</v>
      </c>
      <c r="G4" s="277">
        <v>15000</v>
      </c>
      <c r="H4" s="170">
        <v>75</v>
      </c>
      <c r="I4" s="171"/>
      <c r="J4" s="175"/>
      <c r="K4" s="169">
        <v>5.4</v>
      </c>
      <c r="L4" s="49"/>
      <c r="M4" s="49"/>
      <c r="N4" s="157">
        <f t="shared" si="0"/>
        <v>18.518518518518515</v>
      </c>
      <c r="O4" s="80"/>
      <c r="P4" s="80"/>
      <c r="T4" s="11"/>
      <c r="U4" s="235">
        <f>N4/'Fuels, properties and prices'!$F$3</f>
        <v>0.57684068854242676</v>
      </c>
      <c r="V4" s="10"/>
      <c r="W4" s="11">
        <v>2020</v>
      </c>
      <c r="X4" s="161">
        <v>14750</v>
      </c>
      <c r="Y4" s="47">
        <f t="shared" ref="Y4:Y67" si="1">1.213*X4</f>
        <v>17891.75</v>
      </c>
      <c r="Z4" s="296">
        <f t="shared" ref="Z4:Z67" si="2">ROUND(Y4/(G4)/0.001,-1)</f>
        <v>1190</v>
      </c>
      <c r="AK4" s="6">
        <v>0.97</v>
      </c>
      <c r="AM4" t="s">
        <v>1</v>
      </c>
    </row>
    <row r="5" spans="1:55">
      <c r="A5" s="333"/>
      <c r="C5" s="19" t="s">
        <v>118</v>
      </c>
      <c r="D5" s="2" t="s">
        <v>144</v>
      </c>
      <c r="E5" s="2" t="s">
        <v>176</v>
      </c>
      <c r="F5" s="135" t="s">
        <v>182</v>
      </c>
      <c r="G5" s="277">
        <v>15000</v>
      </c>
      <c r="H5" s="170">
        <v>84</v>
      </c>
      <c r="I5" s="171"/>
      <c r="J5" s="175"/>
      <c r="K5" s="169">
        <v>6</v>
      </c>
      <c r="L5" s="49"/>
      <c r="M5" s="49"/>
      <c r="N5" s="157">
        <f t="shared" si="0"/>
        <v>16.666666666666668</v>
      </c>
      <c r="O5" s="172"/>
      <c r="P5" s="172"/>
      <c r="T5" s="11"/>
      <c r="U5" s="235">
        <f>N5/'Fuels, properties and prices'!$F$3</f>
        <v>0.51915661968818416</v>
      </c>
      <c r="V5" s="19">
        <v>1420</v>
      </c>
      <c r="W5" s="11">
        <v>1945</v>
      </c>
      <c r="X5" s="160">
        <v>17600</v>
      </c>
      <c r="Y5" s="47">
        <f t="shared" si="1"/>
        <v>21348.800000000003</v>
      </c>
      <c r="Z5" s="296">
        <f t="shared" si="2"/>
        <v>1420</v>
      </c>
      <c r="AK5" s="6">
        <v>0</v>
      </c>
      <c r="AM5" t="s">
        <v>29</v>
      </c>
    </row>
    <row r="6" spans="1:55">
      <c r="A6" s="333"/>
      <c r="C6" s="19" t="s">
        <v>69</v>
      </c>
      <c r="D6" s="2" t="s">
        <v>474</v>
      </c>
      <c r="E6" s="30">
        <v>1.6</v>
      </c>
      <c r="F6" s="135" t="s">
        <v>182</v>
      </c>
      <c r="G6" s="277">
        <v>15000</v>
      </c>
      <c r="H6" s="170">
        <v>81</v>
      </c>
      <c r="I6" s="171"/>
      <c r="J6" s="175"/>
      <c r="K6" s="169">
        <v>6.3</v>
      </c>
      <c r="L6" s="49"/>
      <c r="M6" s="49"/>
      <c r="N6" s="157">
        <f t="shared" si="0"/>
        <v>15.873015873015873</v>
      </c>
      <c r="O6" s="172"/>
      <c r="P6" s="172"/>
      <c r="T6" s="11"/>
      <c r="U6" s="235">
        <f>N6/'Fuels, properties and prices'!$F$3</f>
        <v>0.49443487589350876</v>
      </c>
      <c r="V6" s="19">
        <v>1450</v>
      </c>
      <c r="W6" s="11">
        <v>2100</v>
      </c>
      <c r="X6" s="160">
        <v>14332</v>
      </c>
      <c r="Y6" s="47">
        <f t="shared" si="1"/>
        <v>17384.716</v>
      </c>
      <c r="Z6" s="296">
        <f t="shared" si="2"/>
        <v>1160</v>
      </c>
      <c r="AK6" s="6">
        <v>0</v>
      </c>
      <c r="AM6" t="s">
        <v>2</v>
      </c>
    </row>
    <row r="7" spans="1:55">
      <c r="A7" s="333"/>
      <c r="C7" s="19" t="s">
        <v>352</v>
      </c>
      <c r="D7" s="2" t="s">
        <v>467</v>
      </c>
      <c r="E7" s="30" t="s">
        <v>468</v>
      </c>
      <c r="F7" s="135" t="s">
        <v>182</v>
      </c>
      <c r="G7" s="277">
        <v>15000</v>
      </c>
      <c r="H7" s="170">
        <v>81</v>
      </c>
      <c r="I7" s="171"/>
      <c r="J7" s="175"/>
      <c r="K7" s="169">
        <v>5.5</v>
      </c>
      <c r="L7" s="49"/>
      <c r="M7" s="49"/>
      <c r="N7" s="157">
        <f t="shared" si="0"/>
        <v>18.181818181818183</v>
      </c>
      <c r="O7" s="172"/>
      <c r="P7" s="172"/>
      <c r="T7" s="11"/>
      <c r="U7" s="235">
        <f>N7/'Fuels, properties and prices'!$F$3</f>
        <v>0.56635267602347372</v>
      </c>
      <c r="V7" s="19"/>
      <c r="W7" s="11">
        <v>1990</v>
      </c>
      <c r="X7" s="160">
        <v>16079.278688524586</v>
      </c>
      <c r="Y7" s="47">
        <f t="shared" si="1"/>
        <v>19504.165049180323</v>
      </c>
      <c r="Z7" s="296">
        <f t="shared" si="2"/>
        <v>1300</v>
      </c>
      <c r="AK7" s="6">
        <v>0.01</v>
      </c>
      <c r="AM7" t="s">
        <v>28</v>
      </c>
    </row>
    <row r="8" spans="1:55">
      <c r="A8" s="333"/>
      <c r="C8" s="19" t="s">
        <v>174</v>
      </c>
      <c r="D8" s="2" t="s">
        <v>145</v>
      </c>
      <c r="E8" s="30" t="s">
        <v>210</v>
      </c>
      <c r="F8" s="135" t="s">
        <v>182</v>
      </c>
      <c r="G8" s="277">
        <v>15000</v>
      </c>
      <c r="H8" s="170">
        <v>70</v>
      </c>
      <c r="I8" s="171"/>
      <c r="J8" s="175"/>
      <c r="K8" s="169">
        <v>7.4</v>
      </c>
      <c r="L8" s="49"/>
      <c r="M8" s="49"/>
      <c r="N8" s="157">
        <f t="shared" si="0"/>
        <v>13.513513513513512</v>
      </c>
      <c r="O8" s="172"/>
      <c r="P8" s="172"/>
      <c r="T8" s="11"/>
      <c r="U8" s="235">
        <f>N8/'Fuels, properties and prices'!$F$3</f>
        <v>0.42093779974717632</v>
      </c>
      <c r="V8" s="19"/>
      <c r="W8" s="11">
        <v>2020</v>
      </c>
      <c r="X8" s="160">
        <v>19700</v>
      </c>
      <c r="Y8" s="47">
        <f t="shared" si="1"/>
        <v>23896.100000000002</v>
      </c>
      <c r="Z8" s="296">
        <f t="shared" si="2"/>
        <v>1590</v>
      </c>
      <c r="AK8" s="6">
        <v>0</v>
      </c>
      <c r="AM8" t="s">
        <v>29</v>
      </c>
    </row>
    <row r="9" spans="1:55" s="9" customFormat="1">
      <c r="A9" s="333"/>
      <c r="B9"/>
      <c r="C9" s="224" t="s">
        <v>267</v>
      </c>
      <c r="D9" s="225"/>
      <c r="E9" s="225"/>
      <c r="F9" s="135" t="s">
        <v>182</v>
      </c>
      <c r="G9" s="277">
        <v>15000</v>
      </c>
      <c r="H9" s="227">
        <f>AVERAGE(H3:H8)</f>
        <v>75.5</v>
      </c>
      <c r="I9" s="228"/>
      <c r="J9" s="229"/>
      <c r="K9" s="230">
        <f>AVERAGE(K3:K8)</f>
        <v>6.0333333333333341</v>
      </c>
      <c r="L9" s="231"/>
      <c r="M9" s="231"/>
      <c r="N9" s="232">
        <f t="shared" si="0"/>
        <v>16.574585635359114</v>
      </c>
      <c r="O9" s="231"/>
      <c r="P9" s="231"/>
      <c r="Q9" s="233"/>
      <c r="R9" s="233"/>
      <c r="S9" s="233"/>
      <c r="T9" s="234"/>
      <c r="U9" s="235">
        <f>N9/'Fuels, properties and prices'!$F$3</f>
        <v>0.51628835107112225</v>
      </c>
      <c r="V9" s="236"/>
      <c r="W9" s="229">
        <f>AVERAGE(W3:W8)</f>
        <v>2029.1666666666667</v>
      </c>
      <c r="X9" s="237">
        <f>AVERAGE(X3:X8)</f>
        <v>16607.853114754096</v>
      </c>
      <c r="Y9" s="47">
        <f t="shared" si="1"/>
        <v>20145.325828196721</v>
      </c>
      <c r="Z9" s="296">
        <f t="shared" si="2"/>
        <v>1340</v>
      </c>
      <c r="AA9"/>
      <c r="AB9"/>
      <c r="AC9"/>
      <c r="AD9"/>
      <c r="AE9"/>
      <c r="AF9"/>
      <c r="AG9"/>
      <c r="AH9"/>
      <c r="AI9"/>
      <c r="AJ9"/>
      <c r="AK9" s="6">
        <v>0</v>
      </c>
      <c r="AL9"/>
      <c r="AM9" t="s">
        <v>30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5">
      <c r="A10" s="333"/>
      <c r="C10" s="19"/>
      <c r="D10" s="2"/>
      <c r="E10" s="30"/>
      <c r="F10" s="11"/>
      <c r="H10" s="169">
        <f>H9*H28</f>
        <v>100.83585434173669</v>
      </c>
      <c r="I10" s="171"/>
      <c r="J10" s="175"/>
      <c r="K10" s="169">
        <f>K9*K28</f>
        <v>8.2882154882154904</v>
      </c>
      <c r="L10" s="49"/>
      <c r="M10" s="49"/>
      <c r="N10" s="232">
        <f t="shared" si="0"/>
        <v>12.065323366915823</v>
      </c>
      <c r="O10" s="172"/>
      <c r="P10" s="172"/>
      <c r="T10" s="11"/>
      <c r="U10" s="235">
        <f>N10/'Fuels, properties and prices'!$F$3</f>
        <v>0.37582754967677279</v>
      </c>
      <c r="V10" s="19"/>
      <c r="W10" s="49">
        <f>W9*W28</f>
        <v>2854.8184764772095</v>
      </c>
      <c r="X10" s="169">
        <f>X9*X28</f>
        <v>24500.611150901419</v>
      </c>
      <c r="Y10" s="47">
        <f t="shared" si="1"/>
        <v>29719.241326043422</v>
      </c>
      <c r="Z10" s="296" t="e">
        <f t="shared" si="2"/>
        <v>#DIV/0!</v>
      </c>
      <c r="AK10" s="6">
        <v>0</v>
      </c>
      <c r="AM10" t="s">
        <v>21</v>
      </c>
    </row>
    <row r="11" spans="1:55">
      <c r="A11" s="333"/>
      <c r="C11" s="19" t="s">
        <v>33</v>
      </c>
      <c r="D11" s="2" t="s">
        <v>139</v>
      </c>
      <c r="E11" s="30" t="s">
        <v>477</v>
      </c>
      <c r="F11" s="137" t="s">
        <v>186</v>
      </c>
      <c r="G11" s="283">
        <v>20000</v>
      </c>
      <c r="H11" s="170">
        <v>110</v>
      </c>
      <c r="I11" s="171"/>
      <c r="J11" s="175"/>
      <c r="K11" s="169">
        <v>9.5</v>
      </c>
      <c r="L11" s="49"/>
      <c r="M11" s="49"/>
      <c r="N11" s="157">
        <f t="shared" si="0"/>
        <v>10.526315789473685</v>
      </c>
      <c r="O11" s="172"/>
      <c r="P11" s="172"/>
      <c r="T11" s="11"/>
      <c r="U11" s="235">
        <f>N11/'Fuels, properties and prices'!$F$3</f>
        <v>0.32788839138201109</v>
      </c>
      <c r="V11" s="19"/>
      <c r="W11" s="11">
        <v>2850</v>
      </c>
      <c r="X11" s="160">
        <v>24612.885245901649</v>
      </c>
      <c r="Y11" s="47">
        <f t="shared" si="1"/>
        <v>29855.429803278701</v>
      </c>
      <c r="Z11" s="296">
        <f t="shared" si="2"/>
        <v>1490</v>
      </c>
      <c r="AK11" s="6">
        <v>0</v>
      </c>
      <c r="AM11" t="s">
        <v>31</v>
      </c>
    </row>
    <row r="12" spans="1:55">
      <c r="A12" s="333"/>
      <c r="C12" s="42" t="s">
        <v>267</v>
      </c>
      <c r="D12" s="43"/>
      <c r="E12" s="43"/>
      <c r="F12" s="137" t="s">
        <v>186</v>
      </c>
      <c r="G12" s="283">
        <v>20000</v>
      </c>
      <c r="H12" s="164">
        <f>AVERAGE(H11)</f>
        <v>110</v>
      </c>
      <c r="I12" s="134"/>
      <c r="J12" s="149"/>
      <c r="K12" s="156">
        <f>AVERAGE(K11)</f>
        <v>9.5</v>
      </c>
      <c r="L12" s="50"/>
      <c r="M12" s="50"/>
      <c r="N12" s="157">
        <f t="shared" si="0"/>
        <v>10.526315789473685</v>
      </c>
      <c r="O12" s="50"/>
      <c r="P12" s="50"/>
      <c r="Q12" s="44"/>
      <c r="R12" s="44"/>
      <c r="S12" s="44"/>
      <c r="T12" s="45"/>
      <c r="U12" s="235">
        <f>N12/'Fuels, properties and prices'!$F$3</f>
        <v>0.32788839138201109</v>
      </c>
      <c r="V12" s="148"/>
      <c r="W12" s="45">
        <f>AVERAGE(W11)</f>
        <v>2850</v>
      </c>
      <c r="X12" s="151">
        <f>AVERAGE(X11)</f>
        <v>24612.885245901649</v>
      </c>
      <c r="Y12" s="47">
        <f t="shared" si="1"/>
        <v>29855.429803278701</v>
      </c>
      <c r="Z12" s="296">
        <f t="shared" si="2"/>
        <v>1490</v>
      </c>
    </row>
    <row r="13" spans="1:55">
      <c r="A13" s="333"/>
      <c r="C13" s="138" t="s">
        <v>480</v>
      </c>
      <c r="D13" s="91"/>
      <c r="E13" s="91"/>
      <c r="F13" s="139"/>
      <c r="G13" s="91"/>
      <c r="H13" s="162">
        <f>AVERAGE(H12,H9)</f>
        <v>92.75</v>
      </c>
      <c r="I13" s="128"/>
      <c r="J13" s="163"/>
      <c r="K13" s="155">
        <f>AVERAGE(K12,K9)</f>
        <v>7.7666666666666675</v>
      </c>
      <c r="L13" s="173"/>
      <c r="M13" s="173"/>
      <c r="N13" s="157">
        <f t="shared" si="0"/>
        <v>12.875536480686694</v>
      </c>
      <c r="O13" s="173"/>
      <c r="P13" s="173"/>
      <c r="Q13" s="93"/>
      <c r="R13" s="93"/>
      <c r="S13" s="93"/>
      <c r="T13" s="144"/>
      <c r="U13" s="245">
        <f>N13/'Fuels, properties and prices'!$F$3</f>
        <v>0.4010651997591122</v>
      </c>
      <c r="V13" s="150"/>
      <c r="W13" s="144">
        <f>AVERAGE(W12,W9)</f>
        <v>2439.5833333333335</v>
      </c>
      <c r="X13" s="162">
        <f>AVERAGE(X12,X9)</f>
        <v>20610.369180327871</v>
      </c>
      <c r="Y13" s="47">
        <f t="shared" si="1"/>
        <v>25000.377815737709</v>
      </c>
      <c r="Z13" s="296" t="e">
        <f t="shared" si="2"/>
        <v>#DIV/0!</v>
      </c>
      <c r="AD13" s="6"/>
      <c r="AE13" s="6"/>
    </row>
    <row r="14" spans="1:55">
      <c r="A14" s="332" t="s">
        <v>1</v>
      </c>
      <c r="B14" s="247" t="s">
        <v>550</v>
      </c>
      <c r="C14" s="19" t="s">
        <v>72</v>
      </c>
      <c r="D14" s="2" t="s">
        <v>164</v>
      </c>
      <c r="E14" s="2" t="s">
        <v>166</v>
      </c>
      <c r="F14" s="135" t="s">
        <v>182</v>
      </c>
      <c r="G14" s="277">
        <v>15000</v>
      </c>
      <c r="H14" s="170">
        <v>75</v>
      </c>
      <c r="I14" s="171"/>
      <c r="J14" s="175"/>
      <c r="K14" s="169">
        <v>4.3</v>
      </c>
      <c r="L14" s="49"/>
      <c r="M14" s="49"/>
      <c r="N14" s="157">
        <f>1/(K14/100)</f>
        <v>23.255813953488374</v>
      </c>
      <c r="O14" s="80"/>
      <c r="P14" s="80"/>
      <c r="T14" s="11"/>
      <c r="U14" s="235">
        <f>N14/'Fuels, properties and prices'!$F$4</f>
        <v>0.66134163202448981</v>
      </c>
      <c r="V14" s="10"/>
      <c r="W14" s="11">
        <v>2040</v>
      </c>
      <c r="X14" s="161">
        <v>17000</v>
      </c>
      <c r="Y14" s="47">
        <f t="shared" si="1"/>
        <v>20621</v>
      </c>
      <c r="Z14" s="296">
        <f t="shared" si="2"/>
        <v>1370</v>
      </c>
    </row>
    <row r="15" spans="1:55">
      <c r="A15" s="332"/>
      <c r="B15" s="11" t="s">
        <v>551</v>
      </c>
      <c r="C15" s="19" t="s">
        <v>33</v>
      </c>
      <c r="D15" s="2" t="s">
        <v>133</v>
      </c>
      <c r="E15" t="s">
        <v>134</v>
      </c>
      <c r="F15" s="135" t="s">
        <v>182</v>
      </c>
      <c r="G15" s="277">
        <v>15000</v>
      </c>
      <c r="H15" s="161">
        <v>75</v>
      </c>
      <c r="I15" s="48"/>
      <c r="J15" s="165"/>
      <c r="K15" s="154">
        <v>4.5999999999999996</v>
      </c>
      <c r="L15" s="157"/>
      <c r="M15" s="157"/>
      <c r="N15" s="157">
        <f t="shared" si="0"/>
        <v>21.739130434782609</v>
      </c>
      <c r="O15" s="172"/>
      <c r="P15" s="172"/>
      <c r="T15" s="11"/>
      <c r="U15" s="235">
        <f>N15/'Fuels, properties and prices'!$F$4</f>
        <v>0.6182106560228926</v>
      </c>
      <c r="V15" s="10"/>
      <c r="W15" s="11">
        <v>2211</v>
      </c>
      <c r="X15" s="160">
        <v>18160</v>
      </c>
      <c r="Y15" s="47">
        <f t="shared" si="1"/>
        <v>22028.080000000002</v>
      </c>
      <c r="Z15" s="296">
        <f t="shared" si="2"/>
        <v>1470</v>
      </c>
    </row>
    <row r="16" spans="1:55">
      <c r="A16" s="332"/>
      <c r="C16" s="19" t="s">
        <v>140</v>
      </c>
      <c r="D16" s="2" t="s">
        <v>141</v>
      </c>
      <c r="E16" s="2" t="s">
        <v>159</v>
      </c>
      <c r="F16" s="135" t="s">
        <v>182</v>
      </c>
      <c r="G16" s="277">
        <v>15000</v>
      </c>
      <c r="H16" s="170">
        <v>75</v>
      </c>
      <c r="I16" s="171"/>
      <c r="J16" s="175"/>
      <c r="K16" s="169">
        <v>4.5999999999999996</v>
      </c>
      <c r="L16" s="49"/>
      <c r="M16" s="49"/>
      <c r="N16" s="157">
        <f t="shared" si="0"/>
        <v>21.739130434782609</v>
      </c>
      <c r="O16" s="172"/>
      <c r="P16" s="172"/>
      <c r="T16" s="11"/>
      <c r="U16" s="235">
        <f>N16/'Fuels, properties and prices'!$F$4</f>
        <v>0.6182106560228926</v>
      </c>
      <c r="V16" s="10"/>
      <c r="W16" s="11">
        <v>1995</v>
      </c>
      <c r="X16" s="160">
        <v>16172.13</v>
      </c>
      <c r="Y16" s="47">
        <f t="shared" si="1"/>
        <v>19616.793689999999</v>
      </c>
      <c r="Z16" s="296">
        <f t="shared" si="2"/>
        <v>1310</v>
      </c>
    </row>
    <row r="17" spans="1:55">
      <c r="A17" s="332"/>
      <c r="C17" s="19" t="s">
        <v>142</v>
      </c>
      <c r="D17" s="2" t="s">
        <v>143</v>
      </c>
      <c r="E17" s="2" t="s">
        <v>161</v>
      </c>
      <c r="F17" s="135" t="s">
        <v>182</v>
      </c>
      <c r="G17" s="277">
        <v>15000</v>
      </c>
      <c r="H17" s="170">
        <v>75</v>
      </c>
      <c r="I17" s="171"/>
      <c r="J17" s="175"/>
      <c r="K17" s="169">
        <v>4.2</v>
      </c>
      <c r="L17" s="49"/>
      <c r="M17" s="49"/>
      <c r="N17" s="157">
        <f t="shared" si="0"/>
        <v>23.809523809523807</v>
      </c>
      <c r="O17" s="172"/>
      <c r="P17" s="172"/>
      <c r="T17" s="11"/>
      <c r="U17" s="235">
        <f>N17/'Fuels, properties and prices'!$F$4</f>
        <v>0.67708786135840604</v>
      </c>
      <c r="V17" s="10"/>
      <c r="W17" s="11">
        <v>1930</v>
      </c>
      <c r="X17" s="160">
        <v>11950.82</v>
      </c>
      <c r="Y17" s="47">
        <f t="shared" si="1"/>
        <v>14496.344660000001</v>
      </c>
      <c r="Z17" s="296">
        <f t="shared" si="2"/>
        <v>970</v>
      </c>
    </row>
    <row r="18" spans="1:55">
      <c r="A18" s="332"/>
      <c r="C18" s="19" t="s">
        <v>118</v>
      </c>
      <c r="D18" s="2" t="s">
        <v>144</v>
      </c>
      <c r="E18" s="2" t="s">
        <v>177</v>
      </c>
      <c r="F18" s="135" t="s">
        <v>182</v>
      </c>
      <c r="G18" s="277">
        <v>15000</v>
      </c>
      <c r="H18" s="170">
        <v>66</v>
      </c>
      <c r="I18" s="171"/>
      <c r="J18" s="175"/>
      <c r="K18" s="169">
        <v>4</v>
      </c>
      <c r="L18" s="49"/>
      <c r="M18" s="49"/>
      <c r="N18" s="157">
        <f>1/(K18/100)</f>
        <v>25</v>
      </c>
      <c r="O18" s="172"/>
      <c r="P18" s="172"/>
      <c r="T18" s="11"/>
      <c r="U18" s="235">
        <f>N18/'Fuels, properties and prices'!$F$4</f>
        <v>0.71094225442632653</v>
      </c>
      <c r="V18" s="10"/>
      <c r="W18" s="11">
        <v>2100</v>
      </c>
      <c r="X18" s="160">
        <v>16950</v>
      </c>
      <c r="Y18" s="47">
        <f t="shared" si="1"/>
        <v>20560.350000000002</v>
      </c>
      <c r="Z18" s="296">
        <f t="shared" si="2"/>
        <v>1370</v>
      </c>
    </row>
    <row r="19" spans="1:55">
      <c r="A19" s="332"/>
      <c r="C19" s="10" t="s">
        <v>69</v>
      </c>
      <c r="D19" t="s">
        <v>178</v>
      </c>
      <c r="E19" t="s">
        <v>179</v>
      </c>
      <c r="F19" s="135" t="s">
        <v>182</v>
      </c>
      <c r="G19" s="277">
        <v>15000</v>
      </c>
      <c r="H19" s="161">
        <v>66</v>
      </c>
      <c r="I19" s="48"/>
      <c r="J19" s="165"/>
      <c r="K19" s="154">
        <v>5.0999999999999996</v>
      </c>
      <c r="L19" s="157"/>
      <c r="M19" s="157"/>
      <c r="N19" s="157">
        <f>1/(K19/100)</f>
        <v>19.607843137254903</v>
      </c>
      <c r="O19" s="80"/>
      <c r="P19" s="80"/>
      <c r="T19" s="11"/>
      <c r="U19" s="235">
        <f>N19/'Fuels, properties and prices'!$F$4</f>
        <v>0.55760176817751095</v>
      </c>
      <c r="V19" s="10"/>
      <c r="W19" s="11">
        <v>2100</v>
      </c>
      <c r="X19" s="161">
        <v>14332</v>
      </c>
      <c r="Y19" s="47">
        <f t="shared" si="1"/>
        <v>17384.716</v>
      </c>
      <c r="Z19" s="296">
        <f t="shared" si="2"/>
        <v>1160</v>
      </c>
      <c r="AK19" s="314"/>
    </row>
    <row r="20" spans="1:55">
      <c r="A20" s="332"/>
      <c r="C20" s="19" t="s">
        <v>174</v>
      </c>
      <c r="D20" s="2" t="s">
        <v>145</v>
      </c>
      <c r="E20" s="30" t="s">
        <v>212</v>
      </c>
      <c r="F20" s="135" t="s">
        <v>182</v>
      </c>
      <c r="G20" s="277">
        <v>15000</v>
      </c>
      <c r="H20" s="170">
        <v>88</v>
      </c>
      <c r="I20" s="171"/>
      <c r="J20" s="175"/>
      <c r="K20" s="169">
        <v>5.2</v>
      </c>
      <c r="L20" s="49"/>
      <c r="M20" s="49"/>
      <c r="N20" s="157">
        <f>1/(K20/100)</f>
        <v>19.23076923076923</v>
      </c>
      <c r="O20" s="172"/>
      <c r="P20" s="172"/>
      <c r="T20" s="11"/>
      <c r="U20" s="235">
        <f>N20/'Fuels, properties and prices'!$F$4</f>
        <v>0.54687865725102036</v>
      </c>
      <c r="V20" s="10"/>
      <c r="W20" s="11">
        <v>2020</v>
      </c>
      <c r="X20" s="160">
        <v>21700</v>
      </c>
      <c r="Y20" s="47">
        <f t="shared" si="1"/>
        <v>26322.100000000002</v>
      </c>
      <c r="Z20" s="296">
        <f t="shared" si="2"/>
        <v>1750</v>
      </c>
      <c r="AK20" s="314"/>
    </row>
    <row r="21" spans="1:55">
      <c r="A21" s="332"/>
      <c r="C21" s="19" t="s">
        <v>352</v>
      </c>
      <c r="D21" s="2" t="s">
        <v>467</v>
      </c>
      <c r="E21" s="30" t="s">
        <v>469</v>
      </c>
      <c r="F21" s="135" t="s">
        <v>182</v>
      </c>
      <c r="G21" s="277">
        <v>15000</v>
      </c>
      <c r="H21" s="170">
        <v>75</v>
      </c>
      <c r="I21" s="171"/>
      <c r="J21" s="175"/>
      <c r="K21" s="169">
        <v>4.3</v>
      </c>
      <c r="L21" s="49"/>
      <c r="M21" s="49"/>
      <c r="N21" s="157">
        <f>1/(K21/100)</f>
        <v>23.255813953488374</v>
      </c>
      <c r="O21" s="172"/>
      <c r="P21" s="172"/>
      <c r="T21" s="11"/>
      <c r="U21" s="235">
        <f>N21/'Fuels, properties and prices'!$F$4</f>
        <v>0.66134163202448981</v>
      </c>
      <c r="V21" s="10"/>
      <c r="W21" s="11">
        <v>1990</v>
      </c>
      <c r="X21" s="160">
        <v>16898.950819672129</v>
      </c>
      <c r="Y21" s="47">
        <f t="shared" si="1"/>
        <v>20498.427344262294</v>
      </c>
      <c r="Z21" s="296">
        <f t="shared" si="2"/>
        <v>1370</v>
      </c>
    </row>
    <row r="22" spans="1:55">
      <c r="A22" s="332"/>
      <c r="C22" s="42" t="s">
        <v>267</v>
      </c>
      <c r="D22" s="43"/>
      <c r="E22" s="43"/>
      <c r="F22" s="135" t="s">
        <v>182</v>
      </c>
      <c r="G22" s="277">
        <v>15000</v>
      </c>
      <c r="H22" s="164">
        <f>AVERAGE(H14:H21)</f>
        <v>74.375</v>
      </c>
      <c r="I22" s="134"/>
      <c r="J22" s="149"/>
      <c r="K22" s="156">
        <f>AVERAGE(K14:K21)</f>
        <v>4.5374999999999996</v>
      </c>
      <c r="L22" s="50"/>
      <c r="M22" s="50"/>
      <c r="N22" s="157">
        <f>1/(K22/100)</f>
        <v>22.03856749311295</v>
      </c>
      <c r="O22" s="50"/>
      <c r="P22" s="50"/>
      <c r="Q22" s="44"/>
      <c r="R22" s="44"/>
      <c r="S22" s="44"/>
      <c r="T22" s="45"/>
      <c r="U22" s="235">
        <f>N22/'Fuels, properties and prices'!$F$4</f>
        <v>0.62672595431521905</v>
      </c>
      <c r="V22" s="148"/>
      <c r="W22" s="45">
        <f>AVERAGE(W14:W21)</f>
        <v>2048.25</v>
      </c>
      <c r="X22" s="164">
        <f>AVERAGE(X14:X21)</f>
        <v>16645.487602459016</v>
      </c>
      <c r="Y22" s="47">
        <f t="shared" si="1"/>
        <v>20190.976461782786</v>
      </c>
      <c r="Z22" s="296">
        <f t="shared" si="2"/>
        <v>1350</v>
      </c>
    </row>
    <row r="23" spans="1:55">
      <c r="A23" s="332"/>
      <c r="C23" s="10"/>
      <c r="F23" s="11"/>
      <c r="H23" s="161"/>
      <c r="I23" s="48"/>
      <c r="J23" s="165"/>
      <c r="K23" s="154"/>
      <c r="L23" s="157"/>
      <c r="M23" s="157"/>
      <c r="N23" s="157"/>
      <c r="O23" s="157"/>
      <c r="P23" s="157"/>
      <c r="T23" s="11"/>
      <c r="U23" s="235"/>
      <c r="V23" s="10"/>
      <c r="W23" s="11"/>
      <c r="X23" s="161"/>
      <c r="Y23" s="47"/>
      <c r="Z23" s="296" t="e">
        <f t="shared" si="2"/>
        <v>#DIV/0!</v>
      </c>
      <c r="AK23" s="314"/>
    </row>
    <row r="24" spans="1:55">
      <c r="A24" s="332"/>
      <c r="C24" s="10" t="s">
        <v>174</v>
      </c>
      <c r="D24" t="s">
        <v>472</v>
      </c>
      <c r="E24" t="s">
        <v>473</v>
      </c>
      <c r="F24" s="137" t="s">
        <v>186</v>
      </c>
      <c r="G24" s="283">
        <v>20000</v>
      </c>
      <c r="H24" s="161">
        <v>92</v>
      </c>
      <c r="I24" s="48"/>
      <c r="J24" s="165"/>
      <c r="K24" s="154">
        <v>5.6</v>
      </c>
      <c r="L24" s="157"/>
      <c r="M24" s="157"/>
      <c r="N24" s="157">
        <f>1/(K24/100)</f>
        <v>17.857142857142858</v>
      </c>
      <c r="O24" s="80"/>
      <c r="P24" s="80"/>
      <c r="T24" s="11"/>
      <c r="U24" s="235">
        <f>N24/'Fuels, properties and prices'!$F$4</f>
        <v>0.50781589601880461</v>
      </c>
      <c r="V24" s="10"/>
      <c r="W24" s="11">
        <v>2845</v>
      </c>
      <c r="X24" s="160">
        <v>23600</v>
      </c>
      <c r="Y24" s="47">
        <f t="shared" si="1"/>
        <v>28626.800000000003</v>
      </c>
      <c r="Z24" s="296">
        <f t="shared" si="2"/>
        <v>1430</v>
      </c>
      <c r="AK24" s="314"/>
    </row>
    <row r="25" spans="1:55">
      <c r="A25" s="332"/>
      <c r="C25" s="19" t="s">
        <v>33</v>
      </c>
      <c r="D25" s="2" t="s">
        <v>139</v>
      </c>
      <c r="E25" t="s">
        <v>155</v>
      </c>
      <c r="F25" s="137" t="s">
        <v>186</v>
      </c>
      <c r="G25" s="283">
        <v>20000</v>
      </c>
      <c r="H25" s="161">
        <v>110</v>
      </c>
      <c r="I25" s="48"/>
      <c r="J25" s="165"/>
      <c r="K25" s="154">
        <v>6.1</v>
      </c>
      <c r="L25" s="157"/>
      <c r="M25" s="157"/>
      <c r="N25" s="157">
        <f>1/(K25/100)</f>
        <v>16.393442622950818</v>
      </c>
      <c r="O25" s="80"/>
      <c r="P25" s="80"/>
      <c r="T25" s="11"/>
      <c r="U25" s="235">
        <f>N25/'Fuels, properties and prices'!$F$4</f>
        <v>0.4661916422467714</v>
      </c>
      <c r="V25" s="10"/>
      <c r="W25" s="11">
        <v>3000</v>
      </c>
      <c r="X25" s="160">
        <v>25546.491803278699</v>
      </c>
      <c r="Y25" s="47">
        <f t="shared" si="1"/>
        <v>30987.894557377065</v>
      </c>
      <c r="Z25" s="296">
        <f t="shared" si="2"/>
        <v>1550</v>
      </c>
    </row>
    <row r="26" spans="1:55">
      <c r="A26" s="332"/>
      <c r="C26" s="19" t="s">
        <v>72</v>
      </c>
      <c r="D26" s="2" t="s">
        <v>168</v>
      </c>
      <c r="E26" s="2" t="s">
        <v>169</v>
      </c>
      <c r="F26" s="137" t="s">
        <v>186</v>
      </c>
      <c r="G26" s="283">
        <v>20000</v>
      </c>
      <c r="H26" s="170">
        <v>96</v>
      </c>
      <c r="I26" s="171"/>
      <c r="J26" s="175"/>
      <c r="K26" s="169">
        <v>7</v>
      </c>
      <c r="L26" s="49"/>
      <c r="M26" s="49"/>
      <c r="N26" s="157">
        <f>1/(K26/100)</f>
        <v>14.285714285714285</v>
      </c>
      <c r="O26" s="172"/>
      <c r="P26" s="172"/>
      <c r="T26" s="11"/>
      <c r="U26" s="235">
        <f>N26/'Fuels, properties and prices'!$F$4</f>
        <v>0.40625271681504366</v>
      </c>
      <c r="V26" s="10"/>
      <c r="W26" s="11">
        <v>2800</v>
      </c>
      <c r="X26" s="160">
        <v>24521.901639344269</v>
      </c>
      <c r="Y26" s="47">
        <f t="shared" si="1"/>
        <v>29745.066688524599</v>
      </c>
      <c r="Z26" s="296">
        <f t="shared" si="2"/>
        <v>1490</v>
      </c>
    </row>
    <row r="27" spans="1:55" s="9" customFormat="1">
      <c r="A27" s="332"/>
      <c r="B27"/>
      <c r="C27" s="224" t="s">
        <v>267</v>
      </c>
      <c r="D27" s="225"/>
      <c r="E27" s="225"/>
      <c r="F27" s="137" t="s">
        <v>186</v>
      </c>
      <c r="G27" s="283">
        <v>20000</v>
      </c>
      <c r="H27" s="227">
        <f>AVERAGE(H24:H26)</f>
        <v>99.333333333333329</v>
      </c>
      <c r="I27" s="228"/>
      <c r="J27" s="229"/>
      <c r="K27" s="230">
        <f>AVERAGE(K24:K26)</f>
        <v>6.2333333333333334</v>
      </c>
      <c r="L27" s="231"/>
      <c r="M27" s="231"/>
      <c r="N27" s="232">
        <f>1/(K27/100)</f>
        <v>16.042780748663102</v>
      </c>
      <c r="O27" s="231"/>
      <c r="P27" s="231"/>
      <c r="Q27" s="233"/>
      <c r="R27" s="233"/>
      <c r="S27" s="233"/>
      <c r="T27" s="234"/>
      <c r="U27" s="235">
        <f>N27/'Fuels, properties and prices'!$F$4</f>
        <v>0.4562196285088726</v>
      </c>
      <c r="V27" s="236"/>
      <c r="W27" s="234">
        <f>AVERAGE(W24:W26)</f>
        <v>2881.6666666666665</v>
      </c>
      <c r="X27" s="227">
        <f>AVERAGE(X24:X26)</f>
        <v>24556.131147540989</v>
      </c>
      <c r="Y27" s="47">
        <f t="shared" si="1"/>
        <v>29786.587081967224</v>
      </c>
      <c r="Z27" s="296">
        <f t="shared" si="2"/>
        <v>1490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>
      <c r="A28" s="332"/>
      <c r="C28" s="10"/>
      <c r="F28" s="11" t="s">
        <v>528</v>
      </c>
      <c r="H28" s="145">
        <f>H27/H22</f>
        <v>1.3355742296918767</v>
      </c>
      <c r="I28" s="48"/>
      <c r="J28" s="165"/>
      <c r="K28" s="145">
        <f>K27/K22</f>
        <v>1.3737373737373739</v>
      </c>
      <c r="L28" s="157"/>
      <c r="M28" s="157"/>
      <c r="N28" s="157"/>
      <c r="O28" s="157"/>
      <c r="P28" s="157"/>
      <c r="U28" s="235">
        <f>U27/U22</f>
        <v>0.72794117647058809</v>
      </c>
      <c r="V28" s="10"/>
      <c r="W28" s="146">
        <f>W27/W22</f>
        <v>1.4068920623296308</v>
      </c>
      <c r="X28" s="34">
        <f>X27/X22</f>
        <v>1.4752425242209994</v>
      </c>
      <c r="Y28" s="47"/>
      <c r="Z28" s="296" t="e">
        <f t="shared" si="2"/>
        <v>#DIV/0!</v>
      </c>
    </row>
    <row r="29" spans="1:55">
      <c r="A29" s="332"/>
      <c r="C29" s="19" t="s">
        <v>33</v>
      </c>
      <c r="D29" s="2" t="s">
        <v>138</v>
      </c>
      <c r="E29" s="2" t="s">
        <v>158</v>
      </c>
      <c r="F29" s="140" t="s">
        <v>185</v>
      </c>
      <c r="G29" s="279">
        <v>25000</v>
      </c>
      <c r="H29" s="161">
        <v>130</v>
      </c>
      <c r="I29" s="48"/>
      <c r="J29" s="165"/>
      <c r="K29" s="154">
        <v>8.9</v>
      </c>
      <c r="L29" s="157"/>
      <c r="M29" s="157"/>
      <c r="N29" s="157">
        <f t="shared" ref="N29:N34" si="3">1/(K29/100)</f>
        <v>11.235955056179774</v>
      </c>
      <c r="O29" s="80"/>
      <c r="P29" s="80"/>
      <c r="T29" s="11"/>
      <c r="U29" s="235">
        <f>N29/'Fuels, properties and prices'!$F$4</f>
        <v>0.31952460873093325</v>
      </c>
      <c r="V29" s="10"/>
      <c r="W29" s="11">
        <v>3500</v>
      </c>
      <c r="X29" s="160">
        <v>33580</v>
      </c>
      <c r="Y29" s="47">
        <f t="shared" si="1"/>
        <v>40732.54</v>
      </c>
      <c r="Z29" s="296">
        <f t="shared" si="2"/>
        <v>1630</v>
      </c>
    </row>
    <row r="30" spans="1:55">
      <c r="A30" s="332"/>
      <c r="C30" s="19" t="s">
        <v>140</v>
      </c>
      <c r="D30" s="2" t="s">
        <v>147</v>
      </c>
      <c r="E30" s="2" t="s">
        <v>157</v>
      </c>
      <c r="F30" s="140" t="s">
        <v>185</v>
      </c>
      <c r="G30" s="279">
        <v>25000</v>
      </c>
      <c r="H30" s="170">
        <v>130</v>
      </c>
      <c r="I30" s="171"/>
      <c r="J30" s="175"/>
      <c r="K30" s="169">
        <v>6.3</v>
      </c>
      <c r="L30" s="49"/>
      <c r="M30" s="49"/>
      <c r="N30" s="157">
        <f t="shared" si="3"/>
        <v>15.873015873015873</v>
      </c>
      <c r="O30" s="172"/>
      <c r="P30" s="172"/>
      <c r="T30" s="11"/>
      <c r="U30" s="235">
        <f>N30/'Fuels, properties and prices'!$F$4</f>
        <v>0.45139190757227077</v>
      </c>
      <c r="V30" s="19"/>
      <c r="W30" s="11">
        <v>3500</v>
      </c>
      <c r="X30" s="160">
        <v>29613.93</v>
      </c>
      <c r="Y30" s="47">
        <f t="shared" si="1"/>
        <v>35921.697090000001</v>
      </c>
      <c r="Z30" s="296">
        <f t="shared" si="2"/>
        <v>1440</v>
      </c>
    </row>
    <row r="31" spans="1:55">
      <c r="A31" s="332"/>
      <c r="C31" s="19" t="s">
        <v>73</v>
      </c>
      <c r="D31" s="2" t="s">
        <v>171</v>
      </c>
      <c r="E31" s="2" t="s">
        <v>173</v>
      </c>
      <c r="F31" s="140" t="s">
        <v>185</v>
      </c>
      <c r="G31" s="279">
        <v>25000</v>
      </c>
      <c r="H31" s="170">
        <v>110</v>
      </c>
      <c r="I31" s="171"/>
      <c r="J31" s="175"/>
      <c r="K31" s="169">
        <v>5.8</v>
      </c>
      <c r="L31" s="49"/>
      <c r="M31" s="49"/>
      <c r="N31" s="157">
        <f t="shared" si="3"/>
        <v>17.241379310344829</v>
      </c>
      <c r="O31" s="172"/>
      <c r="P31" s="172"/>
      <c r="T31" s="11"/>
      <c r="U31" s="235">
        <f>N31/'Fuels, properties and prices'!$F$4</f>
        <v>0.49030500305263897</v>
      </c>
      <c r="V31" s="19"/>
      <c r="W31" s="11">
        <v>3500</v>
      </c>
      <c r="X31" s="160">
        <v>33200</v>
      </c>
      <c r="Y31" s="47">
        <f t="shared" si="1"/>
        <v>40271.600000000006</v>
      </c>
      <c r="Z31" s="296">
        <f t="shared" si="2"/>
        <v>1610</v>
      </c>
    </row>
    <row r="32" spans="1:55">
      <c r="A32" s="332"/>
      <c r="C32" s="19" t="s">
        <v>72</v>
      </c>
      <c r="D32" s="2" t="s">
        <v>167</v>
      </c>
      <c r="E32" s="2" t="s">
        <v>162</v>
      </c>
      <c r="F32" s="140" t="s">
        <v>185</v>
      </c>
      <c r="G32" s="279">
        <v>25000</v>
      </c>
      <c r="H32" s="170">
        <v>96</v>
      </c>
      <c r="I32" s="171"/>
      <c r="J32" s="175"/>
      <c r="K32" s="169">
        <v>7.2</v>
      </c>
      <c r="L32" s="49"/>
      <c r="M32" s="49"/>
      <c r="N32" s="157">
        <f t="shared" si="3"/>
        <v>13.888888888888888</v>
      </c>
      <c r="O32" s="172"/>
      <c r="P32" s="172"/>
      <c r="T32" s="11"/>
      <c r="U32" s="235">
        <f>N32/'Fuels, properties and prices'!$F$4</f>
        <v>0.39496791912573687</v>
      </c>
      <c r="V32" s="19"/>
      <c r="W32" s="11">
        <v>3500</v>
      </c>
      <c r="X32" s="160">
        <v>28000</v>
      </c>
      <c r="Y32" s="47">
        <f t="shared" si="1"/>
        <v>33964</v>
      </c>
      <c r="Z32" s="296">
        <f t="shared" si="2"/>
        <v>1360</v>
      </c>
    </row>
    <row r="33" spans="1:55">
      <c r="A33" s="332"/>
      <c r="C33" s="19" t="s">
        <v>192</v>
      </c>
      <c r="D33" s="2" t="s">
        <v>227</v>
      </c>
      <c r="E33" s="2" t="s">
        <v>228</v>
      </c>
      <c r="F33" s="140" t="s">
        <v>185</v>
      </c>
      <c r="G33" s="279">
        <v>25000</v>
      </c>
      <c r="H33" s="170">
        <v>140</v>
      </c>
      <c r="I33" s="171"/>
      <c r="J33" s="175"/>
      <c r="K33" s="169">
        <v>7.3</v>
      </c>
      <c r="L33" s="49"/>
      <c r="M33" s="49"/>
      <c r="N33" s="157">
        <f t="shared" si="3"/>
        <v>13.698630136986303</v>
      </c>
      <c r="O33" s="172"/>
      <c r="P33" s="172"/>
      <c r="T33" s="11"/>
      <c r="U33" s="235">
        <f>N33/'Fuels, properties and prices'!$F$4</f>
        <v>0.38955739968565839</v>
      </c>
      <c r="V33" s="19"/>
      <c r="W33" s="11">
        <v>3500</v>
      </c>
      <c r="X33" s="160">
        <v>32692</v>
      </c>
      <c r="Y33" s="47">
        <f t="shared" si="1"/>
        <v>39655.396000000001</v>
      </c>
      <c r="Z33" s="296">
        <f t="shared" si="2"/>
        <v>1590</v>
      </c>
    </row>
    <row r="34" spans="1:55">
      <c r="A34" s="332"/>
      <c r="C34" s="42" t="s">
        <v>267</v>
      </c>
      <c r="D34" s="43"/>
      <c r="E34" s="43"/>
      <c r="F34" s="140" t="s">
        <v>185</v>
      </c>
      <c r="G34" s="279">
        <v>25000</v>
      </c>
      <c r="H34" s="164">
        <f>AVERAGE(H29:H33)</f>
        <v>121.2</v>
      </c>
      <c r="I34" s="134"/>
      <c r="J34" s="149"/>
      <c r="K34" s="156">
        <f>AVERAGE(K29:K33)</f>
        <v>7.1</v>
      </c>
      <c r="L34" s="50"/>
      <c r="M34" s="50"/>
      <c r="N34" s="157">
        <f t="shared" si="3"/>
        <v>14.084507042253522</v>
      </c>
      <c r="O34" s="50"/>
      <c r="P34" s="50"/>
      <c r="Q34" s="44"/>
      <c r="R34" s="44"/>
      <c r="S34" s="44"/>
      <c r="T34" s="45"/>
      <c r="U34" s="235">
        <f>N34/'Fuels, properties and prices'!$F$4</f>
        <v>0.4005308475641276</v>
      </c>
      <c r="V34" s="148"/>
      <c r="W34" s="45">
        <f>AVERAGE(W29:W33)</f>
        <v>3500</v>
      </c>
      <c r="X34" s="164">
        <f>AVERAGE(X29:X33)</f>
        <v>31417.185999999998</v>
      </c>
      <c r="Y34" s="47">
        <f t="shared" si="1"/>
        <v>38109.046618</v>
      </c>
      <c r="Z34" s="296">
        <f t="shared" si="2"/>
        <v>1520</v>
      </c>
    </row>
    <row r="35" spans="1:55">
      <c r="A35" s="332"/>
      <c r="C35" s="10"/>
      <c r="F35" s="11"/>
      <c r="H35" s="161"/>
      <c r="I35" s="48"/>
      <c r="J35" s="165"/>
      <c r="K35" s="154"/>
      <c r="L35" s="157"/>
      <c r="M35" s="157"/>
      <c r="N35" s="157"/>
      <c r="O35" s="157"/>
      <c r="P35" s="157"/>
      <c r="T35" s="11"/>
      <c r="U35" s="235"/>
      <c r="V35" s="10"/>
      <c r="W35" s="11"/>
      <c r="X35" s="161"/>
      <c r="Y35" s="47"/>
      <c r="Z35" s="296" t="e">
        <f t="shared" si="2"/>
        <v>#DIV/0!</v>
      </c>
    </row>
    <row r="36" spans="1:55">
      <c r="A36" s="332"/>
      <c r="C36" s="10" t="s">
        <v>72</v>
      </c>
      <c r="D36" t="s">
        <v>372</v>
      </c>
      <c r="E36" s="2" t="s">
        <v>373</v>
      </c>
      <c r="F36" s="141" t="s">
        <v>374</v>
      </c>
      <c r="G36" s="313">
        <v>25000</v>
      </c>
      <c r="H36" s="161">
        <v>125</v>
      </c>
      <c r="I36" s="48"/>
      <c r="J36" s="165"/>
      <c r="K36" s="154">
        <v>8.3000000000000007</v>
      </c>
      <c r="L36" s="157"/>
      <c r="M36" s="157"/>
      <c r="N36" s="157">
        <f t="shared" ref="N36:N45" si="4">1/(K36/100)</f>
        <v>12.048192771084336</v>
      </c>
      <c r="O36" s="157"/>
      <c r="P36" s="157"/>
      <c r="T36" s="11"/>
      <c r="U36" s="235">
        <f>N36/'Fuels, properties and prices'!$F$4</f>
        <v>0.34262277321750673</v>
      </c>
      <c r="V36" s="22"/>
      <c r="W36" s="11">
        <v>3020</v>
      </c>
      <c r="X36" s="161">
        <v>28335.016032592459</v>
      </c>
      <c r="Y36" s="47">
        <f t="shared" si="1"/>
        <v>34370.374447534654</v>
      </c>
      <c r="Z36" s="296">
        <f t="shared" si="2"/>
        <v>1370</v>
      </c>
    </row>
    <row r="37" spans="1:55">
      <c r="A37" s="332"/>
      <c r="C37" s="10" t="s">
        <v>33</v>
      </c>
      <c r="D37" t="s">
        <v>375</v>
      </c>
      <c r="E37" s="2" t="s">
        <v>376</v>
      </c>
      <c r="F37" s="141" t="s">
        <v>374</v>
      </c>
      <c r="G37" s="313">
        <v>25000</v>
      </c>
      <c r="H37" s="161">
        <v>150</v>
      </c>
      <c r="I37" s="48"/>
      <c r="J37" s="165"/>
      <c r="K37" s="154">
        <v>7.5</v>
      </c>
      <c r="L37" s="157"/>
      <c r="M37" s="157"/>
      <c r="N37" s="157">
        <f t="shared" si="4"/>
        <v>13.333333333333334</v>
      </c>
      <c r="O37" s="157"/>
      <c r="P37" s="157"/>
      <c r="T37" s="11"/>
      <c r="U37" s="235">
        <f>N37/'Fuels, properties and prices'!$F$4</f>
        <v>0.37916920236070745</v>
      </c>
      <c r="V37" s="22"/>
      <c r="W37" s="11">
        <v>2800</v>
      </c>
      <c r="X37" s="161">
        <v>29259.606185246888</v>
      </c>
      <c r="Y37" s="47">
        <f t="shared" si="1"/>
        <v>35491.902302704475</v>
      </c>
      <c r="Z37" s="296">
        <f t="shared" si="2"/>
        <v>1420</v>
      </c>
    </row>
    <row r="38" spans="1:55">
      <c r="A38" s="332"/>
      <c r="C38" s="10" t="s">
        <v>48</v>
      </c>
      <c r="D38" t="s">
        <v>378</v>
      </c>
      <c r="E38" t="s">
        <v>377</v>
      </c>
      <c r="F38" s="141" t="s">
        <v>374</v>
      </c>
      <c r="G38" s="313">
        <v>25000</v>
      </c>
      <c r="H38" s="161">
        <v>113</v>
      </c>
      <c r="I38" s="48"/>
      <c r="J38" s="165"/>
      <c r="K38" s="154">
        <v>6.9</v>
      </c>
      <c r="L38" s="157"/>
      <c r="M38" s="157"/>
      <c r="N38" s="157">
        <f t="shared" si="4"/>
        <v>14.492753623188404</v>
      </c>
      <c r="O38" s="157"/>
      <c r="P38" s="157"/>
      <c r="T38" s="11"/>
      <c r="U38" s="235">
        <f>N38/'Fuels, properties and prices'!$F$4</f>
        <v>0.41214043734859501</v>
      </c>
      <c r="V38" s="22"/>
      <c r="W38" s="11">
        <v>2850</v>
      </c>
      <c r="X38" s="161">
        <v>26867.803278688516</v>
      </c>
      <c r="Y38" s="47">
        <f t="shared" si="1"/>
        <v>32590.645377049172</v>
      </c>
      <c r="Z38" s="296">
        <f t="shared" si="2"/>
        <v>1300</v>
      </c>
    </row>
    <row r="39" spans="1:55">
      <c r="A39" s="332"/>
      <c r="C39" s="10" t="s">
        <v>70</v>
      </c>
      <c r="D39" t="s">
        <v>379</v>
      </c>
      <c r="E39" t="s">
        <v>380</v>
      </c>
      <c r="F39" s="141" t="s">
        <v>374</v>
      </c>
      <c r="G39" s="313">
        <v>25000</v>
      </c>
      <c r="H39" s="161">
        <v>110</v>
      </c>
      <c r="I39" s="48"/>
      <c r="J39" s="165"/>
      <c r="K39" s="154">
        <v>6.8</v>
      </c>
      <c r="L39" s="157"/>
      <c r="M39" s="157"/>
      <c r="N39" s="157">
        <f t="shared" si="4"/>
        <v>14.705882352941176</v>
      </c>
      <c r="O39" s="157"/>
      <c r="P39" s="157"/>
      <c r="T39" s="11"/>
      <c r="U39" s="235">
        <f>N39/'Fuels, properties and prices'!$F$4</f>
        <v>0.41820132613313321</v>
      </c>
      <c r="V39" s="22"/>
      <c r="W39" s="11">
        <v>3150</v>
      </c>
      <c r="X39" s="161">
        <v>25874.360655737713</v>
      </c>
      <c r="Y39" s="47">
        <f t="shared" si="1"/>
        <v>31385.59947540985</v>
      </c>
      <c r="Z39" s="296">
        <f t="shared" si="2"/>
        <v>1260</v>
      </c>
    </row>
    <row r="40" spans="1:55">
      <c r="A40" s="332"/>
      <c r="C40" s="10" t="s">
        <v>69</v>
      </c>
      <c r="D40" t="s">
        <v>381</v>
      </c>
      <c r="E40" t="s">
        <v>382</v>
      </c>
      <c r="F40" s="141" t="s">
        <v>374</v>
      </c>
      <c r="G40" s="313">
        <v>25000</v>
      </c>
      <c r="H40" s="161">
        <v>120</v>
      </c>
      <c r="I40" s="48"/>
      <c r="J40" s="165"/>
      <c r="K40" s="154">
        <v>6.1</v>
      </c>
      <c r="L40" s="157"/>
      <c r="M40" s="157"/>
      <c r="N40" s="157">
        <f t="shared" si="4"/>
        <v>16.393442622950818</v>
      </c>
      <c r="O40" s="157"/>
      <c r="P40" s="157"/>
      <c r="T40" s="11"/>
      <c r="U40" s="235">
        <f>N40/'Fuels, properties and prices'!$F$4</f>
        <v>0.4661916422467714</v>
      </c>
      <c r="V40" s="22"/>
      <c r="W40" s="11">
        <v>3200</v>
      </c>
      <c r="X40" s="161">
        <v>25688.295081967222</v>
      </c>
      <c r="Y40" s="47">
        <f t="shared" si="1"/>
        <v>31159.901934426241</v>
      </c>
      <c r="Z40" s="296">
        <f t="shared" si="2"/>
        <v>1250</v>
      </c>
    </row>
    <row r="41" spans="1:55">
      <c r="A41" s="332"/>
      <c r="C41" s="10" t="s">
        <v>383</v>
      </c>
      <c r="D41" t="s">
        <v>384</v>
      </c>
      <c r="E41" t="s">
        <v>385</v>
      </c>
      <c r="F41" s="141" t="s">
        <v>374</v>
      </c>
      <c r="G41" s="313">
        <v>25000</v>
      </c>
      <c r="H41" s="161">
        <v>120</v>
      </c>
      <c r="I41" s="48"/>
      <c r="J41" s="165"/>
      <c r="K41" s="154">
        <v>6.3</v>
      </c>
      <c r="L41" s="157"/>
      <c r="M41" s="157"/>
      <c r="N41" s="157">
        <f t="shared" si="4"/>
        <v>15.873015873015873</v>
      </c>
      <c r="O41" s="157"/>
      <c r="P41" s="157"/>
      <c r="T41" s="11"/>
      <c r="U41" s="235">
        <f>N41/'Fuels, properties and prices'!$F$4</f>
        <v>0.45139190757227077</v>
      </c>
      <c r="V41" s="22"/>
      <c r="W41" s="11">
        <v>3035</v>
      </c>
      <c r="X41" s="161">
        <v>28247.311115629673</v>
      </c>
      <c r="Y41" s="47">
        <f t="shared" si="1"/>
        <v>34263.988383258795</v>
      </c>
      <c r="Z41" s="296">
        <f t="shared" si="2"/>
        <v>1370</v>
      </c>
    </row>
    <row r="42" spans="1:55">
      <c r="A42" s="332"/>
      <c r="C42" s="42" t="s">
        <v>267</v>
      </c>
      <c r="D42" s="43"/>
      <c r="E42" s="43"/>
      <c r="F42" s="136"/>
      <c r="G42" s="43"/>
      <c r="H42" s="164">
        <f>AVERAGE(H36:H41)</f>
        <v>123</v>
      </c>
      <c r="I42" s="134"/>
      <c r="J42" s="149"/>
      <c r="K42" s="156">
        <f>AVERAGE(K36:K41)</f>
        <v>6.9833333333333334</v>
      </c>
      <c r="L42" s="50"/>
      <c r="M42" s="50"/>
      <c r="N42" s="157">
        <f t="shared" si="4"/>
        <v>14.319809069212411</v>
      </c>
      <c r="O42" s="50"/>
      <c r="P42" s="50"/>
      <c r="Q42" s="44"/>
      <c r="R42" s="44"/>
      <c r="S42" s="44"/>
      <c r="T42" s="45"/>
      <c r="U42" s="235">
        <f>N42/'Fuels, properties and prices'!$F$4</f>
        <v>0.40722229370481711</v>
      </c>
      <c r="V42" s="143"/>
      <c r="W42" s="45">
        <f>AVERAGE(W36:W41)</f>
        <v>3009.1666666666665</v>
      </c>
      <c r="X42" s="164">
        <f>AVERAGE(X36:X41)</f>
        <v>27378.732058310416</v>
      </c>
      <c r="Y42" s="47">
        <f t="shared" si="1"/>
        <v>33210.40198673054</v>
      </c>
      <c r="Z42" s="296" t="e">
        <f t="shared" si="2"/>
        <v>#DIV/0!</v>
      </c>
    </row>
    <row r="43" spans="1:55">
      <c r="A43" s="332"/>
      <c r="C43" s="138" t="s">
        <v>481</v>
      </c>
      <c r="D43" s="91"/>
      <c r="E43" s="91"/>
      <c r="F43" s="139"/>
      <c r="G43" s="91"/>
      <c r="H43" s="162">
        <f>AVERAGE(H22,H27,H34,H42)</f>
        <v>104.47708333333333</v>
      </c>
      <c r="I43" s="128"/>
      <c r="J43" s="163"/>
      <c r="K43" s="155">
        <f>AVERAGE(K22,K27,K34,K42)</f>
        <v>6.2135416666666661</v>
      </c>
      <c r="L43" s="173"/>
      <c r="M43" s="173"/>
      <c r="N43" s="157">
        <f t="shared" si="4"/>
        <v>16.093880972338646</v>
      </c>
      <c r="O43" s="173"/>
      <c r="P43" s="173"/>
      <c r="Q43" s="93"/>
      <c r="R43" s="93"/>
      <c r="S43" s="93"/>
      <c r="T43" s="144"/>
      <c r="U43" s="235">
        <f>N43/'Fuels, properties and prices'!$F$4</f>
        <v>0.45767280083773582</v>
      </c>
      <c r="V43" s="150"/>
      <c r="W43" s="144">
        <f>AVERAGE(W22,W27,W34,W42)</f>
        <v>2859.770833333333</v>
      </c>
      <c r="X43" s="162">
        <f>AVERAGE(X22,X27,X34,X42)</f>
        <v>24999.384202077606</v>
      </c>
      <c r="Y43" s="47">
        <f t="shared" si="1"/>
        <v>30324.253037120139</v>
      </c>
      <c r="Z43" s="296" t="e">
        <f t="shared" si="2"/>
        <v>#DIV/0!</v>
      </c>
      <c r="AD43" s="6"/>
      <c r="AE43" s="6"/>
    </row>
    <row r="44" spans="1:55">
      <c r="A44" s="332" t="s">
        <v>2</v>
      </c>
      <c r="B44" s="247" t="s">
        <v>550</v>
      </c>
      <c r="C44" s="210" t="str">
        <f>'TRT Cars'!C117</f>
        <v>LPG/Gasoline</v>
      </c>
      <c r="D44" s="203"/>
      <c r="E44" s="203"/>
      <c r="F44" s="211"/>
      <c r="G44" s="203"/>
      <c r="H44" s="218">
        <f>'TRT Cars'!H117</f>
        <v>0.93850267379679142</v>
      </c>
      <c r="I44" s="213"/>
      <c r="J44" s="214"/>
      <c r="K44" s="215">
        <f>'TRT Cars'!K117</f>
        <v>1.3943661971830985</v>
      </c>
      <c r="L44" s="216"/>
      <c r="M44" s="216"/>
      <c r="N44" s="216">
        <f>'TRT Cars'!N117</f>
        <v>0.71717171717171702</v>
      </c>
      <c r="O44" s="216"/>
      <c r="P44" s="216"/>
      <c r="Q44" s="206"/>
      <c r="R44" s="206"/>
      <c r="S44" s="206"/>
      <c r="T44" s="217"/>
      <c r="U44" s="245">
        <f>'TRT Cars'!S117</f>
        <v>0.9886089358649246</v>
      </c>
      <c r="V44" s="220"/>
      <c r="W44" s="219">
        <f>'TRT Cars'!T117</f>
        <v>1.1002722323049001</v>
      </c>
      <c r="X44" s="215">
        <f>'TRT Cars'!U117</f>
        <v>0.99988270757214348</v>
      </c>
      <c r="Y44" s="47"/>
      <c r="Z44" s="296" t="e">
        <f t="shared" si="2"/>
        <v>#DIV/0!</v>
      </c>
      <c r="AD44" s="6"/>
      <c r="AE44" s="6"/>
    </row>
    <row r="45" spans="1:55" s="9" customFormat="1">
      <c r="A45" s="332"/>
      <c r="B45" s="11" t="s">
        <v>551</v>
      </c>
      <c r="C45" s="224" t="s">
        <v>529</v>
      </c>
      <c r="D45" s="225"/>
      <c r="E45" s="225"/>
      <c r="F45" s="137" t="s">
        <v>186</v>
      </c>
      <c r="G45" s="283">
        <v>20000</v>
      </c>
      <c r="H45" s="227">
        <f>H27*H44</f>
        <v>93.224598930481278</v>
      </c>
      <c r="I45" s="228"/>
      <c r="J45" s="229"/>
      <c r="K45" s="227">
        <f>K27*K44</f>
        <v>8.6915492957746476</v>
      </c>
      <c r="L45" s="231"/>
      <c r="M45" s="231"/>
      <c r="N45" s="157">
        <f t="shared" si="4"/>
        <v>11.505428617728084</v>
      </c>
      <c r="O45" s="231"/>
      <c r="P45" s="231"/>
      <c r="Q45" s="233"/>
      <c r="R45" s="233"/>
      <c r="S45" s="233"/>
      <c r="T45" s="234"/>
      <c r="U45" s="230">
        <f>U27*U44</f>
        <v>0.45102280146084778</v>
      </c>
      <c r="V45" s="236"/>
      <c r="W45" s="229">
        <f>W27*W44</f>
        <v>3170.6178160919535</v>
      </c>
      <c r="X45" s="228">
        <f>X27*X44</f>
        <v>24553.250899299932</v>
      </c>
      <c r="Y45" s="47">
        <f t="shared" si="1"/>
        <v>29783.093340850821</v>
      </c>
      <c r="Z45" s="296">
        <f t="shared" si="2"/>
        <v>1490</v>
      </c>
      <c r="AA45"/>
      <c r="AB45"/>
      <c r="AC45"/>
      <c r="AD45" s="6"/>
      <c r="AE45" s="6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s="9" customFormat="1">
      <c r="A46" s="332"/>
      <c r="B46"/>
      <c r="C46" s="224" t="s">
        <v>532</v>
      </c>
      <c r="D46" s="225"/>
      <c r="E46" s="225"/>
      <c r="F46" s="135" t="s">
        <v>182</v>
      </c>
      <c r="G46" s="277">
        <v>15000</v>
      </c>
      <c r="H46" s="227">
        <f>H22*H44</f>
        <v>69.80113636363636</v>
      </c>
      <c r="I46" s="228"/>
      <c r="J46" s="229"/>
      <c r="K46" s="227">
        <f>K22*K44</f>
        <v>6.3269366197183086</v>
      </c>
      <c r="L46" s="231"/>
      <c r="M46" s="231"/>
      <c r="N46" s="157">
        <f t="shared" ref="N46:N48" si="5">1/(K46/100)</f>
        <v>15.805437293040603</v>
      </c>
      <c r="O46" s="231"/>
      <c r="P46" s="231"/>
      <c r="Q46" s="233"/>
      <c r="R46" s="233"/>
      <c r="S46" s="233"/>
      <c r="T46" s="234"/>
      <c r="U46" s="230">
        <f>U22*U44</f>
        <v>0.61958687877449803</v>
      </c>
      <c r="V46" s="236"/>
      <c r="W46" s="229">
        <f>W22*W44</f>
        <v>2253.6325998185116</v>
      </c>
      <c r="X46" s="228">
        <f>X22*X44</f>
        <v>16643.535212805269</v>
      </c>
      <c r="Y46" s="47">
        <f t="shared" si="1"/>
        <v>20188.608213132793</v>
      </c>
      <c r="Z46" s="296">
        <f t="shared" si="2"/>
        <v>1350</v>
      </c>
      <c r="AA46"/>
      <c r="AB46"/>
      <c r="AC46"/>
      <c r="AD46" s="6"/>
      <c r="AE46" s="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s="9" customFormat="1">
      <c r="A47" s="332"/>
      <c r="B47"/>
      <c r="C47" s="224" t="s">
        <v>535</v>
      </c>
      <c r="D47" s="225"/>
      <c r="E47" s="225"/>
      <c r="F47" s="140" t="s">
        <v>185</v>
      </c>
      <c r="G47" s="279">
        <v>25000</v>
      </c>
      <c r="H47" s="227">
        <f>H34*H44</f>
        <v>113.74652406417113</v>
      </c>
      <c r="I47" s="228"/>
      <c r="J47" s="229"/>
      <c r="K47" s="227">
        <f>K34*K44</f>
        <v>9.8999999999999986</v>
      </c>
      <c r="L47" s="231"/>
      <c r="M47" s="231"/>
      <c r="N47" s="157">
        <f t="shared" si="5"/>
        <v>10.101010101010102</v>
      </c>
      <c r="O47" s="231"/>
      <c r="P47" s="231"/>
      <c r="Q47" s="233"/>
      <c r="R47" s="233"/>
      <c r="S47" s="233"/>
      <c r="T47" s="234"/>
      <c r="U47" s="230">
        <f>U34*U44</f>
        <v>0.39596837499144849</v>
      </c>
      <c r="V47" s="236"/>
      <c r="W47" s="229">
        <f>W34*W44</f>
        <v>3850.9528130671506</v>
      </c>
      <c r="X47" s="228">
        <f>X34*X44</f>
        <v>31413.501001977638</v>
      </c>
      <c r="Y47" s="47">
        <f t="shared" si="1"/>
        <v>38104.576715398878</v>
      </c>
      <c r="Z47" s="296">
        <f t="shared" si="2"/>
        <v>1520</v>
      </c>
      <c r="AA47"/>
      <c r="AB47"/>
      <c r="AC47"/>
      <c r="AD47" s="6"/>
      <c r="AE47" s="6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s="9" customFormat="1">
      <c r="A48" s="332"/>
      <c r="B48"/>
      <c r="C48" s="224" t="s">
        <v>536</v>
      </c>
      <c r="D48" s="225"/>
      <c r="E48" s="225"/>
      <c r="F48" s="141" t="s">
        <v>374</v>
      </c>
      <c r="G48" s="313">
        <v>25000</v>
      </c>
      <c r="H48" s="227">
        <f>H42*H44</f>
        <v>115.43582887700535</v>
      </c>
      <c r="I48" s="228"/>
      <c r="J48" s="229"/>
      <c r="K48" s="227">
        <f>K42*K44</f>
        <v>9.7373239436619716</v>
      </c>
      <c r="L48" s="231"/>
      <c r="M48" s="231"/>
      <c r="N48" s="157">
        <f t="shared" si="5"/>
        <v>10.269762059738193</v>
      </c>
      <c r="O48" s="231"/>
      <c r="P48" s="231"/>
      <c r="Q48" s="233"/>
      <c r="R48" s="233"/>
      <c r="S48" s="233"/>
      <c r="T48" s="234"/>
      <c r="U48" s="230">
        <f>U42*U44</f>
        <v>0.40258359843999303</v>
      </c>
      <c r="V48" s="236"/>
      <c r="W48" s="229">
        <f>W42*W44</f>
        <v>3310.9025257108283</v>
      </c>
      <c r="X48" s="228">
        <f>X42*X44</f>
        <v>27375.520740355663</v>
      </c>
      <c r="Y48" s="47">
        <f t="shared" si="1"/>
        <v>33206.506658051425</v>
      </c>
      <c r="Z48" s="296">
        <f t="shared" si="2"/>
        <v>1330</v>
      </c>
      <c r="AA48"/>
      <c r="AB48"/>
      <c r="AC48"/>
      <c r="AD48" s="6"/>
      <c r="AE48" s="6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1:55">
      <c r="A49" s="332"/>
      <c r="C49" s="42" t="s">
        <v>267</v>
      </c>
      <c r="D49" s="43"/>
      <c r="E49" s="43"/>
      <c r="F49" s="136"/>
      <c r="G49" s="43"/>
      <c r="H49" s="164">
        <f>AVERAGE(H46)</f>
        <v>69.80113636363636</v>
      </c>
      <c r="I49" s="134"/>
      <c r="J49" s="149"/>
      <c r="K49" s="156">
        <f>AVERAGE(K46)</f>
        <v>6.3269366197183086</v>
      </c>
      <c r="L49" s="50"/>
      <c r="M49" s="50"/>
      <c r="N49" s="157">
        <f>1/(K49/100)</f>
        <v>15.805437293040603</v>
      </c>
      <c r="O49" s="50"/>
      <c r="P49" s="50"/>
      <c r="Q49" s="44"/>
      <c r="R49" s="44"/>
      <c r="S49" s="44"/>
      <c r="T49" s="45"/>
      <c r="U49" s="235">
        <f>N49/'Fuels, properties and prices'!$F$5</f>
        <v>0.67866826226402288</v>
      </c>
      <c r="V49" s="143"/>
      <c r="W49" s="45">
        <f>AVERAGE(W46)</f>
        <v>2253.6325998185116</v>
      </c>
      <c r="X49" s="164">
        <f>AVERAGE(X46)</f>
        <v>16643.535212805269</v>
      </c>
      <c r="Y49" s="47">
        <f t="shared" si="1"/>
        <v>20188.608213132793</v>
      </c>
      <c r="Z49" s="296" t="e">
        <f t="shared" si="2"/>
        <v>#DIV/0!</v>
      </c>
    </row>
    <row r="50" spans="1:55">
      <c r="A50" s="332" t="s">
        <v>530</v>
      </c>
      <c r="B50" s="247" t="s">
        <v>550</v>
      </c>
      <c r="C50" s="19" t="s">
        <v>33</v>
      </c>
      <c r="D50" s="2" t="s">
        <v>133</v>
      </c>
      <c r="E50" t="s">
        <v>135</v>
      </c>
      <c r="F50" s="135" t="s">
        <v>182</v>
      </c>
      <c r="G50" s="277">
        <v>15000</v>
      </c>
      <c r="H50" s="161">
        <v>81</v>
      </c>
      <c r="I50" s="48"/>
      <c r="J50" s="165"/>
      <c r="K50" s="154"/>
      <c r="L50" s="157">
        <v>4.0999999999999996</v>
      </c>
      <c r="M50" s="157"/>
      <c r="N50" s="157"/>
      <c r="O50" s="157">
        <f>1/(L50/100)</f>
        <v>24.390243902439028</v>
      </c>
      <c r="P50" s="172"/>
      <c r="T50" s="11"/>
      <c r="U50" s="238">
        <f>O50/'Fuels, properties and prices'!$G$6</f>
        <v>0.51401989256984248</v>
      </c>
      <c r="V50" s="10"/>
      <c r="W50" s="11">
        <v>2200</v>
      </c>
      <c r="X50" s="160">
        <v>18430</v>
      </c>
      <c r="Y50" s="47">
        <f t="shared" si="1"/>
        <v>22355.59</v>
      </c>
      <c r="Z50" s="296">
        <f t="shared" si="2"/>
        <v>1490</v>
      </c>
    </row>
    <row r="51" spans="1:55">
      <c r="A51" s="332"/>
      <c r="B51" s="11" t="s">
        <v>551</v>
      </c>
      <c r="C51" s="19" t="s">
        <v>174</v>
      </c>
      <c r="D51" s="2" t="s">
        <v>145</v>
      </c>
      <c r="E51" s="30" t="s">
        <v>211</v>
      </c>
      <c r="F51" s="135" t="s">
        <v>182</v>
      </c>
      <c r="G51" s="277">
        <v>15000</v>
      </c>
      <c r="H51" s="170">
        <v>88</v>
      </c>
      <c r="I51" s="171"/>
      <c r="J51" s="175"/>
      <c r="K51" s="169"/>
      <c r="L51" s="49">
        <v>4.9000000000000004</v>
      </c>
      <c r="M51" s="49"/>
      <c r="N51" s="157"/>
      <c r="O51" s="157">
        <f>1/(L51/100)</f>
        <v>20.408163265306122</v>
      </c>
      <c r="P51" s="172"/>
      <c r="T51" s="11"/>
      <c r="U51" s="238">
        <f>O51/'Fuels, properties and prices'!$G$6</f>
        <v>0.43009827745639873</v>
      </c>
      <c r="V51" s="19"/>
      <c r="W51" s="11">
        <v>2040</v>
      </c>
      <c r="X51" s="160">
        <v>23200</v>
      </c>
      <c r="Y51" s="47">
        <f t="shared" si="1"/>
        <v>28141.600000000002</v>
      </c>
      <c r="Z51" s="296">
        <f t="shared" si="2"/>
        <v>1880</v>
      </c>
    </row>
    <row r="52" spans="1:55">
      <c r="A52" s="332"/>
      <c r="C52" s="42" t="s">
        <v>267</v>
      </c>
      <c r="D52" s="43"/>
      <c r="E52" s="43"/>
      <c r="F52" s="135" t="s">
        <v>182</v>
      </c>
      <c r="G52" s="277">
        <v>15000</v>
      </c>
      <c r="H52" s="164">
        <f>AVERAGE(H50:H51)</f>
        <v>84.5</v>
      </c>
      <c r="I52" s="134"/>
      <c r="J52" s="149"/>
      <c r="K52" s="156"/>
      <c r="L52" s="50">
        <f>AVERAGE(L50:L51)</f>
        <v>4.5</v>
      </c>
      <c r="M52" s="50"/>
      <c r="N52" s="50"/>
      <c r="O52" s="157">
        <f>1/(L52/100)</f>
        <v>22.222222222222221</v>
      </c>
      <c r="P52" s="50"/>
      <c r="Q52" s="44"/>
      <c r="R52" s="44"/>
      <c r="S52" s="44"/>
      <c r="T52" s="45"/>
      <c r="U52" s="238">
        <f>O52/'Fuels, properties and prices'!$G$6</f>
        <v>0.46832923545252308</v>
      </c>
      <c r="V52" s="143"/>
      <c r="W52" s="45">
        <f>AVERAGE(W50:W51)</f>
        <v>2120</v>
      </c>
      <c r="X52" s="164">
        <f>AVERAGE(X50:X51)</f>
        <v>20815</v>
      </c>
      <c r="Y52" s="47">
        <f t="shared" si="1"/>
        <v>25248.595000000001</v>
      </c>
      <c r="Z52" s="296">
        <f t="shared" si="2"/>
        <v>1680</v>
      </c>
    </row>
    <row r="53" spans="1:55">
      <c r="A53" s="332"/>
      <c r="C53" s="10"/>
      <c r="F53" s="11"/>
      <c r="H53" s="161"/>
      <c r="I53" s="48"/>
      <c r="J53" s="165"/>
      <c r="K53" s="154"/>
      <c r="L53" s="157"/>
      <c r="M53" s="157"/>
      <c r="N53" s="157"/>
      <c r="O53" s="157"/>
      <c r="P53" s="157"/>
      <c r="T53" s="11"/>
      <c r="U53" s="235"/>
      <c r="V53" s="10"/>
      <c r="W53" s="11"/>
      <c r="X53" s="161"/>
      <c r="Y53" s="47"/>
      <c r="Z53" s="296" t="e">
        <f t="shared" si="2"/>
        <v>#DIV/0!</v>
      </c>
    </row>
    <row r="54" spans="1:55">
      <c r="A54" s="332"/>
      <c r="C54" s="19" t="s">
        <v>73</v>
      </c>
      <c r="D54" s="2" t="s">
        <v>171</v>
      </c>
      <c r="E54" s="2" t="s">
        <v>172</v>
      </c>
      <c r="F54" s="140" t="s">
        <v>185</v>
      </c>
      <c r="G54" s="279">
        <v>25000</v>
      </c>
      <c r="H54" s="170">
        <v>100</v>
      </c>
      <c r="I54" s="171"/>
      <c r="J54" s="175"/>
      <c r="K54" s="169"/>
      <c r="L54" s="49">
        <v>13.1</v>
      </c>
      <c r="M54" s="49"/>
      <c r="N54" s="157"/>
      <c r="O54" s="157">
        <f>1/(L54/100)</f>
        <v>7.6335877862595414</v>
      </c>
      <c r="P54" s="172"/>
      <c r="T54" s="11"/>
      <c r="U54" s="238">
        <f>O54/'Fuels, properties and prices'!$G$6</f>
        <v>0.16087645492643921</v>
      </c>
      <c r="V54" s="19"/>
      <c r="W54" s="11">
        <v>3500</v>
      </c>
      <c r="X54" s="160">
        <v>37200</v>
      </c>
      <c r="Y54" s="47">
        <f t="shared" si="1"/>
        <v>45123.600000000006</v>
      </c>
      <c r="Z54" s="296">
        <f t="shared" si="2"/>
        <v>1800</v>
      </c>
    </row>
    <row r="55" spans="1:55">
      <c r="A55" s="332"/>
      <c r="C55" s="42" t="s">
        <v>267</v>
      </c>
      <c r="D55" s="43"/>
      <c r="E55" s="43"/>
      <c r="F55" s="136"/>
      <c r="G55" s="43"/>
      <c r="H55" s="164">
        <f>AVERAGE(H54)</f>
        <v>100</v>
      </c>
      <c r="I55" s="134"/>
      <c r="J55" s="149"/>
      <c r="K55" s="156"/>
      <c r="L55" s="50">
        <f>AVERAGE(L54)</f>
        <v>13.1</v>
      </c>
      <c r="M55" s="50"/>
      <c r="N55" s="50"/>
      <c r="O55" s="157">
        <f>1/(L55/100)</f>
        <v>7.6335877862595414</v>
      </c>
      <c r="P55" s="50"/>
      <c r="Q55" s="44"/>
      <c r="R55" s="44"/>
      <c r="S55" s="44"/>
      <c r="T55" s="45"/>
      <c r="U55" s="238">
        <f>O55/'Fuels, properties and prices'!$G$6</f>
        <v>0.16087645492643921</v>
      </c>
      <c r="V55" s="143"/>
      <c r="W55" s="45">
        <f>AVERAGE(W54)</f>
        <v>3500</v>
      </c>
      <c r="X55" s="164">
        <f>AVERAGE(X54)</f>
        <v>37200</v>
      </c>
      <c r="Y55" s="47">
        <f t="shared" si="1"/>
        <v>45123.600000000006</v>
      </c>
      <c r="Z55" s="296" t="e">
        <f t="shared" si="2"/>
        <v>#DIV/0!</v>
      </c>
    </row>
    <row r="56" spans="1:55" s="9" customFormat="1">
      <c r="A56" s="332"/>
      <c r="B56"/>
      <c r="C56" s="224" t="s">
        <v>523</v>
      </c>
      <c r="D56" s="225"/>
      <c r="E56" s="225"/>
      <c r="F56" s="226"/>
      <c r="G56" s="225"/>
      <c r="H56" s="227">
        <f>AVERAGE(H52,H55)</f>
        <v>92.25</v>
      </c>
      <c r="I56" s="228"/>
      <c r="J56" s="229"/>
      <c r="K56" s="230"/>
      <c r="L56" s="231">
        <f>AVERAGE(L52,L55)</f>
        <v>8.8000000000000007</v>
      </c>
      <c r="M56" s="231"/>
      <c r="N56" s="231"/>
      <c r="O56" s="232">
        <f>1/(L56/100)</f>
        <v>11.363636363636363</v>
      </c>
      <c r="P56" s="231"/>
      <c r="Q56" s="233"/>
      <c r="R56" s="233"/>
      <c r="S56" s="233"/>
      <c r="T56" s="234"/>
      <c r="U56" s="238">
        <f>O56/'Fuels, properties and prices'!$G$6</f>
        <v>0.23948654085640386</v>
      </c>
      <c r="V56" s="236"/>
      <c r="W56" s="234">
        <f>AVERAGE(W52,W55)</f>
        <v>2810</v>
      </c>
      <c r="X56" s="227">
        <f>AVERAGE(X52,X55)</f>
        <v>29007.5</v>
      </c>
      <c r="Y56" s="47">
        <f t="shared" si="1"/>
        <v>35186.097500000003</v>
      </c>
      <c r="Z56" s="296" t="e">
        <f t="shared" si="2"/>
        <v>#DIV/0!</v>
      </c>
      <c r="AA56"/>
      <c r="AB56"/>
      <c r="AC56"/>
      <c r="AD56" s="6"/>
      <c r="AE56" s="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>
      <c r="A57" s="333" t="s">
        <v>29</v>
      </c>
      <c r="B57" s="247" t="s">
        <v>550</v>
      </c>
      <c r="C57" s="19" t="s">
        <v>142</v>
      </c>
      <c r="D57" s="2" t="s">
        <v>143</v>
      </c>
      <c r="E57" s="2" t="s">
        <v>163</v>
      </c>
      <c r="F57" s="135" t="s">
        <v>182</v>
      </c>
      <c r="G57" s="277">
        <v>15000</v>
      </c>
      <c r="H57" s="170"/>
      <c r="I57" s="171"/>
      <c r="J57" s="175">
        <v>49</v>
      </c>
      <c r="K57" s="169"/>
      <c r="L57" s="49"/>
      <c r="M57" s="49">
        <v>17.600000000000001</v>
      </c>
      <c r="N57" s="157"/>
      <c r="O57" s="172"/>
      <c r="P57" s="157">
        <f>1/(M57/100)</f>
        <v>5.6818181818181817</v>
      </c>
      <c r="T57" s="11"/>
      <c r="U57" s="238">
        <f>P57/3.6</f>
        <v>1.5782828282828283</v>
      </c>
      <c r="V57" s="19"/>
      <c r="W57" s="11">
        <v>2225</v>
      </c>
      <c r="X57" s="160">
        <v>26366.16</v>
      </c>
      <c r="Y57" s="47">
        <f t="shared" si="1"/>
        <v>31982.152080000003</v>
      </c>
      <c r="Z57" s="296">
        <f t="shared" si="2"/>
        <v>2130</v>
      </c>
    </row>
    <row r="58" spans="1:55">
      <c r="A58" s="333"/>
      <c r="B58" s="11" t="s">
        <v>552</v>
      </c>
      <c r="C58" s="19" t="s">
        <v>118</v>
      </c>
      <c r="D58" s="2" t="s">
        <v>144</v>
      </c>
      <c r="E58" s="2" t="s">
        <v>175</v>
      </c>
      <c r="F58" s="135" t="s">
        <v>182</v>
      </c>
      <c r="G58" s="277">
        <v>15000</v>
      </c>
      <c r="H58" s="170"/>
      <c r="I58" s="171"/>
      <c r="J58" s="175">
        <v>44</v>
      </c>
      <c r="K58" s="169"/>
      <c r="L58" s="49"/>
      <c r="M58" s="49">
        <v>15.2</v>
      </c>
      <c r="N58" s="157"/>
      <c r="O58" s="172"/>
      <c r="P58" s="157">
        <f>1/(M58/100)</f>
        <v>6.5789473684210531</v>
      </c>
      <c r="T58" s="11"/>
      <c r="U58" s="238">
        <f>P58/3.6</f>
        <v>1.827485380116959</v>
      </c>
      <c r="V58" s="19">
        <v>1600</v>
      </c>
      <c r="W58" s="11">
        <v>2300</v>
      </c>
      <c r="X58" s="160">
        <v>29900</v>
      </c>
      <c r="Y58" s="47">
        <f t="shared" si="1"/>
        <v>36268.700000000004</v>
      </c>
      <c r="Z58" s="296">
        <f t="shared" si="2"/>
        <v>2420</v>
      </c>
    </row>
    <row r="59" spans="1:55">
      <c r="A59" s="333"/>
      <c r="C59" s="19" t="s">
        <v>69</v>
      </c>
      <c r="D59" s="2" t="s">
        <v>180</v>
      </c>
      <c r="E59" s="2" t="s">
        <v>181</v>
      </c>
      <c r="F59" s="135" t="s">
        <v>182</v>
      </c>
      <c r="G59" s="277">
        <v>15000</v>
      </c>
      <c r="H59" s="170"/>
      <c r="I59" s="171"/>
      <c r="J59" s="175">
        <v>80</v>
      </c>
      <c r="K59" s="169"/>
      <c r="L59" s="49"/>
      <c r="M59" s="49">
        <v>20.6</v>
      </c>
      <c r="N59" s="157"/>
      <c r="O59" s="172"/>
      <c r="P59" s="157">
        <f>1/(M59/100)</f>
        <v>4.8543689320388346</v>
      </c>
      <c r="T59" s="11"/>
      <c r="U59" s="238">
        <f>P59/3.6</f>
        <v>1.3484358144552318</v>
      </c>
      <c r="V59" s="19">
        <v>1600</v>
      </c>
      <c r="W59" s="11">
        <v>2300</v>
      </c>
      <c r="X59" s="160">
        <v>31955</v>
      </c>
      <c r="Y59" s="47">
        <f t="shared" si="1"/>
        <v>38761.415000000001</v>
      </c>
      <c r="Z59" s="296">
        <f t="shared" si="2"/>
        <v>2580</v>
      </c>
    </row>
    <row r="60" spans="1:55">
      <c r="A60" s="333"/>
      <c r="B60" s="9" t="s">
        <v>423</v>
      </c>
      <c r="C60" s="19" t="s">
        <v>33</v>
      </c>
      <c r="D60" s="2" t="s">
        <v>479</v>
      </c>
      <c r="E60" s="2" t="s">
        <v>476</v>
      </c>
      <c r="F60" s="135" t="s">
        <v>182</v>
      </c>
      <c r="G60" s="277">
        <v>15000</v>
      </c>
      <c r="H60" s="170"/>
      <c r="I60" s="171"/>
      <c r="J60" s="175">
        <v>82</v>
      </c>
      <c r="K60" s="169"/>
      <c r="L60" s="49"/>
      <c r="M60" s="49">
        <v>17</v>
      </c>
      <c r="N60" s="157"/>
      <c r="O60" s="172"/>
      <c r="P60" s="157">
        <f>1/(M60/100)</f>
        <v>5.8823529411764701</v>
      </c>
      <c r="T60" s="11"/>
      <c r="U60" s="238">
        <f>P60/3.6</f>
        <v>1.6339869281045749</v>
      </c>
      <c r="V60" s="19"/>
      <c r="W60" s="11" t="s">
        <v>27</v>
      </c>
      <c r="X60" s="160" t="s">
        <v>549</v>
      </c>
      <c r="Y60" s="47"/>
      <c r="Z60" s="296">
        <f t="shared" si="2"/>
        <v>0</v>
      </c>
    </row>
    <row r="61" spans="1:55">
      <c r="A61" s="333"/>
      <c r="C61" s="42" t="s">
        <v>267</v>
      </c>
      <c r="D61" s="43"/>
      <c r="E61" s="43"/>
      <c r="F61" s="135" t="s">
        <v>182</v>
      </c>
      <c r="G61" s="277">
        <v>15000</v>
      </c>
      <c r="H61" s="164"/>
      <c r="I61" s="134"/>
      <c r="J61" s="149">
        <f>AVERAGE(J57:J59)</f>
        <v>57.666666666666664</v>
      </c>
      <c r="K61" s="156"/>
      <c r="L61" s="50"/>
      <c r="M61" s="50">
        <f>AVERAGE(M57:M59)</f>
        <v>17.8</v>
      </c>
      <c r="N61" s="50"/>
      <c r="O61" s="50"/>
      <c r="P61" s="157">
        <f>1/(M61/100)</f>
        <v>5.6179775280898872</v>
      </c>
      <c r="Q61" s="44"/>
      <c r="R61" s="44"/>
      <c r="S61" s="44"/>
      <c r="T61" s="45"/>
      <c r="U61" s="238">
        <f>P61/3.6</f>
        <v>1.5605493133583019</v>
      </c>
      <c r="V61" s="143"/>
      <c r="W61" s="45">
        <f>AVERAGE(W57:W60)</f>
        <v>2275</v>
      </c>
      <c r="X61" s="164">
        <f>AVERAGE(X57:X60)</f>
        <v>29407.053333333333</v>
      </c>
      <c r="Y61" s="47">
        <f t="shared" si="1"/>
        <v>35670.755693333333</v>
      </c>
      <c r="Z61" s="296">
        <f t="shared" si="2"/>
        <v>2380</v>
      </c>
    </row>
    <row r="62" spans="1:55">
      <c r="A62" s="333"/>
      <c r="C62" s="10"/>
      <c r="F62" s="11"/>
      <c r="H62" s="161"/>
      <c r="I62" s="48"/>
      <c r="J62" s="165"/>
      <c r="K62" s="154"/>
      <c r="L62" s="157"/>
      <c r="M62" s="157"/>
      <c r="N62" s="157"/>
      <c r="O62" s="157"/>
      <c r="P62" s="157"/>
      <c r="T62" s="11"/>
      <c r="U62" s="235"/>
      <c r="V62" s="10"/>
      <c r="W62" s="11"/>
      <c r="X62" s="161"/>
      <c r="Y62" s="47"/>
      <c r="Z62" s="296" t="e">
        <f t="shared" si="2"/>
        <v>#DIV/0!</v>
      </c>
    </row>
    <row r="63" spans="1:55">
      <c r="A63" s="333"/>
      <c r="B63" s="9" t="s">
        <v>423</v>
      </c>
      <c r="C63" s="10" t="s">
        <v>33</v>
      </c>
      <c r="D63" t="s">
        <v>478</v>
      </c>
      <c r="E63" t="s">
        <v>475</v>
      </c>
      <c r="F63" s="137" t="s">
        <v>186</v>
      </c>
      <c r="G63" s="283">
        <v>20000</v>
      </c>
      <c r="H63" s="161"/>
      <c r="I63" s="48"/>
      <c r="J63" s="165">
        <v>82</v>
      </c>
      <c r="K63" s="154"/>
      <c r="L63" s="157"/>
      <c r="M63" s="157">
        <v>18</v>
      </c>
      <c r="N63" s="157"/>
      <c r="O63" s="172"/>
      <c r="P63" s="157">
        <f t="shared" ref="P63:P68" si="6">1/(M63/100)</f>
        <v>5.5555555555555554</v>
      </c>
      <c r="T63" s="11"/>
      <c r="U63" s="238">
        <f t="shared" ref="U63:U68" si="7">P63/3.6</f>
        <v>1.5432098765432098</v>
      </c>
      <c r="V63" s="10">
        <v>2100</v>
      </c>
      <c r="W63" s="11">
        <v>2800</v>
      </c>
      <c r="X63" s="160" t="s">
        <v>156</v>
      </c>
      <c r="Y63" s="47"/>
      <c r="Z63" s="296">
        <f t="shared" si="2"/>
        <v>0</v>
      </c>
    </row>
    <row r="64" spans="1:55">
      <c r="A64" s="333"/>
      <c r="C64" s="42" t="s">
        <v>267</v>
      </c>
      <c r="D64" s="43"/>
      <c r="E64" s="43"/>
      <c r="F64" s="136"/>
      <c r="G64" s="43"/>
      <c r="H64" s="164"/>
      <c r="I64" s="134"/>
      <c r="J64" s="149">
        <f>AVERAGE(J63)</f>
        <v>82</v>
      </c>
      <c r="K64" s="156"/>
      <c r="L64" s="50"/>
      <c r="M64" s="50">
        <f>AVERAGE(M63)</f>
        <v>18</v>
      </c>
      <c r="N64" s="50"/>
      <c r="O64" s="50"/>
      <c r="P64" s="157">
        <f t="shared" si="6"/>
        <v>5.5555555555555554</v>
      </c>
      <c r="Q64" s="44"/>
      <c r="R64" s="44"/>
      <c r="S64" s="44"/>
      <c r="T64" s="45"/>
      <c r="U64" s="238">
        <f t="shared" si="7"/>
        <v>1.5432098765432098</v>
      </c>
      <c r="V64" s="143"/>
      <c r="W64" s="45">
        <f>AVERAGE(W63)</f>
        <v>2800</v>
      </c>
      <c r="X64" s="164"/>
      <c r="Y64" s="47"/>
      <c r="Z64" s="296" t="e">
        <f t="shared" si="2"/>
        <v>#DIV/0!</v>
      </c>
    </row>
    <row r="65" spans="1:55" s="9" customFormat="1">
      <c r="A65" s="333"/>
      <c r="B65"/>
      <c r="C65" s="224" t="s">
        <v>524</v>
      </c>
      <c r="D65" s="225"/>
      <c r="E65" s="225"/>
      <c r="F65" s="226"/>
      <c r="G65" s="225"/>
      <c r="H65" s="227"/>
      <c r="I65" s="228"/>
      <c r="J65" s="229">
        <f>AVERAGE(J61,J68)</f>
        <v>68.083333333333329</v>
      </c>
      <c r="K65" s="230"/>
      <c r="L65" s="231"/>
      <c r="M65" s="231">
        <f>AVERAGE(M61,M68)</f>
        <v>19.524999999999999</v>
      </c>
      <c r="N65" s="231"/>
      <c r="O65" s="231"/>
      <c r="P65" s="232">
        <f t="shared" si="6"/>
        <v>5.1216389244558265</v>
      </c>
      <c r="Q65" s="233"/>
      <c r="R65" s="233"/>
      <c r="S65" s="233"/>
      <c r="T65" s="234"/>
      <c r="U65" s="238">
        <f t="shared" si="7"/>
        <v>1.4226774790155072</v>
      </c>
      <c r="V65" s="236"/>
      <c r="W65" s="234">
        <f>AVERAGE(W64,W67)</f>
        <v>3150</v>
      </c>
      <c r="X65" s="227">
        <f>AVERAGE(X61,X67)</f>
        <v>49453.526666666665</v>
      </c>
      <c r="Y65" s="47">
        <f t="shared" si="1"/>
        <v>59987.12784666667</v>
      </c>
      <c r="Z65" s="296" t="e">
        <f t="shared" si="2"/>
        <v>#DIV/0!</v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>
      <c r="A66" s="333"/>
      <c r="C66" s="19" t="s">
        <v>118</v>
      </c>
      <c r="D66" s="2" t="s">
        <v>146</v>
      </c>
      <c r="E66" s="2" t="s">
        <v>482</v>
      </c>
      <c r="F66" s="140" t="s">
        <v>185</v>
      </c>
      <c r="G66" s="279">
        <v>25000</v>
      </c>
      <c r="H66" s="170"/>
      <c r="I66" s="171"/>
      <c r="J66" s="175">
        <v>57</v>
      </c>
      <c r="K66" s="169"/>
      <c r="L66" s="49"/>
      <c r="M66" s="172">
        <v>21</v>
      </c>
      <c r="N66" s="157"/>
      <c r="O66" s="172"/>
      <c r="P66" s="157">
        <f t="shared" si="6"/>
        <v>4.7619047619047619</v>
      </c>
      <c r="T66" s="11"/>
      <c r="U66" s="238">
        <f t="shared" si="7"/>
        <v>1.3227513227513228</v>
      </c>
      <c r="V66" s="19"/>
      <c r="W66" s="11">
        <v>2800</v>
      </c>
      <c r="X66" s="160">
        <v>62700</v>
      </c>
      <c r="Y66" s="47">
        <f t="shared" si="1"/>
        <v>76055.100000000006</v>
      </c>
      <c r="Z66" s="296">
        <f t="shared" si="2"/>
        <v>3040</v>
      </c>
    </row>
    <row r="67" spans="1:55">
      <c r="A67" s="333"/>
      <c r="C67" s="19" t="s">
        <v>33</v>
      </c>
      <c r="D67" s="2" t="s">
        <v>136</v>
      </c>
      <c r="E67" s="2" t="s">
        <v>137</v>
      </c>
      <c r="F67" s="140" t="s">
        <v>185</v>
      </c>
      <c r="G67" s="279">
        <v>25000</v>
      </c>
      <c r="H67" s="170"/>
      <c r="I67" s="171"/>
      <c r="J67" s="175">
        <v>100</v>
      </c>
      <c r="K67" s="169"/>
      <c r="L67" s="49"/>
      <c r="M67" s="49">
        <v>21.5</v>
      </c>
      <c r="N67" s="157"/>
      <c r="O67" s="172"/>
      <c r="P67" s="157">
        <f t="shared" si="6"/>
        <v>4.6511627906976747</v>
      </c>
      <c r="T67" s="11"/>
      <c r="U67" s="238">
        <f t="shared" si="7"/>
        <v>1.2919896640826873</v>
      </c>
      <c r="V67" s="19">
        <v>2800</v>
      </c>
      <c r="W67" s="11">
        <v>3500</v>
      </c>
      <c r="X67" s="160">
        <v>69500</v>
      </c>
      <c r="Y67" s="47">
        <f t="shared" si="1"/>
        <v>84303.5</v>
      </c>
      <c r="Z67" s="296">
        <f t="shared" si="2"/>
        <v>3370</v>
      </c>
    </row>
    <row r="68" spans="1:55">
      <c r="A68" s="333"/>
      <c r="C68" s="42" t="s">
        <v>267</v>
      </c>
      <c r="D68" s="43"/>
      <c r="E68" s="43"/>
      <c r="F68" s="140" t="s">
        <v>185</v>
      </c>
      <c r="G68" s="279">
        <v>25000</v>
      </c>
      <c r="H68" s="164"/>
      <c r="I68" s="134"/>
      <c r="J68" s="149">
        <f>AVERAGE(J66:J67)</f>
        <v>78.5</v>
      </c>
      <c r="K68" s="156"/>
      <c r="L68" s="50"/>
      <c r="M68" s="50">
        <f>AVERAGE(M66:M67)</f>
        <v>21.25</v>
      </c>
      <c r="N68" s="50"/>
      <c r="O68" s="50"/>
      <c r="P68" s="34">
        <f t="shared" si="6"/>
        <v>4.7058823529411766</v>
      </c>
      <c r="Q68" s="44"/>
      <c r="R68" s="44"/>
      <c r="S68" s="44"/>
      <c r="T68" s="45"/>
      <c r="U68" s="238">
        <f t="shared" si="7"/>
        <v>1.3071895424836601</v>
      </c>
      <c r="V68" s="143"/>
      <c r="W68" s="45">
        <f>AVERAGE(W66:W67)</f>
        <v>3150</v>
      </c>
      <c r="X68" s="164">
        <f>AVERAGE(X66:X67)</f>
        <v>66100</v>
      </c>
      <c r="Y68" s="47">
        <f t="shared" ref="Y68:Y73" si="8">1.213*X68</f>
        <v>80179.3</v>
      </c>
      <c r="Z68" s="296">
        <f t="shared" ref="Z68:Z73" si="9">ROUND(Y68/(G68)/0.001,-1)</f>
        <v>3210</v>
      </c>
    </row>
    <row r="69" spans="1:55" ht="16" customHeight="1">
      <c r="A69" s="333"/>
      <c r="C69" s="19"/>
      <c r="D69" s="2"/>
      <c r="E69" s="2"/>
      <c r="F69" s="11"/>
      <c r="H69" s="170"/>
      <c r="I69" s="171"/>
      <c r="J69" s="175"/>
      <c r="K69" s="169"/>
      <c r="L69" s="49"/>
      <c r="M69" s="49"/>
      <c r="N69" s="157"/>
      <c r="O69" s="172"/>
      <c r="P69" s="172"/>
      <c r="T69" s="11"/>
      <c r="U69" s="235"/>
      <c r="V69" s="19"/>
      <c r="W69" s="11"/>
      <c r="X69" s="160"/>
      <c r="Y69" s="47"/>
      <c r="Z69" s="296" t="e">
        <f t="shared" si="9"/>
        <v>#DIV/0!</v>
      </c>
    </row>
    <row r="70" spans="1:55">
      <c r="A70" s="333" t="s">
        <v>547</v>
      </c>
      <c r="B70" s="247" t="s">
        <v>550</v>
      </c>
      <c r="C70" s="210" t="str">
        <f>'TRT Cars'!C189</f>
        <v>Hybrid/Gasoline</v>
      </c>
      <c r="D70" s="203"/>
      <c r="E70" s="203"/>
      <c r="F70" s="211"/>
      <c r="G70" s="203"/>
      <c r="H70" s="212"/>
      <c r="I70" s="216">
        <f>'TRT Cars'!I189</f>
        <v>1.0566037735849056</v>
      </c>
      <c r="J70" s="214"/>
      <c r="K70" s="215">
        <f>'TRT Cars'!K189</f>
        <v>0.64535768645357694</v>
      </c>
      <c r="L70" s="216"/>
      <c r="M70" s="216"/>
      <c r="N70" s="216">
        <f>'TRT Cars'!N189</f>
        <v>1.5495283018867925</v>
      </c>
      <c r="O70" s="216"/>
      <c r="P70" s="216"/>
      <c r="Q70" s="206"/>
      <c r="R70" s="206"/>
      <c r="S70" s="206"/>
      <c r="T70" s="217"/>
      <c r="U70" s="245">
        <f>'TRT Cars'!S189</f>
        <v>1.5495283018867925</v>
      </c>
      <c r="V70" s="220"/>
      <c r="W70" s="217">
        <f>'TRT Cars'!T189</f>
        <v>1.1285968933027757</v>
      </c>
      <c r="X70" s="218">
        <f>'TRT Cars'!U189</f>
        <v>1.1956450587105885</v>
      </c>
      <c r="Y70" s="47"/>
      <c r="Z70" s="296" t="e">
        <f t="shared" si="9"/>
        <v>#DIV/0!</v>
      </c>
      <c r="AD70" s="6"/>
      <c r="AE70" s="6"/>
    </row>
    <row r="71" spans="1:55" s="9" customFormat="1">
      <c r="A71" s="333"/>
      <c r="B71" s="11" t="s">
        <v>551</v>
      </c>
      <c r="C71" s="224" t="s">
        <v>525</v>
      </c>
      <c r="D71" s="225"/>
      <c r="E71" s="225"/>
      <c r="F71" s="137" t="s">
        <v>186</v>
      </c>
      <c r="G71" s="283">
        <v>20000</v>
      </c>
      <c r="H71" s="227"/>
      <c r="I71" s="228">
        <f>I70*H27</f>
        <v>104.95597484276729</v>
      </c>
      <c r="J71" s="229"/>
      <c r="K71" s="231">
        <f>K70*K27</f>
        <v>4.022729578893963</v>
      </c>
      <c r="L71" s="231"/>
      <c r="M71" s="231"/>
      <c r="N71" s="157">
        <f t="shared" ref="N71" si="10">1/(K71/100)</f>
        <v>24.858742811018057</v>
      </c>
      <c r="O71" s="231"/>
      <c r="P71" s="231"/>
      <c r="Q71" s="233"/>
      <c r="R71" s="233"/>
      <c r="S71" s="233"/>
      <c r="T71" s="234"/>
      <c r="U71" s="235">
        <f>N71/'Fuels, properties and prices'!$F$3</f>
        <v>0.77433485324796503</v>
      </c>
      <c r="V71" s="236"/>
      <c r="W71" s="231">
        <f>W70*W27</f>
        <v>3252.2400475341651</v>
      </c>
      <c r="X71" s="231">
        <f>X70*X27</f>
        <v>29360.416867606556</v>
      </c>
      <c r="Y71" s="47">
        <f t="shared" si="8"/>
        <v>35614.185660406758</v>
      </c>
      <c r="Z71" s="296">
        <f t="shared" si="9"/>
        <v>1780</v>
      </c>
      <c r="AA71"/>
      <c r="AB71"/>
      <c r="AC71"/>
      <c r="AD71" s="6"/>
      <c r="AE71" s="6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s="9" customFormat="1">
      <c r="A72" s="333"/>
      <c r="B72"/>
      <c r="C72" s="224" t="s">
        <v>533</v>
      </c>
      <c r="D72" s="225"/>
      <c r="E72" s="225"/>
      <c r="F72" s="135" t="s">
        <v>182</v>
      </c>
      <c r="G72" s="277">
        <v>15000</v>
      </c>
      <c r="H72" s="227"/>
      <c r="I72" s="228">
        <f>I70*H22</f>
        <v>78.584905660377359</v>
      </c>
      <c r="J72" s="229"/>
      <c r="K72" s="228">
        <f>K70*K22</f>
        <v>2.9283105022831051</v>
      </c>
      <c r="L72" s="231"/>
      <c r="M72" s="231"/>
      <c r="N72" s="157">
        <f t="shared" ref="N72:N73" si="11">1/(K72/100)</f>
        <v>34.149384063620772</v>
      </c>
      <c r="O72" s="231"/>
      <c r="P72" s="231"/>
      <c r="Q72" s="233"/>
      <c r="R72" s="233"/>
      <c r="S72" s="233"/>
      <c r="T72" s="234"/>
      <c r="U72" s="235">
        <f>N72/'Fuels, properties and prices'!$F$3</f>
        <v>1.0637327276941744</v>
      </c>
      <c r="V72" s="228"/>
      <c r="W72" s="228">
        <f>W70*W22</f>
        <v>2311.6485867074102</v>
      </c>
      <c r="X72" s="228">
        <f>X70*X22</f>
        <v>19902.095001708483</v>
      </c>
      <c r="Y72" s="47">
        <f t="shared" si="8"/>
        <v>24141.241237072391</v>
      </c>
      <c r="Z72" s="296">
        <f t="shared" si="9"/>
        <v>1610</v>
      </c>
      <c r="AA72"/>
      <c r="AB72"/>
      <c r="AC72"/>
      <c r="AD72" s="6"/>
      <c r="AE72" s="6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s="9" customFormat="1">
      <c r="A73" s="333"/>
      <c r="B73"/>
      <c r="C73" s="224" t="s">
        <v>534</v>
      </c>
      <c r="D73" s="225"/>
      <c r="E73" s="225"/>
      <c r="F73" s="140" t="s">
        <v>185</v>
      </c>
      <c r="G73" s="279">
        <v>25000</v>
      </c>
      <c r="H73" s="227"/>
      <c r="I73" s="228">
        <f>I70*H34</f>
        <v>128.06037735849057</v>
      </c>
      <c r="J73" s="229"/>
      <c r="K73" s="228">
        <f>K70*K34</f>
        <v>4.5820395738203956</v>
      </c>
      <c r="L73" s="231"/>
      <c r="M73" s="231"/>
      <c r="N73" s="157">
        <f t="shared" si="11"/>
        <v>21.824342280095667</v>
      </c>
      <c r="O73" s="231"/>
      <c r="P73" s="231"/>
      <c r="Q73" s="233"/>
      <c r="R73" s="233"/>
      <c r="S73" s="233"/>
      <c r="T73" s="234"/>
      <c r="U73" s="235">
        <f>N73/'Fuels, properties and prices'!$F$3</f>
        <v>0.67981510590314309</v>
      </c>
      <c r="V73" s="236"/>
      <c r="W73" s="228">
        <f>W70*W34</f>
        <v>3950.0891265597147</v>
      </c>
      <c r="X73" s="228">
        <f>X70*X34</f>
        <v>37563.803199491478</v>
      </c>
      <c r="Y73" s="47">
        <f t="shared" si="8"/>
        <v>45564.893280983168</v>
      </c>
      <c r="Z73" s="296">
        <f t="shared" si="9"/>
        <v>1820</v>
      </c>
      <c r="AA73"/>
      <c r="AB73"/>
      <c r="AC73"/>
      <c r="AD73" s="6"/>
      <c r="AE73" s="6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29" customHeight="1">
      <c r="A74" s="333" t="s">
        <v>548</v>
      </c>
      <c r="B74" s="9" t="s">
        <v>423</v>
      </c>
      <c r="C74" s="19" t="s">
        <v>72</v>
      </c>
      <c r="D74" s="2" t="s">
        <v>168</v>
      </c>
      <c r="E74" s="2" t="s">
        <v>170</v>
      </c>
      <c r="F74" s="137" t="s">
        <v>186</v>
      </c>
      <c r="G74" s="283">
        <v>20000</v>
      </c>
      <c r="H74" s="170"/>
      <c r="I74" s="171">
        <v>92</v>
      </c>
      <c r="J74" s="176" t="s">
        <v>27</v>
      </c>
      <c r="K74" s="174" t="s">
        <v>27</v>
      </c>
      <c r="L74" s="49"/>
      <c r="M74" s="172" t="s">
        <v>27</v>
      </c>
      <c r="N74" s="157"/>
      <c r="O74" s="172"/>
      <c r="P74" s="172"/>
      <c r="Q74" s="2"/>
      <c r="T74" s="11"/>
      <c r="U74" s="235"/>
      <c r="V74" s="32">
        <v>1800</v>
      </c>
      <c r="W74" s="11">
        <v>2800</v>
      </c>
      <c r="X74" s="160" t="s">
        <v>27</v>
      </c>
      <c r="Y74" s="47"/>
      <c r="Z74" s="296"/>
    </row>
    <row r="75" spans="1:55">
      <c r="A75" s="333"/>
      <c r="C75" s="42" t="s">
        <v>267</v>
      </c>
      <c r="D75" s="43"/>
      <c r="E75" s="43"/>
      <c r="F75" s="137" t="s">
        <v>186</v>
      </c>
      <c r="G75" s="283">
        <v>20000</v>
      </c>
      <c r="H75" s="164"/>
      <c r="I75" s="134"/>
      <c r="J75" s="149"/>
      <c r="K75" s="156"/>
      <c r="L75" s="50"/>
      <c r="M75" s="50"/>
      <c r="N75" s="50"/>
      <c r="O75" s="50"/>
      <c r="P75" s="50"/>
      <c r="Q75" s="44"/>
      <c r="R75" s="44"/>
      <c r="S75" s="44"/>
      <c r="T75" s="45"/>
      <c r="U75" s="245"/>
      <c r="V75" s="143"/>
      <c r="W75" s="45"/>
      <c r="X75" s="164"/>
      <c r="Y75" s="47"/>
      <c r="Z75" s="296"/>
    </row>
    <row r="76" spans="1:55">
      <c r="A76" s="333"/>
      <c r="C76" s="138" t="s">
        <v>537</v>
      </c>
      <c r="D76" s="91"/>
      <c r="E76" s="91"/>
      <c r="F76" s="139"/>
      <c r="G76" s="91"/>
      <c r="H76" s="162"/>
      <c r="I76" s="128"/>
      <c r="J76" s="163"/>
      <c r="K76" s="155"/>
      <c r="L76" s="173"/>
      <c r="M76" s="173"/>
      <c r="N76" s="173"/>
      <c r="O76" s="173"/>
      <c r="P76" s="173"/>
      <c r="Q76" s="93"/>
      <c r="R76" s="93"/>
      <c r="S76" s="93"/>
      <c r="T76" s="144"/>
      <c r="U76" s="245"/>
      <c r="V76" s="150"/>
      <c r="W76" s="144"/>
      <c r="X76" s="162"/>
      <c r="Y76" s="47"/>
      <c r="Z76" s="296"/>
      <c r="AD76" s="6"/>
      <c r="AE76" s="6"/>
    </row>
    <row r="77" spans="1:55">
      <c r="A77" t="s">
        <v>31</v>
      </c>
      <c r="C77" s="130"/>
      <c r="D77" s="142"/>
      <c r="E77" s="142"/>
      <c r="F77" s="131"/>
      <c r="G77" s="142"/>
      <c r="H77" s="166"/>
      <c r="I77" s="167"/>
      <c r="J77" s="168"/>
      <c r="K77" s="158"/>
      <c r="L77" s="159"/>
      <c r="M77" s="159"/>
      <c r="N77" s="159"/>
      <c r="O77" s="159"/>
      <c r="P77" s="159"/>
      <c r="Q77" s="142"/>
      <c r="R77" s="142"/>
      <c r="S77" s="142"/>
      <c r="T77" s="131"/>
      <c r="U77" s="317"/>
      <c r="V77" s="130"/>
      <c r="W77" s="131"/>
      <c r="X77" s="166"/>
      <c r="Y77" s="223"/>
      <c r="Z77" s="297"/>
    </row>
  </sheetData>
  <mergeCells count="11">
    <mergeCell ref="A74:A76"/>
    <mergeCell ref="H1:J1"/>
    <mergeCell ref="K1:T1"/>
    <mergeCell ref="V1:W1"/>
    <mergeCell ref="A3:A13"/>
    <mergeCell ref="A14:A43"/>
    <mergeCell ref="X1:Z1"/>
    <mergeCell ref="A44:A49"/>
    <mergeCell ref="A50:A56"/>
    <mergeCell ref="A57:A69"/>
    <mergeCell ref="A70:A73"/>
  </mergeCell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CC3F-7D92-44F0-9C14-D0FE199191CE}">
  <dimension ref="A1:AK27"/>
  <sheetViews>
    <sheetView topLeftCell="O1" zoomScale="70" zoomScaleNormal="70" workbookViewId="0">
      <selection activeCell="Y4" sqref="Y4"/>
    </sheetView>
  </sheetViews>
  <sheetFormatPr defaultRowHeight="14.5"/>
  <cols>
    <col min="1" max="1" width="10.90625" bestFit="1" customWidth="1"/>
    <col min="2" max="2" width="15" bestFit="1" customWidth="1"/>
    <col min="4" max="4" width="15" bestFit="1" customWidth="1"/>
    <col min="5" max="5" width="17.453125" bestFit="1" customWidth="1"/>
    <col min="6" max="6" width="31.6328125" bestFit="1" customWidth="1"/>
    <col min="7" max="7" width="8.81640625" customWidth="1"/>
    <col min="9" max="9" width="9.81640625" customWidth="1"/>
    <col min="12" max="13" width="11.36328125" customWidth="1"/>
    <col min="14" max="14" width="26.1796875" bestFit="1" customWidth="1"/>
    <col min="15" max="15" width="16.54296875" bestFit="1" customWidth="1"/>
    <col min="16" max="16" width="16.6328125" bestFit="1" customWidth="1"/>
    <col min="17" max="17" width="16.6328125" customWidth="1"/>
    <col min="18" max="18" width="13.08984375" bestFit="1" customWidth="1"/>
    <col min="19" max="19" width="13.08984375" customWidth="1"/>
    <col min="22" max="22" width="12.36328125" bestFit="1" customWidth="1"/>
    <col min="23" max="23" width="13.26953125" bestFit="1" customWidth="1"/>
    <col min="25" max="25" width="13.08984375" bestFit="1" customWidth="1"/>
  </cols>
  <sheetData>
    <row r="1" spans="1:37">
      <c r="A1" s="3" t="s">
        <v>3</v>
      </c>
      <c r="B1" s="3" t="s">
        <v>4</v>
      </c>
      <c r="C1" s="15" t="s">
        <v>32</v>
      </c>
      <c r="D1" s="16" t="s">
        <v>20</v>
      </c>
      <c r="E1" s="16" t="s">
        <v>36</v>
      </c>
      <c r="F1" s="127" t="s">
        <v>58</v>
      </c>
      <c r="G1" s="321" t="s">
        <v>38</v>
      </c>
      <c r="H1" s="322"/>
      <c r="I1" s="323"/>
      <c r="J1" s="321" t="s">
        <v>37</v>
      </c>
      <c r="K1" s="322"/>
      <c r="L1" s="322"/>
      <c r="M1" s="322"/>
      <c r="N1" s="322"/>
      <c r="O1" s="322"/>
      <c r="P1" s="322"/>
      <c r="Q1" s="322"/>
      <c r="R1" s="322"/>
      <c r="S1" s="323"/>
      <c r="T1" s="15" t="s">
        <v>6</v>
      </c>
      <c r="U1" s="16" t="s">
        <v>421</v>
      </c>
      <c r="V1" s="132" t="s">
        <v>35</v>
      </c>
      <c r="W1" s="322" t="s">
        <v>40</v>
      </c>
      <c r="X1" s="323"/>
      <c r="Y1" s="132" t="s">
        <v>62</v>
      </c>
      <c r="Z1" s="3"/>
      <c r="AB1" s="3"/>
      <c r="AC1" s="3"/>
      <c r="AJ1" t="s">
        <v>436</v>
      </c>
    </row>
    <row r="2" spans="1:37" s="5" customFormat="1">
      <c r="A2" s="4" t="s">
        <v>497</v>
      </c>
      <c r="B2" s="4"/>
      <c r="C2" s="7"/>
      <c r="D2" s="4"/>
      <c r="E2" s="184"/>
      <c r="F2" s="8"/>
      <c r="G2" s="7" t="s">
        <v>82</v>
      </c>
      <c r="H2" s="4" t="s">
        <v>85</v>
      </c>
      <c r="I2" s="8" t="s">
        <v>66</v>
      </c>
      <c r="J2" s="7" t="s">
        <v>199</v>
      </c>
      <c r="K2" s="4" t="s">
        <v>42</v>
      </c>
      <c r="L2" s="4" t="s">
        <v>76</v>
      </c>
      <c r="M2" s="4" t="s">
        <v>268</v>
      </c>
      <c r="N2" s="4" t="s">
        <v>271</v>
      </c>
      <c r="O2" s="4" t="s">
        <v>272</v>
      </c>
      <c r="P2" s="4" t="s">
        <v>289</v>
      </c>
      <c r="Q2" s="4" t="s">
        <v>290</v>
      </c>
      <c r="R2" s="4" t="s">
        <v>291</v>
      </c>
      <c r="S2" s="8" t="s">
        <v>292</v>
      </c>
      <c r="T2" s="7" t="s">
        <v>277</v>
      </c>
      <c r="U2" s="4" t="s">
        <v>420</v>
      </c>
      <c r="V2" s="12" t="s">
        <v>300</v>
      </c>
      <c r="W2" s="4" t="s">
        <v>471</v>
      </c>
      <c r="X2" s="8" t="s">
        <v>465</v>
      </c>
      <c r="Y2" s="12" t="s">
        <v>522</v>
      </c>
      <c r="Z2" s="4"/>
      <c r="AB2" s="4"/>
      <c r="AC2" s="4"/>
      <c r="AJ2" s="5" t="s">
        <v>370</v>
      </c>
      <c r="AK2" s="5" t="s">
        <v>371</v>
      </c>
    </row>
    <row r="3" spans="1:37">
      <c r="A3" t="s">
        <v>7</v>
      </c>
      <c r="B3" t="s">
        <v>15</v>
      </c>
      <c r="C3" s="19"/>
      <c r="D3" s="2"/>
      <c r="E3" s="30"/>
      <c r="F3" s="11"/>
      <c r="G3" s="10"/>
      <c r="I3" s="11"/>
      <c r="J3" s="10"/>
      <c r="V3" s="182"/>
      <c r="X3" s="11"/>
      <c r="Y3" s="13"/>
    </row>
    <row r="4" spans="1:37">
      <c r="A4" t="s">
        <v>8</v>
      </c>
      <c r="B4" t="s">
        <v>16</v>
      </c>
      <c r="C4" s="19" t="s">
        <v>192</v>
      </c>
      <c r="D4" s="2" t="s">
        <v>227</v>
      </c>
      <c r="E4" s="30" t="s">
        <v>483</v>
      </c>
      <c r="F4" s="20"/>
      <c r="G4" s="19">
        <v>163</v>
      </c>
      <c r="I4" s="11"/>
      <c r="J4" s="10">
        <v>9</v>
      </c>
      <c r="K4" s="25"/>
      <c r="M4" s="157">
        <f>1/(J4/100)</f>
        <v>11.111111111111111</v>
      </c>
      <c r="N4" s="80"/>
      <c r="O4" s="80"/>
      <c r="S4" s="11"/>
      <c r="T4" s="145">
        <f>M4/'Fuels, properties and prices'!$F$3</f>
        <v>0.34610441312545609</v>
      </c>
      <c r="U4" s="146">
        <f>1/T4</f>
        <v>2.8893015000000002</v>
      </c>
      <c r="V4" s="57">
        <v>224</v>
      </c>
      <c r="W4">
        <v>2625</v>
      </c>
      <c r="X4" s="11">
        <v>5000</v>
      </c>
      <c r="Y4" s="13">
        <v>40000</v>
      </c>
    </row>
    <row r="5" spans="1:37">
      <c r="C5" s="19" t="s">
        <v>192</v>
      </c>
      <c r="D5" s="2" t="s">
        <v>201</v>
      </c>
      <c r="E5" s="30"/>
      <c r="F5" s="20"/>
      <c r="G5" s="19"/>
      <c r="I5" s="11"/>
      <c r="J5" s="10"/>
      <c r="K5" s="25"/>
      <c r="N5" s="25"/>
      <c r="O5" s="27"/>
      <c r="R5" s="27"/>
      <c r="S5" s="23"/>
      <c r="T5" s="10"/>
      <c r="V5" s="57"/>
      <c r="X5" s="11">
        <v>6500</v>
      </c>
      <c r="Y5" s="13">
        <v>60000</v>
      </c>
    </row>
    <row r="6" spans="1:37">
      <c r="C6" s="19" t="s">
        <v>192</v>
      </c>
      <c r="D6" s="2" t="s">
        <v>201</v>
      </c>
      <c r="E6" s="30"/>
      <c r="F6" s="20"/>
      <c r="G6" s="19"/>
      <c r="I6" s="11"/>
      <c r="J6" s="10"/>
      <c r="K6" s="25"/>
      <c r="N6" s="25"/>
      <c r="O6" s="27"/>
      <c r="R6" s="27"/>
      <c r="S6" s="23"/>
      <c r="T6" s="10"/>
      <c r="V6" s="57"/>
      <c r="X6" s="11">
        <v>7500</v>
      </c>
      <c r="Y6" s="13">
        <v>65000</v>
      </c>
    </row>
    <row r="7" spans="1:37">
      <c r="C7" s="19" t="s">
        <v>192</v>
      </c>
      <c r="D7" s="2" t="s">
        <v>201</v>
      </c>
      <c r="E7" s="30"/>
      <c r="F7" s="20"/>
      <c r="G7" s="19"/>
      <c r="I7" s="11"/>
      <c r="J7" s="10"/>
      <c r="K7" s="25"/>
      <c r="N7" s="25"/>
      <c r="O7" s="27"/>
      <c r="R7" s="27"/>
      <c r="S7" s="23"/>
      <c r="T7" s="10"/>
      <c r="V7" s="57"/>
      <c r="X7" s="11">
        <v>8000</v>
      </c>
      <c r="Y7" s="13">
        <v>70000</v>
      </c>
    </row>
    <row r="8" spans="1:37">
      <c r="C8" s="19" t="s">
        <v>192</v>
      </c>
      <c r="D8" s="2" t="s">
        <v>201</v>
      </c>
      <c r="E8" s="30"/>
      <c r="F8" s="20"/>
      <c r="G8" s="19"/>
      <c r="I8" s="11"/>
      <c r="J8" s="10"/>
      <c r="K8" s="25"/>
      <c r="N8" s="25"/>
      <c r="O8" s="27"/>
      <c r="R8" s="27"/>
      <c r="S8" s="23"/>
      <c r="T8" s="10"/>
      <c r="V8" s="57"/>
      <c r="X8" s="11">
        <v>9500</v>
      </c>
      <c r="Y8" s="13">
        <v>72000</v>
      </c>
    </row>
    <row r="9" spans="1:37">
      <c r="C9" s="19" t="s">
        <v>192</v>
      </c>
      <c r="D9" s="2" t="s">
        <v>201</v>
      </c>
      <c r="E9" s="30"/>
      <c r="F9" s="20"/>
      <c r="G9" s="19"/>
      <c r="I9" s="11"/>
      <c r="J9" s="10"/>
      <c r="K9" s="25"/>
      <c r="N9" s="25"/>
      <c r="O9" s="27"/>
      <c r="R9" s="27"/>
      <c r="S9" s="23"/>
      <c r="T9" s="10"/>
      <c r="V9" s="57"/>
      <c r="X9" s="11">
        <v>10500</v>
      </c>
      <c r="Y9" s="13">
        <v>75000</v>
      </c>
    </row>
    <row r="10" spans="1:37">
      <c r="C10" s="19" t="s">
        <v>192</v>
      </c>
      <c r="D10" s="2" t="s">
        <v>201</v>
      </c>
      <c r="E10" s="30"/>
      <c r="F10" s="20"/>
      <c r="G10" s="19"/>
      <c r="I10" s="11"/>
      <c r="J10" s="10"/>
      <c r="K10" s="25"/>
      <c r="N10" s="25"/>
      <c r="O10" s="27"/>
      <c r="R10" s="27"/>
      <c r="S10" s="23"/>
      <c r="T10" s="10"/>
      <c r="V10" s="57"/>
      <c r="X10" s="11">
        <v>12000</v>
      </c>
      <c r="Y10" s="13">
        <v>80000</v>
      </c>
    </row>
    <row r="11" spans="1:37">
      <c r="C11" s="19" t="s">
        <v>232</v>
      </c>
      <c r="D11" s="2" t="s">
        <v>234</v>
      </c>
      <c r="E11" s="30">
        <v>100</v>
      </c>
      <c r="F11" s="20"/>
      <c r="G11" s="19"/>
      <c r="I11" s="11"/>
      <c r="J11" s="10"/>
      <c r="K11" s="25"/>
      <c r="N11" s="25"/>
      <c r="O11" s="27"/>
      <c r="R11" s="27"/>
      <c r="S11" s="23"/>
      <c r="T11" s="10"/>
      <c r="V11" s="57"/>
      <c r="X11" s="11">
        <v>10000</v>
      </c>
      <c r="Y11" s="13">
        <v>75000</v>
      </c>
    </row>
    <row r="12" spans="1:37">
      <c r="C12" s="19" t="s">
        <v>232</v>
      </c>
      <c r="D12" s="2" t="s">
        <v>234</v>
      </c>
      <c r="E12" s="30">
        <v>120</v>
      </c>
      <c r="F12" s="20"/>
      <c r="G12" s="19"/>
      <c r="I12" s="11"/>
      <c r="J12" s="10"/>
      <c r="K12" s="25"/>
      <c r="N12" s="25"/>
      <c r="O12" s="27"/>
      <c r="R12" s="27"/>
      <c r="S12" s="23"/>
      <c r="T12" s="10"/>
      <c r="V12" s="57"/>
      <c r="X12" s="11">
        <v>11500</v>
      </c>
      <c r="Y12" s="13">
        <v>85000</v>
      </c>
    </row>
    <row r="13" spans="1:37">
      <c r="C13" s="19" t="s">
        <v>232</v>
      </c>
      <c r="D13" s="2" t="s">
        <v>234</v>
      </c>
      <c r="E13" s="30">
        <v>80</v>
      </c>
      <c r="F13" s="20"/>
      <c r="G13" s="19"/>
      <c r="I13" s="11"/>
      <c r="J13" s="10"/>
      <c r="K13" s="25"/>
      <c r="N13" s="25"/>
      <c r="O13" s="27"/>
      <c r="R13" s="27"/>
      <c r="S13" s="23"/>
      <c r="T13" s="10"/>
      <c r="V13" s="57"/>
      <c r="X13" s="11">
        <v>8000</v>
      </c>
      <c r="Y13" s="13">
        <v>65000</v>
      </c>
    </row>
    <row r="14" spans="1:37">
      <c r="C14" s="19" t="s">
        <v>232</v>
      </c>
      <c r="D14" s="2" t="s">
        <v>234</v>
      </c>
      <c r="E14" s="30">
        <v>90</v>
      </c>
      <c r="F14" s="20"/>
      <c r="G14" s="19"/>
      <c r="I14" s="11"/>
      <c r="J14" s="10"/>
      <c r="K14" s="25"/>
      <c r="N14" s="25"/>
      <c r="O14" s="27"/>
      <c r="R14" s="27"/>
      <c r="S14" s="23"/>
      <c r="T14" s="10"/>
      <c r="V14" s="57"/>
      <c r="X14" s="11">
        <v>9000</v>
      </c>
      <c r="Y14" s="13">
        <v>70000</v>
      </c>
    </row>
    <row r="15" spans="1:37">
      <c r="A15" t="s">
        <v>9</v>
      </c>
      <c r="B15" t="s">
        <v>17</v>
      </c>
      <c r="C15" s="19"/>
      <c r="D15" s="2"/>
      <c r="E15" s="30"/>
      <c r="F15" s="20"/>
      <c r="G15" s="19"/>
      <c r="H15" s="2"/>
      <c r="I15" s="20"/>
      <c r="J15" s="19"/>
      <c r="K15" s="2"/>
      <c r="L15" s="2"/>
      <c r="M15" s="2"/>
      <c r="N15" s="2"/>
      <c r="O15" s="21"/>
      <c r="Q15" s="2"/>
      <c r="R15" s="27"/>
      <c r="S15" s="23"/>
      <c r="T15" s="10"/>
      <c r="V15" s="182"/>
      <c r="Y15" s="13"/>
    </row>
    <row r="16" spans="1:37">
      <c r="A16" t="s">
        <v>10</v>
      </c>
      <c r="B16" t="s">
        <v>18</v>
      </c>
      <c r="C16" s="19"/>
      <c r="D16" s="2"/>
      <c r="E16" s="30"/>
      <c r="F16" s="11"/>
      <c r="G16" s="10"/>
      <c r="I16" s="11"/>
      <c r="J16" s="10"/>
      <c r="O16" s="27"/>
      <c r="R16" s="27"/>
      <c r="S16" s="23"/>
      <c r="T16" s="10"/>
      <c r="V16" s="182"/>
      <c r="X16" s="11"/>
      <c r="Y16" s="13"/>
    </row>
    <row r="17" spans="1:25">
      <c r="A17" t="s">
        <v>11</v>
      </c>
      <c r="B17" t="s">
        <v>19</v>
      </c>
      <c r="C17" s="19"/>
      <c r="E17" s="58"/>
      <c r="F17" s="11"/>
      <c r="G17" s="10"/>
      <c r="I17" s="11"/>
      <c r="J17" s="10"/>
      <c r="R17" s="27"/>
      <c r="S17" s="23"/>
      <c r="T17" s="10"/>
      <c r="V17" s="182"/>
      <c r="X17" s="11"/>
      <c r="Y17" s="13"/>
    </row>
    <row r="18" spans="1:25">
      <c r="A18" t="s">
        <v>12</v>
      </c>
      <c r="B18" t="s">
        <v>260</v>
      </c>
      <c r="C18" s="19"/>
      <c r="E18" s="58"/>
      <c r="F18" s="11"/>
      <c r="G18" s="19"/>
      <c r="I18" s="11"/>
      <c r="J18" s="10"/>
      <c r="R18" s="27"/>
      <c r="S18" s="23"/>
      <c r="T18" s="10"/>
      <c r="V18" s="182"/>
      <c r="X18" s="11"/>
      <c r="Y18" s="13"/>
    </row>
    <row r="19" spans="1:25">
      <c r="A19" t="s">
        <v>13</v>
      </c>
      <c r="B19" t="s">
        <v>16</v>
      </c>
      <c r="C19" s="19"/>
      <c r="D19" s="2"/>
      <c r="E19" s="30"/>
      <c r="F19" s="20"/>
      <c r="G19" s="19"/>
      <c r="H19" s="2"/>
      <c r="I19" s="20"/>
      <c r="J19" s="19"/>
      <c r="K19" s="2"/>
      <c r="L19" s="2"/>
      <c r="M19" s="2"/>
      <c r="N19" s="2"/>
      <c r="O19" s="21"/>
      <c r="P19" s="2"/>
      <c r="R19" s="27"/>
      <c r="S19" s="23"/>
      <c r="T19" s="10"/>
      <c r="V19" s="182"/>
      <c r="X19" s="11"/>
      <c r="Y19" s="13"/>
    </row>
    <row r="20" spans="1:25">
      <c r="A20" t="s">
        <v>14</v>
      </c>
      <c r="B20" t="s">
        <v>23</v>
      </c>
      <c r="C20" s="19"/>
      <c r="D20" s="2"/>
      <c r="E20" s="30"/>
      <c r="F20" s="11"/>
      <c r="G20" s="10"/>
      <c r="I20" s="11"/>
      <c r="J20" s="10"/>
      <c r="O20" s="27"/>
      <c r="R20" s="27"/>
      <c r="S20" s="23"/>
      <c r="T20" s="10"/>
      <c r="V20" s="182"/>
      <c r="X20" s="11"/>
      <c r="Y20" s="13"/>
    </row>
    <row r="21" spans="1:25">
      <c r="A21" t="s">
        <v>25</v>
      </c>
      <c r="B21" t="s">
        <v>26</v>
      </c>
      <c r="C21" s="178"/>
      <c r="D21" s="142"/>
      <c r="E21" s="142"/>
      <c r="F21" s="131"/>
      <c r="G21" s="178"/>
      <c r="H21" s="142"/>
      <c r="I21" s="131"/>
      <c r="J21" s="130"/>
      <c r="K21" s="142"/>
      <c r="L21" s="142"/>
      <c r="M21" s="142"/>
      <c r="N21" s="142"/>
      <c r="O21" s="179"/>
      <c r="P21" s="142"/>
      <c r="Q21" s="142"/>
      <c r="R21" s="180"/>
      <c r="S21" s="131"/>
      <c r="T21" s="130"/>
      <c r="U21" s="142"/>
      <c r="V21" s="183"/>
      <c r="W21" s="142"/>
      <c r="X21" s="131"/>
      <c r="Y21" s="133"/>
    </row>
    <row r="22" spans="1:25">
      <c r="V22" s="129"/>
    </row>
    <row r="23" spans="1:25">
      <c r="V23" s="129"/>
    </row>
    <row r="24" spans="1:25">
      <c r="D24" s="2"/>
      <c r="E24" s="2"/>
      <c r="F24" s="2"/>
      <c r="G24" s="2"/>
      <c r="H24" s="2"/>
      <c r="I24" s="2"/>
      <c r="J24" s="21"/>
      <c r="K24" s="21"/>
      <c r="L24" s="2"/>
      <c r="M24" s="21"/>
      <c r="N24" s="21"/>
      <c r="O24" s="21"/>
      <c r="P24" s="2"/>
      <c r="Q24" s="2"/>
      <c r="R24" s="27"/>
      <c r="S24" s="27"/>
      <c r="V24" s="129"/>
    </row>
    <row r="25" spans="1:2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1"/>
      <c r="P25" s="2"/>
      <c r="R25" s="27"/>
      <c r="S25" s="27"/>
      <c r="V25" s="129"/>
    </row>
    <row r="27" spans="1:25">
      <c r="N27" s="177"/>
    </row>
  </sheetData>
  <mergeCells count="3">
    <mergeCell ref="W1:X1"/>
    <mergeCell ref="G1:I1"/>
    <mergeCell ref="J1:S1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F3D3-3B4F-48F2-B907-109E7C99D518}">
  <dimension ref="A1:AK43"/>
  <sheetViews>
    <sheetView topLeftCell="O1" zoomScale="85" zoomScaleNormal="85" workbookViewId="0">
      <selection activeCell="Y1" sqref="Y1:Y30"/>
    </sheetView>
  </sheetViews>
  <sheetFormatPr defaultRowHeight="14.5"/>
  <cols>
    <col min="1" max="1" width="10.90625" bestFit="1" customWidth="1"/>
    <col min="2" max="2" width="15" bestFit="1" customWidth="1"/>
    <col min="4" max="4" width="12" bestFit="1" customWidth="1"/>
    <col min="5" max="5" width="17.453125" bestFit="1" customWidth="1"/>
    <col min="6" max="6" width="14.6328125" customWidth="1"/>
    <col min="7" max="7" width="9.1796875" customWidth="1"/>
    <col min="8" max="8" width="10.7265625" customWidth="1"/>
    <col min="9" max="9" width="9.81640625" customWidth="1"/>
    <col min="12" max="13" width="11.36328125" customWidth="1"/>
    <col min="14" max="14" width="9.6328125" customWidth="1"/>
    <col min="15" max="15" width="11.54296875" customWidth="1"/>
    <col min="16" max="16" width="12.54296875" customWidth="1"/>
    <col min="17" max="17" width="10.7265625" customWidth="1"/>
    <col min="18" max="18" width="9.08984375" customWidth="1"/>
    <col min="19" max="19" width="13.08984375" customWidth="1"/>
    <col min="22" max="22" width="12.36328125" bestFit="1" customWidth="1"/>
    <col min="23" max="23" width="13.26953125" bestFit="1" customWidth="1"/>
    <col min="25" max="25" width="13.36328125" bestFit="1" customWidth="1"/>
  </cols>
  <sheetData>
    <row r="1" spans="1:37">
      <c r="A1" s="3" t="s">
        <v>3</v>
      </c>
      <c r="B1" s="3" t="s">
        <v>4</v>
      </c>
      <c r="C1" s="15" t="s">
        <v>32</v>
      </c>
      <c r="D1" s="16" t="s">
        <v>20</v>
      </c>
      <c r="E1" s="16" t="s">
        <v>36</v>
      </c>
      <c r="F1" s="127" t="s">
        <v>58</v>
      </c>
      <c r="G1" s="321" t="s">
        <v>38</v>
      </c>
      <c r="H1" s="322"/>
      <c r="I1" s="323"/>
      <c r="J1" s="321" t="s">
        <v>37</v>
      </c>
      <c r="K1" s="322"/>
      <c r="L1" s="322"/>
      <c r="M1" s="322"/>
      <c r="N1" s="322"/>
      <c r="O1" s="322"/>
      <c r="P1" s="322"/>
      <c r="Q1" s="322"/>
      <c r="R1" s="322"/>
      <c r="S1" s="323"/>
      <c r="T1" s="16" t="s">
        <v>6</v>
      </c>
      <c r="U1" s="127" t="s">
        <v>421</v>
      </c>
      <c r="V1" s="132" t="s">
        <v>35</v>
      </c>
      <c r="W1" s="322" t="s">
        <v>40</v>
      </c>
      <c r="X1" s="323"/>
      <c r="Y1" s="127" t="s">
        <v>62</v>
      </c>
      <c r="Z1" s="3"/>
      <c r="AB1" s="3"/>
      <c r="AC1" s="3"/>
      <c r="AJ1" t="s">
        <v>436</v>
      </c>
    </row>
    <row r="2" spans="1:37" s="5" customFormat="1">
      <c r="A2" s="4" t="s">
        <v>498</v>
      </c>
      <c r="B2" s="4"/>
      <c r="C2" s="7"/>
      <c r="D2" s="4"/>
      <c r="E2" s="184"/>
      <c r="F2" s="8"/>
      <c r="G2" s="7" t="s">
        <v>82</v>
      </c>
      <c r="H2" s="4" t="s">
        <v>85</v>
      </c>
      <c r="I2" s="8" t="s">
        <v>66</v>
      </c>
      <c r="J2" s="7" t="s">
        <v>199</v>
      </c>
      <c r="K2" s="4" t="s">
        <v>42</v>
      </c>
      <c r="L2" s="4" t="s">
        <v>76</v>
      </c>
      <c r="M2" s="4" t="s">
        <v>268</v>
      </c>
      <c r="N2" s="4" t="s">
        <v>271</v>
      </c>
      <c r="O2" s="4" t="s">
        <v>272</v>
      </c>
      <c r="P2" s="4" t="s">
        <v>289</v>
      </c>
      <c r="Q2" s="4" t="s">
        <v>290</v>
      </c>
      <c r="R2" s="4" t="s">
        <v>291</v>
      </c>
      <c r="S2" s="8" t="s">
        <v>292</v>
      </c>
      <c r="T2" s="4" t="s">
        <v>277</v>
      </c>
      <c r="U2" s="8" t="s">
        <v>420</v>
      </c>
      <c r="V2" s="12" t="s">
        <v>300</v>
      </c>
      <c r="W2" s="4" t="s">
        <v>471</v>
      </c>
      <c r="X2" s="8" t="s">
        <v>465</v>
      </c>
      <c r="Y2" s="8" t="s">
        <v>522</v>
      </c>
      <c r="Z2" s="4"/>
      <c r="AB2" s="4"/>
      <c r="AC2" s="4"/>
      <c r="AJ2" s="5" t="s">
        <v>370</v>
      </c>
      <c r="AK2" s="5" t="s">
        <v>371</v>
      </c>
    </row>
    <row r="3" spans="1:37">
      <c r="A3" t="s">
        <v>7</v>
      </c>
      <c r="B3" t="s">
        <v>15</v>
      </c>
      <c r="C3" s="19"/>
      <c r="D3" s="2"/>
      <c r="E3" s="30"/>
      <c r="F3" s="11"/>
      <c r="G3" s="10"/>
      <c r="I3" s="11"/>
      <c r="J3" s="10"/>
      <c r="O3" s="27"/>
      <c r="R3" s="27"/>
      <c r="S3" s="23"/>
      <c r="U3" s="11"/>
      <c r="V3" s="181"/>
      <c r="X3" s="11"/>
      <c r="Y3" s="11"/>
    </row>
    <row r="4" spans="1:37">
      <c r="A4" t="s">
        <v>8</v>
      </c>
      <c r="B4" t="s">
        <v>16</v>
      </c>
      <c r="C4" s="19" t="s">
        <v>192</v>
      </c>
      <c r="D4" s="2" t="s">
        <v>201</v>
      </c>
      <c r="E4" s="30"/>
      <c r="F4" s="11"/>
      <c r="G4" s="10"/>
      <c r="I4" s="11"/>
      <c r="J4" s="10"/>
      <c r="O4" s="27"/>
      <c r="R4" s="27"/>
      <c r="S4" s="11"/>
      <c r="U4" s="11"/>
      <c r="V4" s="181"/>
      <c r="X4" s="11">
        <v>13.5</v>
      </c>
      <c r="Y4" s="11">
        <v>85000</v>
      </c>
    </row>
    <row r="5" spans="1:37">
      <c r="C5" s="19" t="s">
        <v>192</v>
      </c>
      <c r="D5" s="2" t="s">
        <v>201</v>
      </c>
      <c r="E5" s="30"/>
      <c r="F5" s="11"/>
      <c r="G5" s="10"/>
      <c r="I5" s="11"/>
      <c r="J5" s="10"/>
      <c r="O5" s="27"/>
      <c r="R5" s="27"/>
      <c r="S5" s="11"/>
      <c r="U5" s="11"/>
      <c r="V5" s="181"/>
      <c r="X5" s="11">
        <v>15</v>
      </c>
      <c r="Y5" s="11">
        <v>90000</v>
      </c>
    </row>
    <row r="6" spans="1:37">
      <c r="C6" s="10" t="s">
        <v>192</v>
      </c>
      <c r="D6" s="2" t="s">
        <v>226</v>
      </c>
      <c r="E6" s="30"/>
      <c r="F6" s="11"/>
      <c r="G6" s="10"/>
      <c r="I6" s="11"/>
      <c r="J6" s="10"/>
      <c r="O6" s="27"/>
      <c r="R6" s="27"/>
      <c r="S6" s="11"/>
      <c r="U6" s="11"/>
      <c r="V6" s="181"/>
      <c r="X6" s="11">
        <v>18</v>
      </c>
      <c r="Y6" s="11">
        <v>140000</v>
      </c>
    </row>
    <row r="7" spans="1:37" ht="15.5" customHeight="1">
      <c r="C7" s="10" t="s">
        <v>192</v>
      </c>
      <c r="D7" s="2" t="s">
        <v>226</v>
      </c>
      <c r="E7" s="30"/>
      <c r="F7" s="20"/>
      <c r="G7" s="19"/>
      <c r="H7" s="2"/>
      <c r="I7" s="20"/>
      <c r="J7" s="19"/>
      <c r="K7" s="2"/>
      <c r="L7" s="2"/>
      <c r="M7" s="2"/>
      <c r="N7" s="2"/>
      <c r="O7" s="21"/>
      <c r="Q7" s="2"/>
      <c r="R7" s="27"/>
      <c r="S7" s="11"/>
      <c r="U7" s="11"/>
      <c r="V7" s="181"/>
      <c r="X7" s="11">
        <v>26</v>
      </c>
      <c r="Y7" s="11">
        <v>150000</v>
      </c>
    </row>
    <row r="8" spans="1:37" ht="15.5" customHeight="1">
      <c r="C8" s="10" t="s">
        <v>232</v>
      </c>
      <c r="D8" s="2" t="s">
        <v>234</v>
      </c>
      <c r="E8" s="30">
        <v>140</v>
      </c>
      <c r="F8" s="20"/>
      <c r="G8" s="19"/>
      <c r="H8" s="2"/>
      <c r="I8" s="20"/>
      <c r="J8" s="19"/>
      <c r="K8" s="2"/>
      <c r="L8" s="2"/>
      <c r="M8" s="2"/>
      <c r="N8" s="2"/>
      <c r="O8" s="21"/>
      <c r="Q8" s="2"/>
      <c r="R8" s="27"/>
      <c r="S8" s="11"/>
      <c r="U8" s="11"/>
      <c r="V8" s="181"/>
      <c r="X8" s="11">
        <v>14</v>
      </c>
      <c r="Y8" s="11">
        <v>85000</v>
      </c>
    </row>
    <row r="9" spans="1:37" ht="15.5" customHeight="1">
      <c r="C9" s="10" t="s">
        <v>484</v>
      </c>
      <c r="D9" s="2" t="s">
        <v>234</v>
      </c>
      <c r="E9" s="30">
        <v>150</v>
      </c>
      <c r="F9" s="20"/>
      <c r="G9" s="19"/>
      <c r="H9" s="2"/>
      <c r="I9" s="20"/>
      <c r="J9" s="19"/>
      <c r="K9" s="2"/>
      <c r="L9" s="2"/>
      <c r="M9" s="2"/>
      <c r="N9" s="2"/>
      <c r="O9" s="21"/>
      <c r="Q9" s="2"/>
      <c r="R9" s="27"/>
      <c r="S9" s="11"/>
      <c r="U9" s="11"/>
      <c r="V9" s="181"/>
      <c r="X9" s="11">
        <v>15</v>
      </c>
      <c r="Y9" s="11">
        <v>90000</v>
      </c>
    </row>
    <row r="10" spans="1:37">
      <c r="C10" s="10" t="s">
        <v>232</v>
      </c>
      <c r="D10" t="s">
        <v>234</v>
      </c>
      <c r="E10" s="58">
        <v>160</v>
      </c>
      <c r="F10" s="11"/>
      <c r="G10" s="10"/>
      <c r="I10" s="11"/>
      <c r="J10" s="10"/>
      <c r="S10" s="11"/>
      <c r="U10" s="11"/>
      <c r="V10" s="13"/>
      <c r="X10" s="11">
        <v>16</v>
      </c>
      <c r="Y10" s="11">
        <v>95000</v>
      </c>
    </row>
    <row r="11" spans="1:37" ht="15.5" customHeight="1">
      <c r="C11" s="10" t="s">
        <v>232</v>
      </c>
      <c r="D11" s="2" t="s">
        <v>234</v>
      </c>
      <c r="E11" s="30">
        <v>180</v>
      </c>
      <c r="F11" s="20"/>
      <c r="G11" s="19"/>
      <c r="H11" s="2"/>
      <c r="I11" s="20"/>
      <c r="J11" s="19"/>
      <c r="K11" s="2"/>
      <c r="L11" s="2"/>
      <c r="M11" s="2"/>
      <c r="N11" s="2"/>
      <c r="O11" s="21"/>
      <c r="Q11" s="2"/>
      <c r="R11" s="27"/>
      <c r="S11" s="11"/>
      <c r="U11" s="11"/>
      <c r="V11" s="181"/>
      <c r="X11" s="11">
        <v>18</v>
      </c>
      <c r="Y11" s="11">
        <v>105000</v>
      </c>
    </row>
    <row r="12" spans="1:37" ht="15.5" customHeight="1">
      <c r="C12" s="10" t="s">
        <v>232</v>
      </c>
      <c r="D12" s="2" t="s">
        <v>233</v>
      </c>
      <c r="E12" s="30">
        <v>190</v>
      </c>
      <c r="F12" s="20"/>
      <c r="G12" s="19"/>
      <c r="H12" s="2"/>
      <c r="I12" s="20"/>
      <c r="J12" s="19"/>
      <c r="K12" s="2"/>
      <c r="L12" s="2"/>
      <c r="M12" s="2"/>
      <c r="N12" s="2"/>
      <c r="O12" s="21"/>
      <c r="Q12" s="2"/>
      <c r="R12" s="27"/>
      <c r="S12" s="11"/>
      <c r="U12" s="11"/>
      <c r="V12" s="181"/>
      <c r="X12" s="11">
        <v>18</v>
      </c>
      <c r="Y12" s="11">
        <v>120000</v>
      </c>
    </row>
    <row r="13" spans="1:37" ht="15.5" customHeight="1">
      <c r="C13" s="10" t="s">
        <v>232</v>
      </c>
      <c r="D13" s="2" t="s">
        <v>233</v>
      </c>
      <c r="E13" s="30">
        <v>260</v>
      </c>
      <c r="F13" s="20"/>
      <c r="G13" s="19"/>
      <c r="H13" s="2"/>
      <c r="I13" s="20"/>
      <c r="J13" s="19"/>
      <c r="K13" s="2"/>
      <c r="L13" s="2"/>
      <c r="M13" s="2"/>
      <c r="N13" s="2"/>
      <c r="O13" s="21"/>
      <c r="Q13" s="2"/>
      <c r="R13" s="27"/>
      <c r="S13" s="11"/>
      <c r="U13" s="11"/>
      <c r="V13" s="181"/>
      <c r="X13" s="11">
        <v>26</v>
      </c>
      <c r="Y13" s="11">
        <v>140000</v>
      </c>
    </row>
    <row r="14" spans="1:37" ht="15.5" customHeight="1">
      <c r="C14" s="10" t="s">
        <v>232</v>
      </c>
      <c r="D14" s="2" t="s">
        <v>233</v>
      </c>
      <c r="E14" s="30">
        <v>320</v>
      </c>
      <c r="F14" s="20"/>
      <c r="G14" s="19"/>
      <c r="H14" s="2"/>
      <c r="I14" s="20"/>
      <c r="J14" s="19"/>
      <c r="K14" s="2"/>
      <c r="L14" s="2"/>
      <c r="M14" s="2"/>
      <c r="N14" s="2"/>
      <c r="O14" s="21"/>
      <c r="Q14" s="2"/>
      <c r="R14" s="27"/>
      <c r="S14" s="11"/>
      <c r="U14" s="11"/>
      <c r="V14" s="181"/>
      <c r="X14" s="11">
        <v>32</v>
      </c>
      <c r="Y14" s="11">
        <v>170000</v>
      </c>
    </row>
    <row r="15" spans="1:37" ht="15.5" customHeight="1">
      <c r="C15" s="10" t="s">
        <v>232</v>
      </c>
      <c r="D15" s="2" t="s">
        <v>233</v>
      </c>
      <c r="E15" s="30">
        <v>440</v>
      </c>
      <c r="F15" s="20"/>
      <c r="G15" s="19"/>
      <c r="H15" s="2"/>
      <c r="I15" s="20"/>
      <c r="J15" s="19"/>
      <c r="K15" s="2"/>
      <c r="L15" s="2"/>
      <c r="M15" s="2"/>
      <c r="N15" s="2"/>
      <c r="O15" s="21"/>
      <c r="Q15" s="2"/>
      <c r="R15" s="27"/>
      <c r="S15" s="11"/>
      <c r="U15" s="11"/>
      <c r="V15" s="181"/>
      <c r="X15" s="11">
        <v>44</v>
      </c>
      <c r="Y15" s="11">
        <v>190000</v>
      </c>
    </row>
    <row r="16" spans="1:37" ht="15.5" customHeight="1">
      <c r="C16" s="10" t="s">
        <v>229</v>
      </c>
      <c r="D16" s="2" t="s">
        <v>231</v>
      </c>
      <c r="E16" s="30" t="s">
        <v>485</v>
      </c>
      <c r="F16" s="20" t="s">
        <v>489</v>
      </c>
      <c r="G16" s="19"/>
      <c r="H16" s="2"/>
      <c r="I16" s="20"/>
      <c r="J16" s="19"/>
      <c r="K16" s="2"/>
      <c r="L16" s="2"/>
      <c r="M16" s="2"/>
      <c r="N16" s="2"/>
      <c r="O16" s="21"/>
      <c r="Q16" s="2"/>
      <c r="R16" s="27"/>
      <c r="S16" s="11"/>
      <c r="U16" s="11"/>
      <c r="V16" s="181"/>
      <c r="X16" s="11">
        <v>14.5</v>
      </c>
      <c r="Y16" s="11">
        <v>100000</v>
      </c>
    </row>
    <row r="17" spans="1:25" ht="15.5" customHeight="1">
      <c r="C17" s="10" t="s">
        <v>229</v>
      </c>
      <c r="D17" s="2" t="s">
        <v>486</v>
      </c>
      <c r="E17" s="30" t="s">
        <v>485</v>
      </c>
      <c r="F17" s="20" t="s">
        <v>489</v>
      </c>
      <c r="G17" s="19"/>
      <c r="H17" s="2"/>
      <c r="I17" s="20"/>
      <c r="J17" s="19"/>
      <c r="K17" s="2"/>
      <c r="L17" s="2"/>
      <c r="M17" s="2"/>
      <c r="N17" s="2"/>
      <c r="O17" s="21"/>
      <c r="Q17" s="2"/>
      <c r="R17" s="27"/>
      <c r="S17" s="11"/>
      <c r="U17" s="11"/>
      <c r="V17" s="181"/>
      <c r="X17" s="11">
        <v>18</v>
      </c>
      <c r="Y17" s="11">
        <v>120000</v>
      </c>
    </row>
    <row r="18" spans="1:25" ht="15.5" customHeight="1">
      <c r="C18" s="10" t="s">
        <v>229</v>
      </c>
      <c r="D18" s="2" t="s">
        <v>487</v>
      </c>
      <c r="E18" s="30" t="s">
        <v>488</v>
      </c>
      <c r="F18" s="20" t="s">
        <v>490</v>
      </c>
      <c r="G18" s="19"/>
      <c r="H18" s="2"/>
      <c r="I18" s="20"/>
      <c r="J18" s="19"/>
      <c r="K18" s="2"/>
      <c r="L18" s="2"/>
      <c r="M18" s="2"/>
      <c r="N18" s="2"/>
      <c r="O18" s="21"/>
      <c r="Q18" s="2"/>
      <c r="R18" s="27"/>
      <c r="S18" s="11"/>
      <c r="U18" s="11"/>
      <c r="V18" s="181"/>
      <c r="X18" s="11">
        <v>26</v>
      </c>
      <c r="Y18" s="11">
        <v>180000</v>
      </c>
    </row>
    <row r="19" spans="1:25" ht="15.5" customHeight="1">
      <c r="A19" t="s">
        <v>9</v>
      </c>
      <c r="B19" t="s">
        <v>17</v>
      </c>
      <c r="C19" s="10"/>
      <c r="E19" s="58"/>
      <c r="F19" s="11"/>
      <c r="G19" s="10"/>
      <c r="I19" s="11"/>
      <c r="J19" s="10"/>
      <c r="S19" s="11"/>
      <c r="U19" s="11"/>
      <c r="V19" s="13"/>
      <c r="X19" s="11"/>
      <c r="Y19" s="11"/>
    </row>
    <row r="20" spans="1:25" ht="15.5" customHeight="1">
      <c r="A20" t="s">
        <v>10</v>
      </c>
      <c r="B20" t="s">
        <v>18</v>
      </c>
      <c r="C20" s="10" t="s">
        <v>229</v>
      </c>
      <c r="D20" t="s">
        <v>230</v>
      </c>
      <c r="E20" s="58" t="s">
        <v>485</v>
      </c>
      <c r="F20" s="11"/>
      <c r="G20" s="10"/>
      <c r="I20" s="11"/>
      <c r="J20" s="10"/>
      <c r="S20" s="11"/>
      <c r="U20" s="11"/>
      <c r="V20" s="13"/>
      <c r="X20" s="11">
        <v>18</v>
      </c>
      <c r="Y20" s="11">
        <v>140000</v>
      </c>
    </row>
    <row r="21" spans="1:25" ht="15.5" customHeight="1">
      <c r="C21" s="10" t="s">
        <v>232</v>
      </c>
      <c r="D21" t="s">
        <v>233</v>
      </c>
      <c r="E21" s="58">
        <v>190</v>
      </c>
      <c r="F21" s="11"/>
      <c r="G21" s="10"/>
      <c r="I21" s="11"/>
      <c r="J21" s="10"/>
      <c r="S21" s="11"/>
      <c r="U21" s="11"/>
      <c r="V21" s="13"/>
      <c r="X21" s="11">
        <v>18</v>
      </c>
      <c r="Y21" s="11">
        <v>200000</v>
      </c>
    </row>
    <row r="22" spans="1:25" ht="15.5" customHeight="1">
      <c r="C22" s="10" t="s">
        <v>232</v>
      </c>
      <c r="D22" t="s">
        <v>233</v>
      </c>
      <c r="E22" s="58">
        <v>260</v>
      </c>
      <c r="F22" s="11"/>
      <c r="G22" s="10"/>
      <c r="I22" s="11"/>
      <c r="J22" s="10"/>
      <c r="S22" s="11"/>
      <c r="U22" s="11"/>
      <c r="V22" s="13"/>
      <c r="X22" s="11">
        <v>26</v>
      </c>
      <c r="Y22" s="11">
        <v>220000</v>
      </c>
    </row>
    <row r="23" spans="1:25">
      <c r="C23" s="10" t="s">
        <v>232</v>
      </c>
      <c r="D23" t="s">
        <v>233</v>
      </c>
      <c r="E23" s="58">
        <v>440</v>
      </c>
      <c r="F23" s="11"/>
      <c r="G23" s="10"/>
      <c r="I23" s="11"/>
      <c r="J23" s="10"/>
      <c r="S23" s="11"/>
      <c r="U23" s="11"/>
      <c r="V23" s="13"/>
      <c r="Y23" s="11">
        <v>240000</v>
      </c>
    </row>
    <row r="24" spans="1:25">
      <c r="A24" t="s">
        <v>11</v>
      </c>
      <c r="B24" t="s">
        <v>19</v>
      </c>
      <c r="C24" s="10" t="s">
        <v>77</v>
      </c>
      <c r="D24" t="s">
        <v>216</v>
      </c>
      <c r="E24" s="58" t="s">
        <v>496</v>
      </c>
      <c r="F24" s="11"/>
      <c r="G24" s="10"/>
      <c r="I24" s="11"/>
      <c r="J24" s="10"/>
      <c r="N24" s="21"/>
      <c r="S24" s="11"/>
      <c r="U24" s="11"/>
      <c r="V24" s="187"/>
      <c r="X24" s="11">
        <v>36</v>
      </c>
      <c r="Y24" s="23" t="s">
        <v>156</v>
      </c>
    </row>
    <row r="25" spans="1:25">
      <c r="C25" s="10" t="s">
        <v>491</v>
      </c>
      <c r="D25" t="s">
        <v>216</v>
      </c>
      <c r="E25" s="58" t="s">
        <v>495</v>
      </c>
      <c r="F25" s="11"/>
      <c r="G25" s="10"/>
      <c r="I25" s="11"/>
      <c r="J25" s="10"/>
      <c r="N25" s="21"/>
      <c r="S25" s="11"/>
      <c r="U25" s="11"/>
      <c r="V25" s="187"/>
      <c r="X25" s="11">
        <v>36</v>
      </c>
      <c r="Y25" s="23"/>
    </row>
    <row r="26" spans="1:25">
      <c r="C26" s="10" t="s">
        <v>492</v>
      </c>
      <c r="D26" t="s">
        <v>493</v>
      </c>
      <c r="E26" s="58" t="s">
        <v>494</v>
      </c>
      <c r="F26" s="11"/>
      <c r="G26" s="10"/>
      <c r="I26" s="11"/>
      <c r="J26" s="10"/>
      <c r="N26" s="21"/>
      <c r="S26" s="11"/>
      <c r="U26" s="11"/>
      <c r="V26" s="187"/>
      <c r="X26" s="11">
        <v>20</v>
      </c>
      <c r="Y26" s="23"/>
    </row>
    <row r="27" spans="1:25">
      <c r="A27" t="s">
        <v>12</v>
      </c>
      <c r="B27" t="s">
        <v>24</v>
      </c>
      <c r="C27" s="19"/>
      <c r="D27" s="2"/>
      <c r="E27" s="30"/>
      <c r="F27" s="20"/>
      <c r="G27" s="10"/>
      <c r="I27" s="11"/>
      <c r="J27" s="26"/>
      <c r="M27" s="25"/>
      <c r="N27" s="27"/>
      <c r="P27" s="27"/>
      <c r="S27" s="11"/>
      <c r="U27" s="11"/>
      <c r="V27" s="13"/>
      <c r="X27" s="11"/>
      <c r="Y27" s="28"/>
    </row>
    <row r="28" spans="1:25">
      <c r="A28" t="s">
        <v>13</v>
      </c>
      <c r="B28" t="s">
        <v>23</v>
      </c>
      <c r="C28" s="19"/>
      <c r="D28" s="2"/>
      <c r="E28" s="30"/>
      <c r="F28" s="20"/>
      <c r="G28" s="19"/>
      <c r="H28" s="2"/>
      <c r="I28" s="20"/>
      <c r="J28" s="19"/>
      <c r="K28" s="2"/>
      <c r="L28" s="2"/>
      <c r="M28" s="2"/>
      <c r="N28" s="21"/>
      <c r="P28" s="27"/>
      <c r="S28" s="11"/>
      <c r="U28" s="11"/>
      <c r="V28" s="13"/>
      <c r="X28" s="11"/>
      <c r="Y28" s="23"/>
    </row>
    <row r="29" spans="1:25">
      <c r="A29" t="s">
        <v>14</v>
      </c>
      <c r="B29" t="s">
        <v>23</v>
      </c>
      <c r="C29" s="19"/>
      <c r="D29" s="2"/>
      <c r="E29" s="30"/>
      <c r="F29" s="20"/>
      <c r="G29" s="19"/>
      <c r="H29" s="2"/>
      <c r="I29" s="31"/>
      <c r="J29" s="32"/>
      <c r="K29" s="2"/>
      <c r="L29" s="21"/>
      <c r="M29" s="21"/>
      <c r="N29" s="21"/>
      <c r="O29" s="2"/>
      <c r="P29" s="21"/>
      <c r="S29" s="11"/>
      <c r="U29" s="11"/>
      <c r="V29" s="13"/>
      <c r="X29" s="11"/>
      <c r="Y29" s="23"/>
    </row>
    <row r="30" spans="1:25">
      <c r="A30" t="s">
        <v>25</v>
      </c>
      <c r="B30" t="s">
        <v>26</v>
      </c>
      <c r="C30" s="178" t="s">
        <v>214</v>
      </c>
      <c r="D30" s="185" t="s">
        <v>215</v>
      </c>
      <c r="E30" s="189" t="s">
        <v>217</v>
      </c>
      <c r="F30" s="186"/>
      <c r="G30" s="178">
        <v>735</v>
      </c>
      <c r="H30" s="185"/>
      <c r="I30" s="186"/>
      <c r="J30" s="178"/>
      <c r="K30" s="185"/>
      <c r="L30" s="185"/>
      <c r="M30" s="185"/>
      <c r="N30" s="179"/>
      <c r="O30" s="185"/>
      <c r="P30" s="179"/>
      <c r="Q30" s="142"/>
      <c r="R30" s="142"/>
      <c r="S30" s="131"/>
      <c r="T30" s="142"/>
      <c r="U30" s="131"/>
      <c r="V30" s="133"/>
      <c r="W30" s="142"/>
      <c r="X30" s="131"/>
      <c r="Y30" s="188" t="s">
        <v>156</v>
      </c>
    </row>
    <row r="31" spans="1:25">
      <c r="E31" s="58"/>
    </row>
    <row r="37" spans="8:17">
      <c r="H37" t="s">
        <v>86</v>
      </c>
      <c r="P37" s="27"/>
    </row>
    <row r="38" spans="8:17">
      <c r="P38" s="27"/>
    </row>
    <row r="39" spans="8:17">
      <c r="Q39" s="27"/>
    </row>
    <row r="40" spans="8:17">
      <c r="Q40" s="27"/>
    </row>
    <row r="41" spans="8:17">
      <c r="Q41" s="27"/>
    </row>
    <row r="42" spans="8:17">
      <c r="Q42" s="27"/>
    </row>
    <row r="43" spans="8:17">
      <c r="Q43" s="27"/>
    </row>
  </sheetData>
  <mergeCells count="3">
    <mergeCell ref="W1:X1"/>
    <mergeCell ref="G1:I1"/>
    <mergeCell ref="J1:S1"/>
  </mergeCell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26FC-3907-4B70-83FD-593F2C6C8FF9}">
  <dimension ref="A1:Q23"/>
  <sheetViews>
    <sheetView topLeftCell="C47" zoomScale="55" zoomScaleNormal="55" workbookViewId="0">
      <selection activeCell="Q47" sqref="Q1:Q1048576"/>
    </sheetView>
  </sheetViews>
  <sheetFormatPr defaultRowHeight="14.5"/>
  <cols>
    <col min="1" max="1" width="10.90625" bestFit="1" customWidth="1"/>
    <col min="2" max="2" width="15" bestFit="1" customWidth="1"/>
    <col min="4" max="4" width="12" style="10" bestFit="1" customWidth="1"/>
    <col min="5" max="5" width="17.453125" bestFit="1" customWidth="1"/>
    <col min="6" max="6" width="31.6328125" bestFit="1" customWidth="1"/>
    <col min="7" max="7" width="31.6328125" style="11" customWidth="1"/>
    <col min="9" max="9" width="9.81640625" customWidth="1"/>
    <col min="10" max="10" width="8.7265625" style="11"/>
    <col min="12" max="12" width="11.36328125" customWidth="1"/>
    <col min="13" max="13" width="11.36328125" style="11" customWidth="1"/>
    <col min="14" max="14" width="26.1796875" style="10" bestFit="1" customWidth="1"/>
    <col min="15" max="15" width="16.54296875" bestFit="1" customWidth="1"/>
    <col min="16" max="16" width="16.6328125" style="13" bestFit="1" customWidth="1"/>
    <col min="17" max="17" width="13.08984375" style="13" bestFit="1" customWidth="1"/>
  </cols>
  <sheetData>
    <row r="1" spans="1:17">
      <c r="A1" s="3" t="s">
        <v>3</v>
      </c>
      <c r="B1" s="3" t="s">
        <v>4</v>
      </c>
      <c r="C1" s="3" t="s">
        <v>5</v>
      </c>
      <c r="D1" s="15" t="s">
        <v>32</v>
      </c>
      <c r="E1" s="16" t="s">
        <v>20</v>
      </c>
      <c r="F1" s="16" t="s">
        <v>36</v>
      </c>
      <c r="G1" s="17" t="s">
        <v>58</v>
      </c>
      <c r="H1" s="334" t="s">
        <v>38</v>
      </c>
      <c r="I1" s="330"/>
      <c r="J1" s="335"/>
      <c r="K1" s="321" t="s">
        <v>37</v>
      </c>
      <c r="L1" s="322"/>
      <c r="M1" s="323"/>
      <c r="N1" s="15" t="s">
        <v>35</v>
      </c>
      <c r="O1" s="16" t="s">
        <v>51</v>
      </c>
      <c r="P1" s="14" t="s">
        <v>40</v>
      </c>
      <c r="Q1" s="132" t="s">
        <v>62</v>
      </c>
    </row>
    <row r="2" spans="1:17" s="5" customFormat="1">
      <c r="A2" s="4" t="s">
        <v>204</v>
      </c>
      <c r="B2" s="4"/>
      <c r="C2" s="4"/>
      <c r="D2" s="7"/>
      <c r="E2" s="4"/>
      <c r="F2" s="4"/>
      <c r="G2" s="8"/>
      <c r="H2" s="4" t="s">
        <v>82</v>
      </c>
      <c r="I2" s="4" t="s">
        <v>85</v>
      </c>
      <c r="J2" s="8" t="s">
        <v>66</v>
      </c>
      <c r="K2" s="4" t="s">
        <v>93</v>
      </c>
      <c r="L2" s="4" t="s">
        <v>42</v>
      </c>
      <c r="M2" s="8" t="s">
        <v>76</v>
      </c>
      <c r="N2" s="7" t="s">
        <v>89</v>
      </c>
      <c r="O2" s="4"/>
      <c r="P2" s="12" t="s">
        <v>245</v>
      </c>
      <c r="Q2" s="12" t="s">
        <v>522</v>
      </c>
    </row>
    <row r="3" spans="1:17">
      <c r="A3" t="s">
        <v>7</v>
      </c>
      <c r="B3" t="s">
        <v>15</v>
      </c>
      <c r="C3" s="2" t="s">
        <v>27</v>
      </c>
      <c r="D3" s="19"/>
      <c r="E3" s="2"/>
      <c r="O3" s="27"/>
      <c r="Q3" s="57"/>
    </row>
    <row r="4" spans="1:17">
      <c r="A4" t="s">
        <v>8</v>
      </c>
      <c r="B4" t="s">
        <v>16</v>
      </c>
      <c r="C4" s="2" t="s">
        <v>27</v>
      </c>
      <c r="D4" s="19" t="s">
        <v>229</v>
      </c>
      <c r="E4" s="2" t="s">
        <v>235</v>
      </c>
      <c r="F4" t="s">
        <v>236</v>
      </c>
      <c r="G4" s="11" t="s">
        <v>237</v>
      </c>
      <c r="H4">
        <v>184</v>
      </c>
      <c r="O4" s="27"/>
      <c r="Q4" s="57"/>
    </row>
    <row r="5" spans="1:17">
      <c r="C5" s="2"/>
      <c r="D5" s="19" t="s">
        <v>229</v>
      </c>
      <c r="E5" s="2" t="s">
        <v>235</v>
      </c>
      <c r="F5" t="s">
        <v>239</v>
      </c>
      <c r="G5" s="20" t="s">
        <v>238</v>
      </c>
      <c r="H5">
        <v>184</v>
      </c>
      <c r="O5" s="27"/>
      <c r="Q5" s="57"/>
    </row>
    <row r="6" spans="1:17">
      <c r="C6" s="2"/>
      <c r="D6" s="19" t="s">
        <v>229</v>
      </c>
      <c r="E6" s="2" t="s">
        <v>240</v>
      </c>
      <c r="F6" t="s">
        <v>242</v>
      </c>
      <c r="G6" s="20" t="s">
        <v>241</v>
      </c>
      <c r="H6">
        <v>184</v>
      </c>
      <c r="O6" s="27"/>
      <c r="Q6" s="57"/>
    </row>
    <row r="7" spans="1:17">
      <c r="C7" s="2"/>
      <c r="D7" s="19" t="s">
        <v>192</v>
      </c>
      <c r="E7" s="2" t="s">
        <v>244</v>
      </c>
      <c r="G7" s="20" t="s">
        <v>237</v>
      </c>
      <c r="H7">
        <v>222</v>
      </c>
      <c r="O7" s="27"/>
      <c r="P7" s="13">
        <v>18000</v>
      </c>
      <c r="Q7" s="57"/>
    </row>
    <row r="8" spans="1:17">
      <c r="C8" s="2"/>
      <c r="D8" s="19" t="s">
        <v>192</v>
      </c>
      <c r="E8" s="2" t="s">
        <v>243</v>
      </c>
      <c r="G8" s="20" t="s">
        <v>238</v>
      </c>
      <c r="H8">
        <v>265</v>
      </c>
      <c r="O8" s="27"/>
      <c r="P8" s="13">
        <v>19500</v>
      </c>
      <c r="Q8" s="57"/>
    </row>
    <row r="9" spans="1:17">
      <c r="A9" t="s">
        <v>9</v>
      </c>
      <c r="B9" t="s">
        <v>17</v>
      </c>
      <c r="C9" s="2"/>
      <c r="D9" s="19" t="s">
        <v>229</v>
      </c>
      <c r="E9" s="2" t="s">
        <v>240</v>
      </c>
      <c r="F9" s="2" t="s">
        <v>236</v>
      </c>
      <c r="G9" s="11" t="s">
        <v>241</v>
      </c>
      <c r="H9" s="2"/>
      <c r="I9" s="2"/>
      <c r="J9" s="20"/>
      <c r="K9" s="2"/>
      <c r="L9" s="2"/>
      <c r="M9" s="20"/>
      <c r="N9" s="19"/>
      <c r="O9" s="21"/>
      <c r="P9" s="24"/>
      <c r="Q9" s="57"/>
    </row>
    <row r="10" spans="1:17">
      <c r="A10" t="s">
        <v>10</v>
      </c>
      <c r="B10" t="s">
        <v>18</v>
      </c>
      <c r="C10" s="2" t="s">
        <v>27</v>
      </c>
      <c r="D10" s="19" t="s">
        <v>229</v>
      </c>
      <c r="E10" s="2" t="s">
        <v>235</v>
      </c>
      <c r="F10" t="s">
        <v>236</v>
      </c>
      <c r="G10" s="11" t="s">
        <v>237</v>
      </c>
      <c r="H10">
        <v>205</v>
      </c>
      <c r="O10" s="27"/>
      <c r="Q10" s="57"/>
    </row>
    <row r="11" spans="1:17">
      <c r="C11" s="2"/>
      <c r="D11" s="19" t="s">
        <v>229</v>
      </c>
      <c r="E11" s="2" t="s">
        <v>235</v>
      </c>
      <c r="F11" t="s">
        <v>239</v>
      </c>
      <c r="G11" s="11" t="s">
        <v>238</v>
      </c>
      <c r="H11">
        <v>205</v>
      </c>
      <c r="O11" s="27"/>
      <c r="Q11" s="57"/>
    </row>
    <row r="12" spans="1:17">
      <c r="C12" s="2"/>
      <c r="D12" s="19" t="s">
        <v>229</v>
      </c>
      <c r="E12" s="2" t="s">
        <v>240</v>
      </c>
      <c r="F12" t="s">
        <v>236</v>
      </c>
      <c r="G12" s="11" t="s">
        <v>241</v>
      </c>
      <c r="H12">
        <v>205</v>
      </c>
      <c r="O12" s="27"/>
      <c r="Q12" s="57"/>
    </row>
    <row r="13" spans="1:17">
      <c r="A13" t="s">
        <v>11</v>
      </c>
      <c r="B13" t="s">
        <v>19</v>
      </c>
      <c r="C13" s="2" t="s">
        <v>27</v>
      </c>
      <c r="D13" s="19" t="s">
        <v>192</v>
      </c>
      <c r="E13" s="2" t="s">
        <v>248</v>
      </c>
      <c r="G13" s="11" t="s">
        <v>241</v>
      </c>
      <c r="H13">
        <v>250</v>
      </c>
      <c r="O13" s="27"/>
      <c r="P13" s="13">
        <v>20000</v>
      </c>
      <c r="Q13" s="57"/>
    </row>
    <row r="14" spans="1:17">
      <c r="A14" t="s">
        <v>12</v>
      </c>
      <c r="B14" t="s">
        <v>24</v>
      </c>
      <c r="C14" s="2" t="s">
        <v>27</v>
      </c>
      <c r="O14" s="21"/>
      <c r="Q14" s="57"/>
    </row>
    <row r="15" spans="1:17">
      <c r="A15" t="s">
        <v>13</v>
      </c>
      <c r="B15" t="s">
        <v>249</v>
      </c>
      <c r="C15" s="2" t="s">
        <v>27</v>
      </c>
      <c r="D15" s="19" t="s">
        <v>192</v>
      </c>
      <c r="E15" s="2" t="s">
        <v>246</v>
      </c>
      <c r="F15" s="2"/>
      <c r="G15" s="20" t="s">
        <v>237</v>
      </c>
      <c r="H15">
        <v>222</v>
      </c>
      <c r="K15" s="25"/>
      <c r="N15" s="26"/>
      <c r="O15" s="27"/>
      <c r="P15" s="13">
        <v>19000</v>
      </c>
      <c r="Q15" s="38"/>
    </row>
    <row r="16" spans="1:17">
      <c r="C16" s="2"/>
      <c r="D16" s="19" t="s">
        <v>192</v>
      </c>
      <c r="E16" s="2" t="s">
        <v>247</v>
      </c>
      <c r="F16" s="2"/>
      <c r="G16" s="20" t="s">
        <v>238</v>
      </c>
      <c r="H16" s="2">
        <v>222</v>
      </c>
      <c r="I16" s="2"/>
      <c r="J16" s="20"/>
      <c r="K16" s="2"/>
      <c r="L16" s="2"/>
      <c r="M16" s="20"/>
      <c r="N16" s="19"/>
      <c r="O16" s="21"/>
      <c r="P16" s="13">
        <v>29000</v>
      </c>
      <c r="Q16" s="38"/>
    </row>
    <row r="17" spans="1:17">
      <c r="C17" s="2"/>
      <c r="D17" s="19" t="s">
        <v>250</v>
      </c>
      <c r="E17" s="2" t="s">
        <v>253</v>
      </c>
      <c r="F17" s="2"/>
      <c r="G17" s="20" t="s">
        <v>237</v>
      </c>
      <c r="K17" s="25"/>
      <c r="N17" s="26"/>
      <c r="O17" s="27"/>
      <c r="Q17" s="38"/>
    </row>
    <row r="18" spans="1:17">
      <c r="C18" s="2"/>
      <c r="D18" s="19" t="s">
        <v>250</v>
      </c>
      <c r="E18" s="2" t="s">
        <v>252</v>
      </c>
      <c r="F18" s="2"/>
      <c r="G18" s="20" t="s">
        <v>238</v>
      </c>
      <c r="K18" s="25"/>
      <c r="N18" s="26"/>
      <c r="O18" s="27"/>
      <c r="Q18" s="38"/>
    </row>
    <row r="19" spans="1:17">
      <c r="A19" t="s">
        <v>14</v>
      </c>
      <c r="B19" t="s">
        <v>23</v>
      </c>
      <c r="C19" s="2" t="s">
        <v>27</v>
      </c>
      <c r="Q19" s="57"/>
    </row>
    <row r="20" spans="1:17">
      <c r="A20" t="s">
        <v>25</v>
      </c>
      <c r="B20" t="s">
        <v>26</v>
      </c>
      <c r="C20" s="2" t="s">
        <v>27</v>
      </c>
      <c r="D20" s="19" t="s">
        <v>250</v>
      </c>
      <c r="E20" s="2" t="s">
        <v>251</v>
      </c>
      <c r="F20" s="2"/>
      <c r="G20" s="20" t="s">
        <v>237</v>
      </c>
      <c r="H20" s="2"/>
      <c r="I20" s="2"/>
      <c r="J20" s="31"/>
      <c r="K20" s="21"/>
      <c r="L20" s="2"/>
      <c r="M20" s="31"/>
      <c r="N20" s="32"/>
      <c r="O20" s="21"/>
      <c r="P20" s="24"/>
      <c r="Q20" s="57"/>
    </row>
    <row r="21" spans="1:17">
      <c r="D21" s="19"/>
      <c r="E21" s="2"/>
      <c r="F21" s="2"/>
      <c r="G21" s="20"/>
      <c r="H21" s="2"/>
      <c r="I21" s="2"/>
      <c r="J21" s="20"/>
      <c r="K21" s="2"/>
      <c r="L21" s="2"/>
      <c r="M21" s="20"/>
      <c r="N21" s="19"/>
      <c r="O21" s="21"/>
      <c r="P21" s="24"/>
      <c r="Q21" s="57"/>
    </row>
    <row r="22" spans="1:17">
      <c r="I22" t="s">
        <v>86</v>
      </c>
    </row>
    <row r="23" spans="1:17">
      <c r="N23" s="35"/>
    </row>
  </sheetData>
  <mergeCells count="2">
    <mergeCell ref="H1:J1"/>
    <mergeCell ref="K1:M1"/>
  </mergeCell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7859-96A9-4B15-8A43-449D2AC8D435}">
  <dimension ref="A1:O55"/>
  <sheetViews>
    <sheetView zoomScale="55" zoomScaleNormal="55" workbookViewId="0">
      <selection activeCell="N9" sqref="N9"/>
    </sheetView>
  </sheetViews>
  <sheetFormatPr defaultRowHeight="14.5"/>
  <cols>
    <col min="1" max="1" width="10.90625" bestFit="1" customWidth="1"/>
    <col min="2" max="2" width="15" bestFit="1" customWidth="1"/>
    <col min="4" max="4" width="15" style="10" bestFit="1" customWidth="1"/>
    <col min="5" max="5" width="17.453125" bestFit="1" customWidth="1"/>
    <col min="6" max="6" width="31.6328125" bestFit="1" customWidth="1"/>
    <col min="7" max="7" width="31.6328125" style="11" customWidth="1"/>
    <col min="9" max="9" width="9.81640625" customWidth="1"/>
    <col min="10" max="10" width="8.7265625" style="11"/>
    <col min="11" max="11" width="30" bestFit="1" customWidth="1"/>
    <col min="12" max="12" width="11.36328125" customWidth="1"/>
    <col min="13" max="13" width="11.36328125" style="11" customWidth="1"/>
    <col min="14" max="14" width="27.7265625" style="13" bestFit="1" customWidth="1"/>
    <col min="15" max="15" width="32.453125" style="13" bestFit="1" customWidth="1"/>
  </cols>
  <sheetData>
    <row r="1" spans="1:15">
      <c r="A1" s="3" t="s">
        <v>3</v>
      </c>
      <c r="B1" s="3" t="s">
        <v>4</v>
      </c>
      <c r="C1" s="3" t="s">
        <v>5</v>
      </c>
      <c r="D1" s="15" t="s">
        <v>32</v>
      </c>
      <c r="E1" s="16" t="s">
        <v>20</v>
      </c>
      <c r="F1" s="16" t="s">
        <v>36</v>
      </c>
      <c r="G1" s="17" t="s">
        <v>58</v>
      </c>
      <c r="H1" s="334" t="s">
        <v>38</v>
      </c>
      <c r="I1" s="330"/>
      <c r="J1" s="335"/>
      <c r="K1" s="321" t="s">
        <v>37</v>
      </c>
      <c r="L1" s="322"/>
      <c r="M1" s="323"/>
      <c r="N1" s="14" t="s">
        <v>40</v>
      </c>
      <c r="O1" s="132" t="s">
        <v>62</v>
      </c>
    </row>
    <row r="2" spans="1:15" s="5" customFormat="1">
      <c r="A2" s="4" t="s">
        <v>203</v>
      </c>
      <c r="B2" s="4"/>
      <c r="C2" s="4"/>
      <c r="D2" s="36"/>
      <c r="G2" s="37"/>
      <c r="H2" s="4" t="s">
        <v>82</v>
      </c>
      <c r="I2" s="4" t="s">
        <v>85</v>
      </c>
      <c r="J2" s="8" t="s">
        <v>66</v>
      </c>
      <c r="K2" s="4" t="s">
        <v>93</v>
      </c>
      <c r="L2" s="4" t="s">
        <v>42</v>
      </c>
      <c r="M2" s="8" t="s">
        <v>76</v>
      </c>
      <c r="N2" s="12" t="s">
        <v>187</v>
      </c>
      <c r="O2" s="12" t="s">
        <v>254</v>
      </c>
    </row>
    <row r="3" spans="1:15">
      <c r="A3" t="s">
        <v>7</v>
      </c>
      <c r="B3" t="s">
        <v>15</v>
      </c>
      <c r="C3" s="2" t="s">
        <v>27</v>
      </c>
      <c r="D3" s="19" t="s">
        <v>72</v>
      </c>
      <c r="E3" s="2" t="s">
        <v>92</v>
      </c>
      <c r="F3" s="2" t="s">
        <v>225</v>
      </c>
      <c r="G3" s="20" t="s">
        <v>190</v>
      </c>
      <c r="H3">
        <v>214</v>
      </c>
      <c r="K3" s="25">
        <v>10.6</v>
      </c>
      <c r="N3" s="33">
        <v>2054</v>
      </c>
      <c r="O3" s="38">
        <v>28155</v>
      </c>
    </row>
    <row r="4" spans="1:15">
      <c r="C4" s="2"/>
      <c r="D4" s="19" t="s">
        <v>90</v>
      </c>
      <c r="E4" s="2" t="s">
        <v>91</v>
      </c>
      <c r="F4" s="2" t="s">
        <v>224</v>
      </c>
      <c r="G4" s="20" t="s">
        <v>190</v>
      </c>
      <c r="H4" s="2">
        <v>265</v>
      </c>
      <c r="I4" s="2"/>
      <c r="J4" s="20"/>
      <c r="K4" s="29">
        <v>13.9</v>
      </c>
      <c r="L4" s="2"/>
      <c r="M4" s="20"/>
      <c r="N4" s="33">
        <v>2029</v>
      </c>
      <c r="O4" s="38">
        <v>32200</v>
      </c>
    </row>
    <row r="5" spans="1:15">
      <c r="C5" s="2"/>
      <c r="D5" s="19" t="s">
        <v>73</v>
      </c>
      <c r="E5" s="2" t="s">
        <v>206</v>
      </c>
      <c r="F5" t="s">
        <v>208</v>
      </c>
      <c r="G5" s="20" t="s">
        <v>207</v>
      </c>
      <c r="H5" s="2">
        <v>79</v>
      </c>
      <c r="I5" s="2"/>
      <c r="J5" s="20"/>
      <c r="K5" s="2">
        <v>10</v>
      </c>
      <c r="L5" s="2"/>
      <c r="M5" s="20"/>
      <c r="N5" s="38" t="s">
        <v>27</v>
      </c>
      <c r="O5" s="318">
        <v>51990</v>
      </c>
    </row>
    <row r="6" spans="1:15">
      <c r="C6" s="2"/>
      <c r="D6" s="19" t="s">
        <v>218</v>
      </c>
      <c r="E6" s="30">
        <v>1500</v>
      </c>
      <c r="F6" s="2" t="s">
        <v>220</v>
      </c>
      <c r="G6" s="20" t="s">
        <v>190</v>
      </c>
      <c r="H6" s="2">
        <v>224</v>
      </c>
      <c r="I6" s="2"/>
      <c r="J6" s="20"/>
      <c r="K6" s="29">
        <v>11.8</v>
      </c>
      <c r="L6" s="2"/>
      <c r="M6" s="20"/>
      <c r="N6" s="38" t="s">
        <v>27</v>
      </c>
      <c r="O6" s="38">
        <v>27395</v>
      </c>
    </row>
    <row r="7" spans="1:15">
      <c r="C7" s="2"/>
      <c r="D7" s="19" t="s">
        <v>90</v>
      </c>
      <c r="E7" s="2" t="s">
        <v>223</v>
      </c>
      <c r="F7" s="2"/>
      <c r="G7" s="20" t="s">
        <v>293</v>
      </c>
      <c r="H7">
        <v>226</v>
      </c>
      <c r="K7" s="25">
        <v>11.8</v>
      </c>
      <c r="N7" s="33">
        <v>1955</v>
      </c>
      <c r="O7" s="38">
        <v>28700</v>
      </c>
    </row>
    <row r="8" spans="1:15">
      <c r="A8" t="s">
        <v>8</v>
      </c>
      <c r="B8" t="s">
        <v>16</v>
      </c>
      <c r="C8" s="2" t="s">
        <v>27</v>
      </c>
      <c r="D8" s="19" t="s">
        <v>72</v>
      </c>
      <c r="E8" s="2" t="s">
        <v>92</v>
      </c>
      <c r="F8" s="2" t="s">
        <v>222</v>
      </c>
      <c r="G8" s="20" t="s">
        <v>190</v>
      </c>
      <c r="H8">
        <v>214</v>
      </c>
      <c r="K8" s="25">
        <v>9.9</v>
      </c>
      <c r="N8" s="33">
        <v>2054</v>
      </c>
      <c r="O8" s="38">
        <v>28155</v>
      </c>
    </row>
    <row r="9" spans="1:15">
      <c r="C9" s="2"/>
      <c r="D9" s="19" t="s">
        <v>90</v>
      </c>
      <c r="E9" s="2" t="s">
        <v>223</v>
      </c>
      <c r="F9" s="2"/>
      <c r="G9" s="20" t="s">
        <v>190</v>
      </c>
      <c r="H9">
        <v>226</v>
      </c>
      <c r="K9" s="25">
        <v>10.1</v>
      </c>
      <c r="N9" s="33">
        <v>1955</v>
      </c>
      <c r="O9" s="38">
        <v>21500</v>
      </c>
    </row>
    <row r="10" spans="1:15">
      <c r="A10" t="s">
        <v>9</v>
      </c>
      <c r="B10" t="s">
        <v>17</v>
      </c>
      <c r="C10" s="2"/>
    </row>
    <row r="11" spans="1:15">
      <c r="A11" t="s">
        <v>10</v>
      </c>
      <c r="B11" t="s">
        <v>18</v>
      </c>
      <c r="C11" s="2" t="s">
        <v>27</v>
      </c>
    </row>
    <row r="12" spans="1:15">
      <c r="A12" t="s">
        <v>11</v>
      </c>
      <c r="B12" t="s">
        <v>19</v>
      </c>
      <c r="C12" s="2" t="s">
        <v>27</v>
      </c>
      <c r="D12" s="10" t="s">
        <v>77</v>
      </c>
      <c r="E12" t="s">
        <v>213</v>
      </c>
      <c r="G12" s="20" t="s">
        <v>205</v>
      </c>
      <c r="N12" s="57" t="s">
        <v>27</v>
      </c>
      <c r="O12" s="38" t="s">
        <v>156</v>
      </c>
    </row>
    <row r="13" spans="1:15">
      <c r="A13" t="s">
        <v>12</v>
      </c>
      <c r="B13" t="s">
        <v>221</v>
      </c>
      <c r="C13" s="2" t="s">
        <v>27</v>
      </c>
      <c r="D13" s="19" t="s">
        <v>72</v>
      </c>
      <c r="E13" s="2" t="s">
        <v>92</v>
      </c>
      <c r="F13" s="2" t="s">
        <v>97</v>
      </c>
      <c r="G13" s="20" t="s">
        <v>190</v>
      </c>
      <c r="H13">
        <v>214</v>
      </c>
      <c r="K13" s="25">
        <v>14.58</v>
      </c>
      <c r="N13" s="33">
        <v>2054</v>
      </c>
      <c r="O13" s="38">
        <v>28155</v>
      </c>
    </row>
    <row r="14" spans="1:15">
      <c r="C14" s="2"/>
      <c r="D14" s="19" t="s">
        <v>90</v>
      </c>
      <c r="E14" s="2" t="s">
        <v>91</v>
      </c>
      <c r="F14" s="2" t="s">
        <v>104</v>
      </c>
      <c r="G14" s="20" t="s">
        <v>190</v>
      </c>
      <c r="H14" s="2">
        <v>265</v>
      </c>
      <c r="I14" s="2"/>
      <c r="J14" s="20"/>
      <c r="K14" s="29">
        <v>18.100000000000001</v>
      </c>
      <c r="L14" s="2"/>
      <c r="M14" s="20"/>
      <c r="N14" s="33">
        <v>2029</v>
      </c>
      <c r="O14" s="38">
        <v>32200</v>
      </c>
    </row>
    <row r="15" spans="1:15">
      <c r="C15" s="2"/>
      <c r="D15" s="19" t="s">
        <v>218</v>
      </c>
      <c r="E15" s="30">
        <v>1500</v>
      </c>
      <c r="F15" s="2"/>
      <c r="G15" s="20" t="s">
        <v>190</v>
      </c>
      <c r="H15" s="2">
        <v>224</v>
      </c>
      <c r="I15" s="2"/>
      <c r="J15" s="20"/>
      <c r="K15" s="2">
        <v>16.7</v>
      </c>
      <c r="L15" s="2"/>
      <c r="M15" s="20"/>
      <c r="N15" s="38" t="s">
        <v>27</v>
      </c>
      <c r="O15" s="38">
        <v>27395</v>
      </c>
    </row>
    <row r="16" spans="1:15">
      <c r="B16" t="s">
        <v>209</v>
      </c>
      <c r="C16" s="2"/>
      <c r="D16" s="19" t="s">
        <v>73</v>
      </c>
      <c r="E16" s="2" t="s">
        <v>206</v>
      </c>
      <c r="F16" t="s">
        <v>208</v>
      </c>
      <c r="G16" s="20" t="s">
        <v>207</v>
      </c>
      <c r="H16" s="2">
        <v>79</v>
      </c>
      <c r="I16" s="2"/>
      <c r="J16" s="20"/>
      <c r="K16" s="2">
        <v>11.9</v>
      </c>
      <c r="L16" s="2"/>
      <c r="M16" s="20"/>
      <c r="N16" s="38" t="s">
        <v>27</v>
      </c>
      <c r="O16" s="318">
        <v>51990</v>
      </c>
    </row>
    <row r="17" spans="1:15">
      <c r="A17" t="s">
        <v>13</v>
      </c>
      <c r="B17" t="s">
        <v>23</v>
      </c>
      <c r="C17" s="2" t="s">
        <v>27</v>
      </c>
      <c r="D17" s="19" t="s">
        <v>218</v>
      </c>
      <c r="E17" s="30">
        <v>1500</v>
      </c>
      <c r="F17" s="2" t="s">
        <v>219</v>
      </c>
      <c r="G17" s="20" t="s">
        <v>190</v>
      </c>
      <c r="H17" s="2"/>
      <c r="I17" s="2">
        <v>290</v>
      </c>
      <c r="J17" s="31"/>
      <c r="K17" s="2">
        <v>11.3</v>
      </c>
      <c r="L17" s="2"/>
      <c r="M17" s="20"/>
      <c r="N17" s="33"/>
      <c r="O17" s="38">
        <v>35295</v>
      </c>
    </row>
    <row r="18" spans="1:15">
      <c r="A18" t="s">
        <v>14</v>
      </c>
      <c r="B18" t="s">
        <v>23</v>
      </c>
      <c r="C18" s="2" t="s">
        <v>27</v>
      </c>
    </row>
    <row r="19" spans="1:15">
      <c r="A19" t="s">
        <v>25</v>
      </c>
      <c r="B19" t="s">
        <v>26</v>
      </c>
      <c r="C19" s="2" t="s">
        <v>27</v>
      </c>
    </row>
    <row r="20" spans="1:15">
      <c r="I20" t="s">
        <v>86</v>
      </c>
    </row>
    <row r="23" spans="1:15">
      <c r="C23" s="2"/>
    </row>
    <row r="25" spans="1:15">
      <c r="C25" s="2"/>
    </row>
    <row r="28" spans="1:15">
      <c r="C28" s="2"/>
    </row>
    <row r="33" spans="3:3">
      <c r="C33" s="2"/>
    </row>
    <row r="34" spans="3:3">
      <c r="C34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</sheetData>
  <mergeCells count="2">
    <mergeCell ref="H1:J1"/>
    <mergeCell ref="K1:M1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Fuels, properties and prices</vt:lpstr>
      <vt:lpstr>TRT Cars</vt:lpstr>
      <vt:lpstr>Fixed costs</vt:lpstr>
      <vt:lpstr>TRC Light Commercial vehicles</vt:lpstr>
      <vt:lpstr>TRM Medium trucks</vt:lpstr>
      <vt:lpstr>TRH Heavy trucks</vt:lpstr>
      <vt:lpstr>TRB Buses</vt:lpstr>
      <vt:lpstr>TRL Light trucks (America)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Lerede</dc:creator>
  <cp:lastModifiedBy>Daniele Lerede</cp:lastModifiedBy>
  <dcterms:created xsi:type="dcterms:W3CDTF">2019-03-22T21:09:12Z</dcterms:created>
  <dcterms:modified xsi:type="dcterms:W3CDTF">2023-07-24T08:31:14Z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34039020538330</vt:r8>
  </property>
</Properties>
</file>