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d3ea5680e12814/Desktop/"/>
    </mc:Choice>
  </mc:AlternateContent>
  <xr:revisionPtr revIDLastSave="0" documentId="8_{D88991EA-93AE-44E9-9502-059A2D9B8BF8}" xr6:coauthVersionLast="47" xr6:coauthVersionMax="47" xr10:uidLastSave="{00000000-0000-0000-0000-000000000000}"/>
  <bookViews>
    <workbookView xWindow="-110" yWindow="-110" windowWidth="19420" windowHeight="11500" xr2:uid="{72F1DE86-4C7E-0C45-B885-7914BAB14616}"/>
  </bookViews>
  <sheets>
    <sheet name="Inventory" sheetId="1" r:id="rId1"/>
    <sheet name="For Listing PM" sheetId="4" state="hidden" r:id="rId2"/>
    <sheet name="Admin Costs" sheetId="3" state="hidden" r:id="rId3"/>
    <sheet name="Sheet2" sheetId="2" state="hidden" r:id="rId4"/>
    <sheet name="Personal" sheetId="6" state="hidden" r:id="rId5"/>
  </sheets>
  <definedNames>
    <definedName name="_xlnm._FilterDatabase" localSheetId="1" hidden="1">'For Listing PM'!$A$1:$AE$130</definedName>
    <definedName name="_xlnm._FilterDatabase" localSheetId="0" hidden="1">Inventory!$A$1:$X$771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71" i="1" l="1"/>
  <c r="Q771" i="1"/>
  <c r="R771" i="1" s="1"/>
  <c r="H771" i="1"/>
  <c r="J771" i="1" s="1"/>
  <c r="K771" i="1" s="1"/>
  <c r="I771" i="1"/>
  <c r="Q770" i="1"/>
  <c r="R770" i="1" s="1"/>
  <c r="H770" i="1"/>
  <c r="J770" i="1" s="1"/>
  <c r="K770" i="1" s="1"/>
  <c r="I770" i="1"/>
  <c r="Q769" i="1"/>
  <c r="R769" i="1" s="1"/>
  <c r="H769" i="1"/>
  <c r="J769" i="1" s="1"/>
  <c r="K769" i="1" s="1"/>
  <c r="I769" i="1"/>
  <c r="Q768" i="1"/>
  <c r="R768" i="1" s="1"/>
  <c r="H768" i="1"/>
  <c r="J768" i="1" s="1"/>
  <c r="K768" i="1" s="1"/>
  <c r="I768" i="1"/>
  <c r="G768" i="1"/>
  <c r="T767" i="1"/>
  <c r="Q767" i="1"/>
  <c r="R767" i="1" s="1"/>
  <c r="H767" i="1"/>
  <c r="J767" i="1" s="1"/>
  <c r="K767" i="1" s="1"/>
  <c r="I767" i="1"/>
  <c r="T765" i="1"/>
  <c r="T766" i="1"/>
  <c r="Q766" i="1"/>
  <c r="R766" i="1" s="1"/>
  <c r="H766" i="1"/>
  <c r="J766" i="1" s="1"/>
  <c r="K766" i="1" s="1"/>
  <c r="I766" i="1"/>
  <c r="P735" i="1"/>
  <c r="O735" i="1"/>
  <c r="Q765" i="1"/>
  <c r="R765" i="1" s="1"/>
  <c r="H765" i="1"/>
  <c r="J765" i="1" s="1"/>
  <c r="K765" i="1" s="1"/>
  <c r="I765" i="1"/>
  <c r="T764" i="1"/>
  <c r="Q764" i="1"/>
  <c r="R764" i="1" s="1"/>
  <c r="H764" i="1"/>
  <c r="J764" i="1" s="1"/>
  <c r="K764" i="1" s="1"/>
  <c r="I764" i="1"/>
  <c r="T763" i="1"/>
  <c r="Q763" i="1"/>
  <c r="R763" i="1" s="1"/>
  <c r="H763" i="1"/>
  <c r="J763" i="1" s="1"/>
  <c r="K763" i="1" s="1"/>
  <c r="I763" i="1"/>
  <c r="T753" i="1"/>
  <c r="T754" i="1"/>
  <c r="T755" i="1"/>
  <c r="T756" i="1"/>
  <c r="T757" i="1"/>
  <c r="T758" i="1"/>
  <c r="T759" i="1"/>
  <c r="T760" i="1"/>
  <c r="T761" i="1"/>
  <c r="T762" i="1"/>
  <c r="Q762" i="1"/>
  <c r="R762" i="1" s="1"/>
  <c r="H762" i="1"/>
  <c r="J762" i="1" s="1"/>
  <c r="K762" i="1" s="1"/>
  <c r="I762" i="1"/>
  <c r="Q761" i="1"/>
  <c r="R761" i="1" s="1"/>
  <c r="P761" i="1"/>
  <c r="O761" i="1"/>
  <c r="H761" i="1"/>
  <c r="J761" i="1" s="1"/>
  <c r="K761" i="1" s="1"/>
  <c r="I761" i="1"/>
  <c r="G761" i="1"/>
  <c r="Q760" i="1"/>
  <c r="R760" i="1" s="1"/>
  <c r="P760" i="1"/>
  <c r="G760" i="1"/>
  <c r="O760" i="1"/>
  <c r="H760" i="1"/>
  <c r="J760" i="1" s="1"/>
  <c r="K760" i="1" s="1"/>
  <c r="I760" i="1"/>
  <c r="Q759" i="1"/>
  <c r="R759" i="1" s="1"/>
  <c r="P759" i="1"/>
  <c r="O759" i="1"/>
  <c r="G759" i="1"/>
  <c r="H759" i="1"/>
  <c r="I759" i="1"/>
  <c r="Q758" i="1"/>
  <c r="R758" i="1" s="1"/>
  <c r="H758" i="1"/>
  <c r="J758" i="1" s="1"/>
  <c r="K758" i="1" s="1"/>
  <c r="I758" i="1"/>
  <c r="G758" i="1"/>
  <c r="H757" i="1"/>
  <c r="J757" i="1" s="1"/>
  <c r="K757" i="1" s="1"/>
  <c r="I757" i="1"/>
  <c r="Q757" i="1"/>
  <c r="R757" i="1" s="1"/>
  <c r="Q753" i="1"/>
  <c r="R753" i="1" s="1"/>
  <c r="Q754" i="1"/>
  <c r="R754" i="1" s="1"/>
  <c r="Q755" i="1"/>
  <c r="R755" i="1" s="1"/>
  <c r="Q756" i="1"/>
  <c r="R756" i="1" s="1"/>
  <c r="H756" i="1"/>
  <c r="J756" i="1" s="1"/>
  <c r="K756" i="1" s="1"/>
  <c r="I756" i="1"/>
  <c r="H753" i="1"/>
  <c r="J753" i="1" s="1"/>
  <c r="K753" i="1" s="1"/>
  <c r="I753" i="1"/>
  <c r="H754" i="1"/>
  <c r="J754" i="1" s="1"/>
  <c r="K754" i="1" s="1"/>
  <c r="I754" i="1"/>
  <c r="H755" i="1"/>
  <c r="J755" i="1" s="1"/>
  <c r="K755" i="1" s="1"/>
  <c r="I755" i="1"/>
  <c r="T752" i="1"/>
  <c r="Q752" i="1"/>
  <c r="R752" i="1" s="1"/>
  <c r="H752" i="1"/>
  <c r="J752" i="1" s="1"/>
  <c r="K752" i="1" s="1"/>
  <c r="I752" i="1"/>
  <c r="T751" i="1"/>
  <c r="Q751" i="1"/>
  <c r="R751" i="1" s="1"/>
  <c r="H751" i="1"/>
  <c r="J751" i="1" s="1"/>
  <c r="K751" i="1" s="1"/>
  <c r="I751" i="1"/>
  <c r="G751" i="1"/>
  <c r="T750" i="1"/>
  <c r="P750" i="1"/>
  <c r="Q750" i="1" s="1"/>
  <c r="R750" i="1" s="1"/>
  <c r="O750" i="1"/>
  <c r="H750" i="1"/>
  <c r="J750" i="1" s="1"/>
  <c r="K750" i="1" s="1"/>
  <c r="I750" i="1"/>
  <c r="G750" i="1"/>
  <c r="T749" i="1"/>
  <c r="Q749" i="1"/>
  <c r="R749" i="1" s="1"/>
  <c r="Q748" i="1"/>
  <c r="R748" i="1" s="1"/>
  <c r="P749" i="1"/>
  <c r="O749" i="1"/>
  <c r="H749" i="1"/>
  <c r="J749" i="1" s="1"/>
  <c r="K749" i="1" s="1"/>
  <c r="I749" i="1"/>
  <c r="G749" i="1"/>
  <c r="T748" i="1"/>
  <c r="H748" i="1"/>
  <c r="J748" i="1" s="1"/>
  <c r="K748" i="1" s="1"/>
  <c r="I748" i="1"/>
  <c r="H747" i="1"/>
  <c r="J747" i="1" s="1"/>
  <c r="K747" i="1" s="1"/>
  <c r="I747" i="1"/>
  <c r="T747" i="1"/>
  <c r="Q747" i="1"/>
  <c r="R747" i="1" s="1"/>
  <c r="T746" i="1"/>
  <c r="Q746" i="1"/>
  <c r="R746" i="1" s="1"/>
  <c r="G746" i="1"/>
  <c r="H746" i="1" s="1"/>
  <c r="I746" i="1"/>
  <c r="T745" i="1"/>
  <c r="P745" i="1"/>
  <c r="Q745" i="1" s="1"/>
  <c r="R745" i="1" s="1"/>
  <c r="O745" i="1"/>
  <c r="G745" i="1"/>
  <c r="H745" i="1" s="1"/>
  <c r="J745" i="1" s="1"/>
  <c r="K745" i="1" s="1"/>
  <c r="I745" i="1"/>
  <c r="T744" i="1"/>
  <c r="Q744" i="1"/>
  <c r="R744" i="1" s="1"/>
  <c r="P744" i="1"/>
  <c r="O744" i="1"/>
  <c r="H744" i="1"/>
  <c r="J744" i="1" s="1"/>
  <c r="K744" i="1" s="1"/>
  <c r="I744" i="1"/>
  <c r="G744" i="1"/>
  <c r="T743" i="1"/>
  <c r="Q743" i="1"/>
  <c r="R743" i="1" s="1"/>
  <c r="P743" i="1"/>
  <c r="O743" i="1"/>
  <c r="H743" i="1"/>
  <c r="J743" i="1" s="1"/>
  <c r="K743" i="1" s="1"/>
  <c r="I743" i="1"/>
  <c r="T741" i="1"/>
  <c r="T742" i="1"/>
  <c r="Q741" i="1"/>
  <c r="R741" i="1" s="1"/>
  <c r="Q742" i="1"/>
  <c r="R742" i="1" s="1"/>
  <c r="H742" i="1"/>
  <c r="J742" i="1" s="1"/>
  <c r="K742" i="1" s="1"/>
  <c r="I742" i="1"/>
  <c r="H741" i="1"/>
  <c r="J741" i="1" s="1"/>
  <c r="K741" i="1" s="1"/>
  <c r="I741" i="1"/>
  <c r="T740" i="1"/>
  <c r="Q740" i="1"/>
  <c r="R740" i="1" s="1"/>
  <c r="H740" i="1"/>
  <c r="J740" i="1" s="1"/>
  <c r="K740" i="1" s="1"/>
  <c r="I740" i="1"/>
  <c r="T739" i="1"/>
  <c r="Q739" i="1"/>
  <c r="R739" i="1" s="1"/>
  <c r="G739" i="1"/>
  <c r="H739" i="1" s="1"/>
  <c r="J739" i="1" s="1"/>
  <c r="K739" i="1" s="1"/>
  <c r="I739" i="1"/>
  <c r="T738" i="1"/>
  <c r="Q738" i="1"/>
  <c r="R738" i="1" s="1"/>
  <c r="P738" i="1"/>
  <c r="O738" i="1"/>
  <c r="G738" i="1"/>
  <c r="H738" i="1" s="1"/>
  <c r="I738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Q737" i="1"/>
  <c r="R737" i="1" s="1"/>
  <c r="P737" i="1"/>
  <c r="O737" i="1"/>
  <c r="H737" i="1"/>
  <c r="J737" i="1" s="1"/>
  <c r="K737" i="1" s="1"/>
  <c r="I737" i="1"/>
  <c r="G737" i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H736" i="1"/>
  <c r="J736" i="1" s="1"/>
  <c r="K736" i="1" s="1"/>
  <c r="I736" i="1"/>
  <c r="H735" i="1"/>
  <c r="J735" i="1" s="1"/>
  <c r="K735" i="1" s="1"/>
  <c r="I735" i="1"/>
  <c r="H734" i="1"/>
  <c r="J734" i="1" s="1"/>
  <c r="K734" i="1" s="1"/>
  <c r="I734" i="1"/>
  <c r="H733" i="1"/>
  <c r="J733" i="1" s="1"/>
  <c r="K733" i="1" s="1"/>
  <c r="I733" i="1"/>
  <c r="H732" i="1"/>
  <c r="J732" i="1" s="1"/>
  <c r="K732" i="1" s="1"/>
  <c r="I732" i="1"/>
  <c r="H731" i="1"/>
  <c r="J731" i="1" s="1"/>
  <c r="K731" i="1" s="1"/>
  <c r="I731" i="1"/>
  <c r="H730" i="1"/>
  <c r="J730" i="1" s="1"/>
  <c r="K730" i="1" s="1"/>
  <c r="I730" i="1"/>
  <c r="H729" i="1"/>
  <c r="J729" i="1" s="1"/>
  <c r="K729" i="1" s="1"/>
  <c r="I729" i="1"/>
  <c r="H728" i="1"/>
  <c r="J728" i="1" s="1"/>
  <c r="K728" i="1" s="1"/>
  <c r="I728" i="1"/>
  <c r="H727" i="1"/>
  <c r="J727" i="1" s="1"/>
  <c r="K727" i="1" s="1"/>
  <c r="I727" i="1"/>
  <c r="H726" i="1"/>
  <c r="J726" i="1" s="1"/>
  <c r="K726" i="1" s="1"/>
  <c r="I726" i="1"/>
  <c r="H725" i="1"/>
  <c r="J725" i="1" s="1"/>
  <c r="K725" i="1" s="1"/>
  <c r="I725" i="1"/>
  <c r="H724" i="1"/>
  <c r="J724" i="1" s="1"/>
  <c r="K724" i="1" s="1"/>
  <c r="I724" i="1"/>
  <c r="H723" i="1"/>
  <c r="J723" i="1" s="1"/>
  <c r="K723" i="1" s="1"/>
  <c r="I723" i="1"/>
  <c r="H722" i="1"/>
  <c r="J722" i="1" s="1"/>
  <c r="K722" i="1" s="1"/>
  <c r="I722" i="1"/>
  <c r="H721" i="1"/>
  <c r="J721" i="1" s="1"/>
  <c r="K721" i="1" s="1"/>
  <c r="I721" i="1"/>
  <c r="H720" i="1"/>
  <c r="J720" i="1" s="1"/>
  <c r="K720" i="1" s="1"/>
  <c r="I720" i="1"/>
  <c r="Q719" i="1"/>
  <c r="R719" i="1" s="1"/>
  <c r="H719" i="1"/>
  <c r="J719" i="1" s="1"/>
  <c r="K719" i="1" s="1"/>
  <c r="I719" i="1"/>
  <c r="G718" i="1"/>
  <c r="Q718" i="1" s="1"/>
  <c r="R718" i="1" s="1"/>
  <c r="P717" i="1"/>
  <c r="Q717" i="1" s="1"/>
  <c r="R717" i="1" s="1"/>
  <c r="O717" i="1"/>
  <c r="H717" i="1"/>
  <c r="J717" i="1" s="1"/>
  <c r="K717" i="1" s="1"/>
  <c r="I717" i="1"/>
  <c r="P716" i="1"/>
  <c r="Q716" i="1" s="1"/>
  <c r="R716" i="1" s="1"/>
  <c r="O716" i="1"/>
  <c r="G716" i="1"/>
  <c r="H716" i="1" s="1"/>
  <c r="J716" i="1" s="1"/>
  <c r="K716" i="1" s="1"/>
  <c r="Q715" i="1"/>
  <c r="R715" i="1" s="1"/>
  <c r="H715" i="1"/>
  <c r="J715" i="1" s="1"/>
  <c r="K715" i="1" s="1"/>
  <c r="I715" i="1"/>
  <c r="T482" i="1"/>
  <c r="Q714" i="1"/>
  <c r="R714" i="1" s="1"/>
  <c r="H714" i="1"/>
  <c r="J714" i="1" s="1"/>
  <c r="K714" i="1" s="1"/>
  <c r="I714" i="1"/>
  <c r="G713" i="1"/>
  <c r="Q713" i="1" s="1"/>
  <c r="R713" i="1" s="1"/>
  <c r="P712" i="1"/>
  <c r="G712" i="1"/>
  <c r="I712" i="1" s="1"/>
  <c r="Q711" i="1"/>
  <c r="R711" i="1" s="1"/>
  <c r="H711" i="1"/>
  <c r="J711" i="1" s="1"/>
  <c r="K711" i="1" s="1"/>
  <c r="I711" i="1"/>
  <c r="Q709" i="1"/>
  <c r="R709" i="1" s="1"/>
  <c r="Q710" i="1"/>
  <c r="R710" i="1" s="1"/>
  <c r="H710" i="1"/>
  <c r="J710" i="1" s="1"/>
  <c r="K710" i="1" s="1"/>
  <c r="I710" i="1"/>
  <c r="H709" i="1"/>
  <c r="J709" i="1" s="1"/>
  <c r="K709" i="1" s="1"/>
  <c r="I709" i="1"/>
  <c r="Q708" i="1"/>
  <c r="R708" i="1" s="1"/>
  <c r="H708" i="1"/>
  <c r="J708" i="1" s="1"/>
  <c r="K708" i="1" s="1"/>
  <c r="I708" i="1"/>
  <c r="G707" i="1"/>
  <c r="Q707" i="1" s="1"/>
  <c r="R707" i="1" s="1"/>
  <c r="P706" i="1"/>
  <c r="O706" i="1"/>
  <c r="G706" i="1"/>
  <c r="H706" i="1" s="1"/>
  <c r="J706" i="1" s="1"/>
  <c r="K706" i="1" s="1"/>
  <c r="Q705" i="1"/>
  <c r="R705" i="1" s="1"/>
  <c r="H705" i="1"/>
  <c r="J705" i="1" s="1"/>
  <c r="K705" i="1" s="1"/>
  <c r="I705" i="1"/>
  <c r="P704" i="1"/>
  <c r="O704" i="1"/>
  <c r="G704" i="1"/>
  <c r="H704" i="1" s="1"/>
  <c r="P703" i="1"/>
  <c r="O703" i="1"/>
  <c r="G703" i="1"/>
  <c r="H703" i="1" s="1"/>
  <c r="J703" i="1" s="1"/>
  <c r="K703" i="1" s="1"/>
  <c r="Q702" i="1"/>
  <c r="R702" i="1" s="1"/>
  <c r="H702" i="1"/>
  <c r="J702" i="1" s="1"/>
  <c r="K702" i="1" s="1"/>
  <c r="I702" i="1"/>
  <c r="Q701" i="1"/>
  <c r="R701" i="1" s="1"/>
  <c r="H701" i="1"/>
  <c r="J701" i="1" s="1"/>
  <c r="K701" i="1" s="1"/>
  <c r="I701" i="1"/>
  <c r="H700" i="1"/>
  <c r="J700" i="1" s="1"/>
  <c r="K700" i="1" s="1"/>
  <c r="I700" i="1"/>
  <c r="Q700" i="1"/>
  <c r="R700" i="1" s="1"/>
  <c r="H699" i="1"/>
  <c r="J699" i="1" s="1"/>
  <c r="K699" i="1" s="1"/>
  <c r="I699" i="1"/>
  <c r="Q699" i="1"/>
  <c r="R699" i="1" s="1"/>
  <c r="H698" i="1"/>
  <c r="J698" i="1" s="1"/>
  <c r="K698" i="1" s="1"/>
  <c r="I698" i="1"/>
  <c r="Q698" i="1"/>
  <c r="R698" i="1" s="1"/>
  <c r="H697" i="1"/>
  <c r="J697" i="1" s="1"/>
  <c r="K697" i="1" s="1"/>
  <c r="I697" i="1"/>
  <c r="Q697" i="1"/>
  <c r="R697" i="1" s="1"/>
  <c r="Q696" i="1"/>
  <c r="R696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3" i="1"/>
  <c r="R693" i="1" s="1"/>
  <c r="Q694" i="1"/>
  <c r="R694" i="1" s="1"/>
  <c r="Q695" i="1"/>
  <c r="R695" i="1" s="1"/>
  <c r="H696" i="1"/>
  <c r="J696" i="1" s="1"/>
  <c r="K696" i="1" s="1"/>
  <c r="I696" i="1"/>
  <c r="H695" i="1"/>
  <c r="J695" i="1" s="1"/>
  <c r="K695" i="1" s="1"/>
  <c r="I695" i="1"/>
  <c r="H694" i="1"/>
  <c r="J694" i="1" s="1"/>
  <c r="K694" i="1" s="1"/>
  <c r="I694" i="1"/>
  <c r="H693" i="1"/>
  <c r="J693" i="1" s="1"/>
  <c r="K693" i="1" s="1"/>
  <c r="I693" i="1"/>
  <c r="G692" i="1"/>
  <c r="Q692" i="1" s="1"/>
  <c r="R692" i="1" s="1"/>
  <c r="G691" i="1"/>
  <c r="H691" i="1" s="1"/>
  <c r="J691" i="1" s="1"/>
  <c r="K691" i="1" s="1"/>
  <c r="G690" i="1"/>
  <c r="H690" i="1" s="1"/>
  <c r="J690" i="1" s="1"/>
  <c r="K690" i="1" s="1"/>
  <c r="H692" i="1"/>
  <c r="J692" i="1" s="1"/>
  <c r="K692" i="1" s="1"/>
  <c r="I692" i="1"/>
  <c r="H689" i="1"/>
  <c r="J689" i="1" s="1"/>
  <c r="K689" i="1" s="1"/>
  <c r="I689" i="1"/>
  <c r="H688" i="1"/>
  <c r="J688" i="1" s="1"/>
  <c r="K688" i="1" s="1"/>
  <c r="I688" i="1"/>
  <c r="H687" i="1"/>
  <c r="J687" i="1" s="1"/>
  <c r="K687" i="1" s="1"/>
  <c r="I687" i="1"/>
  <c r="H686" i="1"/>
  <c r="J686" i="1" s="1"/>
  <c r="K686" i="1" s="1"/>
  <c r="I686" i="1"/>
  <c r="H685" i="1"/>
  <c r="J685" i="1" s="1"/>
  <c r="K685" i="1" s="1"/>
  <c r="I685" i="1"/>
  <c r="H684" i="1"/>
  <c r="J684" i="1" s="1"/>
  <c r="K684" i="1" s="1"/>
  <c r="I684" i="1"/>
  <c r="H683" i="1"/>
  <c r="J683" i="1" s="1"/>
  <c r="K683" i="1" s="1"/>
  <c r="I683" i="1"/>
  <c r="H682" i="1"/>
  <c r="J682" i="1" s="1"/>
  <c r="K682" i="1" s="1"/>
  <c r="I682" i="1"/>
  <c r="H681" i="1"/>
  <c r="J681" i="1" s="1"/>
  <c r="K681" i="1" s="1"/>
  <c r="I681" i="1"/>
  <c r="H680" i="1"/>
  <c r="J680" i="1" s="1"/>
  <c r="K680" i="1" s="1"/>
  <c r="I680" i="1"/>
  <c r="H679" i="1"/>
  <c r="J679" i="1" s="1"/>
  <c r="K679" i="1" s="1"/>
  <c r="I679" i="1"/>
  <c r="H678" i="1"/>
  <c r="J678" i="1" s="1"/>
  <c r="K678" i="1" s="1"/>
  <c r="I678" i="1"/>
  <c r="H677" i="1"/>
  <c r="J677" i="1" s="1"/>
  <c r="K677" i="1" s="1"/>
  <c r="I677" i="1"/>
  <c r="H676" i="1"/>
  <c r="J676" i="1" s="1"/>
  <c r="K676" i="1" s="1"/>
  <c r="I676" i="1"/>
  <c r="H675" i="1"/>
  <c r="J675" i="1" s="1"/>
  <c r="K675" i="1" s="1"/>
  <c r="I675" i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67" i="1"/>
  <c r="H674" i="1"/>
  <c r="J674" i="1" s="1"/>
  <c r="K674" i="1" s="1"/>
  <c r="I674" i="1"/>
  <c r="H673" i="1"/>
  <c r="J673" i="1" s="1"/>
  <c r="K673" i="1" s="1"/>
  <c r="I673" i="1"/>
  <c r="H672" i="1"/>
  <c r="J672" i="1" s="1"/>
  <c r="K672" i="1" s="1"/>
  <c r="I672" i="1"/>
  <c r="H671" i="1"/>
  <c r="J671" i="1" s="1"/>
  <c r="K671" i="1" s="1"/>
  <c r="I671" i="1"/>
  <c r="H670" i="1"/>
  <c r="J670" i="1" s="1"/>
  <c r="K670" i="1" s="1"/>
  <c r="I670" i="1"/>
  <c r="H669" i="1"/>
  <c r="J669" i="1" s="1"/>
  <c r="K669" i="1" s="1"/>
  <c r="I669" i="1"/>
  <c r="H668" i="1"/>
  <c r="J668" i="1" s="1"/>
  <c r="K668" i="1" s="1"/>
  <c r="I668" i="1"/>
  <c r="H667" i="1"/>
  <c r="J667" i="1" s="1"/>
  <c r="K667" i="1" s="1"/>
  <c r="I667" i="1"/>
  <c r="Q666" i="1"/>
  <c r="R666" i="1" s="1"/>
  <c r="H666" i="1"/>
  <c r="J666" i="1" s="1"/>
  <c r="K666" i="1" s="1"/>
  <c r="I666" i="1"/>
  <c r="Q665" i="1"/>
  <c r="R665" i="1" s="1"/>
  <c r="H665" i="1"/>
  <c r="J665" i="1" s="1"/>
  <c r="K665" i="1" s="1"/>
  <c r="I665" i="1"/>
  <c r="Q664" i="1"/>
  <c r="R664" i="1" s="1"/>
  <c r="G664" i="1"/>
  <c r="H664" i="1" s="1"/>
  <c r="J664" i="1" s="1"/>
  <c r="K664" i="1" s="1"/>
  <c r="Q663" i="1"/>
  <c r="R663" i="1" s="1"/>
  <c r="H663" i="1"/>
  <c r="J663" i="1" s="1"/>
  <c r="K663" i="1" s="1"/>
  <c r="I663" i="1"/>
  <c r="G662" i="1"/>
  <c r="Q662" i="1" s="1"/>
  <c r="R662" i="1" s="1"/>
  <c r="Q661" i="1"/>
  <c r="R661" i="1" s="1"/>
  <c r="H661" i="1"/>
  <c r="J661" i="1" s="1"/>
  <c r="K661" i="1" s="1"/>
  <c r="I661" i="1"/>
  <c r="P660" i="1"/>
  <c r="Q660" i="1" s="1"/>
  <c r="R660" i="1" s="1"/>
  <c r="O660" i="1"/>
  <c r="G660" i="1"/>
  <c r="H660" i="1" s="1"/>
  <c r="J660" i="1" s="1"/>
  <c r="K660" i="1" s="1"/>
  <c r="Q659" i="1"/>
  <c r="R659" i="1" s="1"/>
  <c r="H659" i="1"/>
  <c r="J659" i="1" s="1"/>
  <c r="K659" i="1" s="1"/>
  <c r="I659" i="1"/>
  <c r="G658" i="1"/>
  <c r="H658" i="1" s="1"/>
  <c r="J658" i="1" s="1"/>
  <c r="K658" i="1" s="1"/>
  <c r="Q657" i="1"/>
  <c r="R657" i="1" s="1"/>
  <c r="H657" i="1"/>
  <c r="J657" i="1" s="1"/>
  <c r="K657" i="1" s="1"/>
  <c r="I657" i="1"/>
  <c r="P656" i="1"/>
  <c r="G656" i="1"/>
  <c r="H656" i="1" s="1"/>
  <c r="J656" i="1" s="1"/>
  <c r="K656" i="1" s="1"/>
  <c r="O656" i="1"/>
  <c r="Q655" i="1"/>
  <c r="R655" i="1" s="1"/>
  <c r="H655" i="1"/>
  <c r="J655" i="1" s="1"/>
  <c r="K655" i="1" s="1"/>
  <c r="I655" i="1"/>
  <c r="Q654" i="1"/>
  <c r="R654" i="1" s="1"/>
  <c r="H654" i="1"/>
  <c r="J654" i="1" s="1"/>
  <c r="K654" i="1" s="1"/>
  <c r="I654" i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H653" i="1"/>
  <c r="J653" i="1" s="1"/>
  <c r="K653" i="1" s="1"/>
  <c r="I653" i="1"/>
  <c r="H652" i="1"/>
  <c r="J652" i="1" s="1"/>
  <c r="K652" i="1" s="1"/>
  <c r="I652" i="1"/>
  <c r="H651" i="1"/>
  <c r="J651" i="1" s="1"/>
  <c r="K651" i="1" s="1"/>
  <c r="I651" i="1"/>
  <c r="H650" i="1"/>
  <c r="J650" i="1" s="1"/>
  <c r="K650" i="1" s="1"/>
  <c r="I650" i="1"/>
  <c r="H649" i="1"/>
  <c r="J649" i="1" s="1"/>
  <c r="K649" i="1" s="1"/>
  <c r="I649" i="1"/>
  <c r="H648" i="1"/>
  <c r="J648" i="1" s="1"/>
  <c r="K648" i="1" s="1"/>
  <c r="I648" i="1"/>
  <c r="Q647" i="1"/>
  <c r="R647" i="1" s="1"/>
  <c r="H647" i="1"/>
  <c r="J647" i="1" s="1"/>
  <c r="K647" i="1" s="1"/>
  <c r="I647" i="1"/>
  <c r="P643" i="1"/>
  <c r="H646" i="1"/>
  <c r="J646" i="1" s="1"/>
  <c r="K646" i="1" s="1"/>
  <c r="I646" i="1"/>
  <c r="Q646" i="1"/>
  <c r="R646" i="1" s="1"/>
  <c r="H645" i="1"/>
  <c r="J645" i="1" s="1"/>
  <c r="K645" i="1" s="1"/>
  <c r="I645" i="1"/>
  <c r="Q645" i="1"/>
  <c r="R645" i="1" s="1"/>
  <c r="H644" i="1"/>
  <c r="J644" i="1" s="1"/>
  <c r="K644" i="1" s="1"/>
  <c r="I644" i="1"/>
  <c r="Q644" i="1"/>
  <c r="R644" i="1" s="1"/>
  <c r="H643" i="1"/>
  <c r="J643" i="1" s="1"/>
  <c r="K643" i="1" s="1"/>
  <c r="I643" i="1"/>
  <c r="Q643" i="1"/>
  <c r="R643" i="1" s="1"/>
  <c r="Q642" i="1"/>
  <c r="R642" i="1" s="1"/>
  <c r="H642" i="1"/>
  <c r="J642" i="1" s="1"/>
  <c r="K642" i="1" s="1"/>
  <c r="I642" i="1"/>
  <c r="G641" i="1"/>
  <c r="Q641" i="1" s="1"/>
  <c r="R641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H640" i="1"/>
  <c r="J640" i="1" s="1"/>
  <c r="K640" i="1" s="1"/>
  <c r="I640" i="1"/>
  <c r="H639" i="1"/>
  <c r="J639" i="1" s="1"/>
  <c r="K639" i="1" s="1"/>
  <c r="I639" i="1"/>
  <c r="H638" i="1"/>
  <c r="J638" i="1" s="1"/>
  <c r="K638" i="1" s="1"/>
  <c r="I638" i="1"/>
  <c r="H637" i="1"/>
  <c r="J637" i="1" s="1"/>
  <c r="K637" i="1" s="1"/>
  <c r="I637" i="1"/>
  <c r="H636" i="1"/>
  <c r="J636" i="1" s="1"/>
  <c r="K636" i="1" s="1"/>
  <c r="I636" i="1"/>
  <c r="H635" i="1"/>
  <c r="J635" i="1" s="1"/>
  <c r="K635" i="1" s="1"/>
  <c r="I635" i="1"/>
  <c r="H634" i="1"/>
  <c r="J634" i="1" s="1"/>
  <c r="K634" i="1" s="1"/>
  <c r="I634" i="1"/>
  <c r="H633" i="1"/>
  <c r="J633" i="1" s="1"/>
  <c r="K633" i="1" s="1"/>
  <c r="I633" i="1"/>
  <c r="H632" i="1"/>
  <c r="J632" i="1" s="1"/>
  <c r="K632" i="1" s="1"/>
  <c r="I632" i="1"/>
  <c r="H631" i="1"/>
  <c r="J631" i="1" s="1"/>
  <c r="K631" i="1" s="1"/>
  <c r="I631" i="1"/>
  <c r="H630" i="1"/>
  <c r="J630" i="1" s="1"/>
  <c r="K630" i="1" s="1"/>
  <c r="I630" i="1"/>
  <c r="H629" i="1"/>
  <c r="J629" i="1" s="1"/>
  <c r="K629" i="1" s="1"/>
  <c r="I629" i="1"/>
  <c r="H628" i="1"/>
  <c r="J628" i="1" s="1"/>
  <c r="K628" i="1" s="1"/>
  <c r="I628" i="1"/>
  <c r="H627" i="1"/>
  <c r="J627" i="1" s="1"/>
  <c r="K627" i="1" s="1"/>
  <c r="I627" i="1"/>
  <c r="H626" i="1"/>
  <c r="J626" i="1" s="1"/>
  <c r="K626" i="1" s="1"/>
  <c r="I626" i="1"/>
  <c r="H625" i="1"/>
  <c r="J625" i="1" s="1"/>
  <c r="K625" i="1" s="1"/>
  <c r="I625" i="1"/>
  <c r="H624" i="1"/>
  <c r="J624" i="1" s="1"/>
  <c r="K624" i="1" s="1"/>
  <c r="I624" i="1"/>
  <c r="H623" i="1"/>
  <c r="J623" i="1" s="1"/>
  <c r="K623" i="1" s="1"/>
  <c r="I623" i="1"/>
  <c r="H622" i="1"/>
  <c r="J622" i="1" s="1"/>
  <c r="K622" i="1" s="1"/>
  <c r="I622" i="1"/>
  <c r="H621" i="1"/>
  <c r="J621" i="1" s="1"/>
  <c r="K621" i="1" s="1"/>
  <c r="I621" i="1"/>
  <c r="H620" i="1"/>
  <c r="J620" i="1" s="1"/>
  <c r="K620" i="1" s="1"/>
  <c r="I620" i="1"/>
  <c r="H619" i="1"/>
  <c r="J619" i="1" s="1"/>
  <c r="K619" i="1" s="1"/>
  <c r="I619" i="1"/>
  <c r="H618" i="1"/>
  <c r="J618" i="1" s="1"/>
  <c r="K618" i="1" s="1"/>
  <c r="I618" i="1"/>
  <c r="Q617" i="1"/>
  <c r="R617" i="1" s="1"/>
  <c r="H617" i="1"/>
  <c r="J617" i="1" s="1"/>
  <c r="K617" i="1" s="1"/>
  <c r="I617" i="1"/>
  <c r="Q616" i="1"/>
  <c r="R616" i="1" s="1"/>
  <c r="H616" i="1"/>
  <c r="J616" i="1" s="1"/>
  <c r="K616" i="1" s="1"/>
  <c r="I616" i="1"/>
  <c r="Q615" i="1"/>
  <c r="R615" i="1" s="1"/>
  <c r="H615" i="1"/>
  <c r="J615" i="1" s="1"/>
  <c r="K615" i="1" s="1"/>
  <c r="I615" i="1"/>
  <c r="G614" i="1"/>
  <c r="H614" i="1" s="1"/>
  <c r="O613" i="1"/>
  <c r="G613" i="1"/>
  <c r="I613" i="1" s="1"/>
  <c r="Q612" i="1"/>
  <c r="R612" i="1" s="1"/>
  <c r="H612" i="1"/>
  <c r="J612" i="1" s="1"/>
  <c r="K612" i="1" s="1"/>
  <c r="I612" i="1"/>
  <c r="Q611" i="1"/>
  <c r="R611" i="1" s="1"/>
  <c r="H611" i="1"/>
  <c r="J611" i="1" s="1"/>
  <c r="K611" i="1" s="1"/>
  <c r="I611" i="1"/>
  <c r="Q610" i="1"/>
  <c r="R610" i="1" s="1"/>
  <c r="H610" i="1"/>
  <c r="J610" i="1" s="1"/>
  <c r="K610" i="1" s="1"/>
  <c r="I610" i="1"/>
  <c r="Q609" i="1"/>
  <c r="R609" i="1" s="1"/>
  <c r="H609" i="1"/>
  <c r="J609" i="1" s="1"/>
  <c r="K609" i="1" s="1"/>
  <c r="I609" i="1"/>
  <c r="Q608" i="1"/>
  <c r="R608" i="1" s="1"/>
  <c r="H608" i="1"/>
  <c r="J608" i="1" s="1"/>
  <c r="K608" i="1" s="1"/>
  <c r="I608" i="1"/>
  <c r="Q607" i="1"/>
  <c r="R607" i="1" s="1"/>
  <c r="H607" i="1"/>
  <c r="J607" i="1" s="1"/>
  <c r="K607" i="1" s="1"/>
  <c r="I607" i="1"/>
  <c r="P606" i="1"/>
  <c r="Q606" i="1" s="1"/>
  <c r="O606" i="1"/>
  <c r="H606" i="1"/>
  <c r="J606" i="1" s="1"/>
  <c r="K606" i="1" s="1"/>
  <c r="I606" i="1"/>
  <c r="Q605" i="1"/>
  <c r="R605" i="1" s="1"/>
  <c r="H605" i="1"/>
  <c r="J605" i="1" s="1"/>
  <c r="K605" i="1" s="1"/>
  <c r="I605" i="1"/>
  <c r="G602" i="1"/>
  <c r="Q602" i="1" s="1"/>
  <c r="R602" i="1" s="1"/>
  <c r="Q604" i="1"/>
  <c r="R604" i="1" s="1"/>
  <c r="H604" i="1"/>
  <c r="J604" i="1" s="1"/>
  <c r="K604" i="1" s="1"/>
  <c r="I604" i="1"/>
  <c r="G603" i="1"/>
  <c r="H603" i="1" s="1"/>
  <c r="Q598" i="1"/>
  <c r="R598" i="1" s="1"/>
  <c r="Q599" i="1"/>
  <c r="R599" i="1" s="1"/>
  <c r="Q600" i="1"/>
  <c r="R600" i="1" s="1"/>
  <c r="Q601" i="1"/>
  <c r="R601" i="1" s="1"/>
  <c r="H601" i="1"/>
  <c r="J601" i="1" s="1"/>
  <c r="K601" i="1" s="1"/>
  <c r="I601" i="1"/>
  <c r="H600" i="1"/>
  <c r="J600" i="1" s="1"/>
  <c r="K600" i="1" s="1"/>
  <c r="I600" i="1"/>
  <c r="H599" i="1"/>
  <c r="J599" i="1" s="1"/>
  <c r="K599" i="1" s="1"/>
  <c r="I599" i="1"/>
  <c r="H598" i="1"/>
  <c r="J598" i="1" s="1"/>
  <c r="K598" i="1" s="1"/>
  <c r="I598" i="1"/>
  <c r="G597" i="1"/>
  <c r="H597" i="1" s="1"/>
  <c r="J597" i="1" s="1"/>
  <c r="K597" i="1" s="1"/>
  <c r="H596" i="1"/>
  <c r="J596" i="1" s="1"/>
  <c r="K596" i="1" s="1"/>
  <c r="I596" i="1"/>
  <c r="Q596" i="1"/>
  <c r="R596" i="1" s="1"/>
  <c r="H595" i="1"/>
  <c r="J595" i="1" s="1"/>
  <c r="K595" i="1" s="1"/>
  <c r="I595" i="1"/>
  <c r="Q595" i="1"/>
  <c r="R595" i="1" s="1"/>
  <c r="H594" i="1"/>
  <c r="J594" i="1" s="1"/>
  <c r="K594" i="1" s="1"/>
  <c r="I594" i="1"/>
  <c r="Q594" i="1"/>
  <c r="R594" i="1" s="1"/>
  <c r="H593" i="1"/>
  <c r="J593" i="1" s="1"/>
  <c r="K593" i="1" s="1"/>
  <c r="I593" i="1"/>
  <c r="Q593" i="1"/>
  <c r="R593" i="1" s="1"/>
  <c r="H592" i="1"/>
  <c r="J592" i="1" s="1"/>
  <c r="K592" i="1" s="1"/>
  <c r="I592" i="1"/>
  <c r="Q592" i="1"/>
  <c r="R592" i="1" s="1"/>
  <c r="H591" i="1"/>
  <c r="J591" i="1" s="1"/>
  <c r="K591" i="1" s="1"/>
  <c r="I591" i="1"/>
  <c r="Q591" i="1"/>
  <c r="R591" i="1" s="1"/>
  <c r="H590" i="1"/>
  <c r="J590" i="1" s="1"/>
  <c r="K590" i="1" s="1"/>
  <c r="I590" i="1"/>
  <c r="Q590" i="1"/>
  <c r="R590" i="1" s="1"/>
  <c r="H589" i="1"/>
  <c r="J589" i="1" s="1"/>
  <c r="K589" i="1" s="1"/>
  <c r="I589" i="1"/>
  <c r="Q589" i="1"/>
  <c r="R589" i="1" s="1"/>
  <c r="H588" i="1"/>
  <c r="J588" i="1" s="1"/>
  <c r="K588" i="1" s="1"/>
  <c r="I588" i="1"/>
  <c r="Q588" i="1"/>
  <c r="R588" i="1" s="1"/>
  <c r="H587" i="1"/>
  <c r="J587" i="1" s="1"/>
  <c r="K587" i="1" s="1"/>
  <c r="I587" i="1"/>
  <c r="Q587" i="1"/>
  <c r="R587" i="1" s="1"/>
  <c r="Q585" i="1"/>
  <c r="R585" i="1" s="1"/>
  <c r="Q586" i="1"/>
  <c r="R586" i="1" s="1"/>
  <c r="H586" i="1"/>
  <c r="J586" i="1" s="1"/>
  <c r="K586" i="1" s="1"/>
  <c r="I586" i="1"/>
  <c r="H585" i="1"/>
  <c r="J585" i="1" s="1"/>
  <c r="K585" i="1" s="1"/>
  <c r="I585" i="1"/>
  <c r="Q584" i="1"/>
  <c r="R584" i="1" s="1"/>
  <c r="H584" i="1"/>
  <c r="J584" i="1" s="1"/>
  <c r="K584" i="1" s="1"/>
  <c r="I584" i="1"/>
  <c r="G583" i="1"/>
  <c r="H583" i="1" s="1"/>
  <c r="J583" i="1" s="1"/>
  <c r="K583" i="1" s="1"/>
  <c r="G582" i="1"/>
  <c r="Q582" i="1" s="1"/>
  <c r="R58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H581" i="1"/>
  <c r="J581" i="1" s="1"/>
  <c r="K581" i="1" s="1"/>
  <c r="I581" i="1"/>
  <c r="H580" i="1"/>
  <c r="J580" i="1" s="1"/>
  <c r="K580" i="1" s="1"/>
  <c r="I580" i="1"/>
  <c r="H579" i="1"/>
  <c r="J579" i="1" s="1"/>
  <c r="K579" i="1" s="1"/>
  <c r="I579" i="1"/>
  <c r="H578" i="1"/>
  <c r="J578" i="1" s="1"/>
  <c r="K578" i="1" s="1"/>
  <c r="I578" i="1"/>
  <c r="H577" i="1"/>
  <c r="J577" i="1" s="1"/>
  <c r="K577" i="1" s="1"/>
  <c r="I577" i="1"/>
  <c r="H576" i="1"/>
  <c r="J576" i="1" s="1"/>
  <c r="K576" i="1" s="1"/>
  <c r="I576" i="1"/>
  <c r="H575" i="1"/>
  <c r="J575" i="1" s="1"/>
  <c r="K575" i="1" s="1"/>
  <c r="I575" i="1"/>
  <c r="H574" i="1"/>
  <c r="J574" i="1" s="1"/>
  <c r="K574" i="1" s="1"/>
  <c r="I574" i="1"/>
  <c r="H573" i="1"/>
  <c r="J573" i="1" s="1"/>
  <c r="K573" i="1" s="1"/>
  <c r="I573" i="1"/>
  <c r="Q572" i="1"/>
  <c r="R572" i="1" s="1"/>
  <c r="H572" i="1"/>
  <c r="J572" i="1" s="1"/>
  <c r="K572" i="1" s="1"/>
  <c r="I572" i="1"/>
  <c r="P571" i="1"/>
  <c r="O571" i="1"/>
  <c r="G571" i="1"/>
  <c r="H571" i="1" s="1"/>
  <c r="J571" i="1" s="1"/>
  <c r="K571" i="1" s="1"/>
  <c r="P264" i="1"/>
  <c r="Q264" i="1" s="1"/>
  <c r="R264" i="1" s="1"/>
  <c r="H15" i="1"/>
  <c r="J15" i="1" s="1"/>
  <c r="K15" i="1" s="1"/>
  <c r="H14" i="1"/>
  <c r="J14" i="1" s="1"/>
  <c r="K14" i="1" s="1"/>
  <c r="H13" i="1"/>
  <c r="J13" i="1" s="1"/>
  <c r="K13" i="1" s="1"/>
  <c r="H12" i="1"/>
  <c r="V12" i="1" s="1"/>
  <c r="H11" i="1"/>
  <c r="J11" i="1" s="1"/>
  <c r="K11" i="1" s="1"/>
  <c r="H17" i="1"/>
  <c r="J17" i="1" s="1"/>
  <c r="K17" i="1" s="1"/>
  <c r="H20" i="1"/>
  <c r="J20" i="1" s="1"/>
  <c r="K20" i="1" s="1"/>
  <c r="H22" i="1"/>
  <c r="J22" i="1" s="1"/>
  <c r="K22" i="1" s="1"/>
  <c r="H40" i="1"/>
  <c r="J40" i="1" s="1"/>
  <c r="K40" i="1" s="1"/>
  <c r="H26" i="1"/>
  <c r="J26" i="1" s="1"/>
  <c r="K26" i="1" s="1"/>
  <c r="H31" i="1"/>
  <c r="J31" i="1" s="1"/>
  <c r="K31" i="1" s="1"/>
  <c r="H30" i="1"/>
  <c r="J30" i="1" s="1"/>
  <c r="K30" i="1" s="1"/>
  <c r="H34" i="1"/>
  <c r="J34" i="1" s="1"/>
  <c r="K34" i="1" s="1"/>
  <c r="H37" i="1"/>
  <c r="J37" i="1" s="1"/>
  <c r="K37" i="1" s="1"/>
  <c r="H41" i="1"/>
  <c r="J41" i="1" s="1"/>
  <c r="K41" i="1" s="1"/>
  <c r="H21" i="1"/>
  <c r="J21" i="1" s="1"/>
  <c r="K21" i="1" s="1"/>
  <c r="H43" i="1"/>
  <c r="J43" i="1" s="1"/>
  <c r="K43" i="1" s="1"/>
  <c r="H47" i="1"/>
  <c r="J47" i="1" s="1"/>
  <c r="K47" i="1" s="1"/>
  <c r="H46" i="1"/>
  <c r="J46" i="1" s="1"/>
  <c r="K46" i="1" s="1"/>
  <c r="H49" i="1"/>
  <c r="J49" i="1" s="1"/>
  <c r="K49" i="1" s="1"/>
  <c r="H52" i="1"/>
  <c r="J52" i="1" s="1"/>
  <c r="K52" i="1" s="1"/>
  <c r="H18" i="1"/>
  <c r="J18" i="1" s="1"/>
  <c r="K18" i="1" s="1"/>
  <c r="H54" i="1"/>
  <c r="J54" i="1" s="1"/>
  <c r="K54" i="1" s="1"/>
  <c r="H57" i="1"/>
  <c r="J57" i="1" s="1"/>
  <c r="K57" i="1" s="1"/>
  <c r="H60" i="1"/>
  <c r="J60" i="1" s="1"/>
  <c r="K60" i="1" s="1"/>
  <c r="H63" i="1"/>
  <c r="J63" i="1" s="1"/>
  <c r="K63" i="1" s="1"/>
  <c r="H69" i="1"/>
  <c r="J69" i="1" s="1"/>
  <c r="K69" i="1" s="1"/>
  <c r="H67" i="1"/>
  <c r="J67" i="1" s="1"/>
  <c r="K67" i="1" s="1"/>
  <c r="H66" i="1"/>
  <c r="J66" i="1" s="1"/>
  <c r="K66" i="1" s="1"/>
  <c r="H71" i="1"/>
  <c r="J71" i="1" s="1"/>
  <c r="K71" i="1" s="1"/>
  <c r="H75" i="1"/>
  <c r="J75" i="1" s="1"/>
  <c r="K75" i="1" s="1"/>
  <c r="H77" i="1"/>
  <c r="J77" i="1" s="1"/>
  <c r="K77" i="1" s="1"/>
  <c r="H79" i="1"/>
  <c r="J79" i="1" s="1"/>
  <c r="K79" i="1" s="1"/>
  <c r="H82" i="1"/>
  <c r="J82" i="1" s="1"/>
  <c r="K82" i="1" s="1"/>
  <c r="H81" i="1"/>
  <c r="J81" i="1" s="1"/>
  <c r="K81" i="1" s="1"/>
  <c r="H95" i="1"/>
  <c r="J95" i="1" s="1"/>
  <c r="K95" i="1" s="1"/>
  <c r="H98" i="1"/>
  <c r="J98" i="1" s="1"/>
  <c r="K98" i="1" s="1"/>
  <c r="H101" i="1"/>
  <c r="J101" i="1" s="1"/>
  <c r="K101" i="1" s="1"/>
  <c r="H104" i="1"/>
  <c r="J104" i="1" s="1"/>
  <c r="K104" i="1" s="1"/>
  <c r="H106" i="1"/>
  <c r="J106" i="1" s="1"/>
  <c r="K106" i="1" s="1"/>
  <c r="H108" i="1"/>
  <c r="J108" i="1" s="1"/>
  <c r="K108" i="1" s="1"/>
  <c r="H111" i="1"/>
  <c r="J111" i="1" s="1"/>
  <c r="K111" i="1" s="1"/>
  <c r="H115" i="1"/>
  <c r="J115" i="1" s="1"/>
  <c r="K115" i="1" s="1"/>
  <c r="H114" i="1"/>
  <c r="J114" i="1" s="1"/>
  <c r="K114" i="1" s="1"/>
  <c r="H117" i="1"/>
  <c r="J117" i="1" s="1"/>
  <c r="K117" i="1" s="1"/>
  <c r="H122" i="1"/>
  <c r="J122" i="1" s="1"/>
  <c r="K122" i="1" s="1"/>
  <c r="H121" i="1"/>
  <c r="J121" i="1" s="1"/>
  <c r="K121" i="1" s="1"/>
  <c r="H125" i="1"/>
  <c r="J125" i="1" s="1"/>
  <c r="K125" i="1" s="1"/>
  <c r="H128" i="1"/>
  <c r="J128" i="1" s="1"/>
  <c r="K128" i="1" s="1"/>
  <c r="H130" i="1"/>
  <c r="J130" i="1" s="1"/>
  <c r="K130" i="1" s="1"/>
  <c r="H134" i="1"/>
  <c r="J134" i="1" s="1"/>
  <c r="K134" i="1" s="1"/>
  <c r="H133" i="1"/>
  <c r="J133" i="1" s="1"/>
  <c r="K133" i="1" s="1"/>
  <c r="H138" i="1"/>
  <c r="J138" i="1" s="1"/>
  <c r="K138" i="1" s="1"/>
  <c r="H137" i="1"/>
  <c r="J137" i="1" s="1"/>
  <c r="K137" i="1" s="1"/>
  <c r="H145" i="1"/>
  <c r="J145" i="1" s="1"/>
  <c r="K145" i="1" s="1"/>
  <c r="H144" i="1"/>
  <c r="J144" i="1" s="1"/>
  <c r="K144" i="1" s="1"/>
  <c r="H161" i="1"/>
  <c r="J161" i="1" s="1"/>
  <c r="K161" i="1" s="1"/>
  <c r="H160" i="1"/>
  <c r="J160" i="1" s="1"/>
  <c r="K160" i="1" s="1"/>
  <c r="H159" i="1"/>
  <c r="J159" i="1" s="1"/>
  <c r="K159" i="1" s="1"/>
  <c r="H158" i="1"/>
  <c r="J158" i="1" s="1"/>
  <c r="K158" i="1" s="1"/>
  <c r="H157" i="1"/>
  <c r="J157" i="1" s="1"/>
  <c r="K157" i="1" s="1"/>
  <c r="H156" i="1"/>
  <c r="J156" i="1" s="1"/>
  <c r="K156" i="1" s="1"/>
  <c r="H155" i="1"/>
  <c r="J155" i="1" s="1"/>
  <c r="K155" i="1" s="1"/>
  <c r="H154" i="1"/>
  <c r="J154" i="1" s="1"/>
  <c r="K154" i="1" s="1"/>
  <c r="H153" i="1"/>
  <c r="J153" i="1" s="1"/>
  <c r="K153" i="1" s="1"/>
  <c r="H152" i="1"/>
  <c r="J152" i="1" s="1"/>
  <c r="K152" i="1" s="1"/>
  <c r="H151" i="1"/>
  <c r="J151" i="1" s="1"/>
  <c r="K151" i="1" s="1"/>
  <c r="H150" i="1"/>
  <c r="J150" i="1" s="1"/>
  <c r="K150" i="1" s="1"/>
  <c r="H149" i="1"/>
  <c r="J149" i="1" s="1"/>
  <c r="K149" i="1" s="1"/>
  <c r="H148" i="1"/>
  <c r="V148" i="1" s="1"/>
  <c r="H171" i="1"/>
  <c r="V171" i="1" s="1"/>
  <c r="H170" i="1"/>
  <c r="V170" i="1" s="1"/>
  <c r="H169" i="1"/>
  <c r="J169" i="1" s="1"/>
  <c r="K169" i="1" s="1"/>
  <c r="H168" i="1"/>
  <c r="V168" i="1" s="1"/>
  <c r="H167" i="1"/>
  <c r="J167" i="1" s="1"/>
  <c r="K167" i="1" s="1"/>
  <c r="H166" i="1"/>
  <c r="V166" i="1" s="1"/>
  <c r="H165" i="1"/>
  <c r="J165" i="1" s="1"/>
  <c r="K165" i="1" s="1"/>
  <c r="H164" i="1"/>
  <c r="J164" i="1" s="1"/>
  <c r="K164" i="1" s="1"/>
  <c r="H163" i="1"/>
  <c r="J163" i="1" s="1"/>
  <c r="K163" i="1" s="1"/>
  <c r="H178" i="1"/>
  <c r="J178" i="1" s="1"/>
  <c r="K178" i="1" s="1"/>
  <c r="H177" i="1"/>
  <c r="J177" i="1" s="1"/>
  <c r="K177" i="1" s="1"/>
  <c r="H176" i="1"/>
  <c r="J176" i="1" s="1"/>
  <c r="K176" i="1" s="1"/>
  <c r="H175" i="1"/>
  <c r="J175" i="1" s="1"/>
  <c r="K175" i="1" s="1"/>
  <c r="H174" i="1"/>
  <c r="V174" i="1" s="1"/>
  <c r="H173" i="1"/>
  <c r="J173" i="1" s="1"/>
  <c r="K173" i="1" s="1"/>
  <c r="H183" i="1"/>
  <c r="J183" i="1" s="1"/>
  <c r="K183" i="1" s="1"/>
  <c r="H186" i="1"/>
  <c r="J186" i="1" s="1"/>
  <c r="K186" i="1" s="1"/>
  <c r="H189" i="1"/>
  <c r="J189" i="1" s="1"/>
  <c r="K189" i="1" s="1"/>
  <c r="H188" i="1"/>
  <c r="V188" i="1" s="1"/>
  <c r="H191" i="1"/>
  <c r="V191" i="1" s="1"/>
  <c r="H195" i="1"/>
  <c r="J195" i="1" s="1"/>
  <c r="K195" i="1" s="1"/>
  <c r="H194" i="1"/>
  <c r="J194" i="1" s="1"/>
  <c r="K194" i="1" s="1"/>
  <c r="H193" i="1"/>
  <c r="J193" i="1" s="1"/>
  <c r="K193" i="1" s="1"/>
  <c r="H198" i="1"/>
  <c r="J198" i="1" s="1"/>
  <c r="K198" i="1" s="1"/>
  <c r="H204" i="1"/>
  <c r="J204" i="1" s="1"/>
  <c r="K204" i="1" s="1"/>
  <c r="H203" i="1"/>
  <c r="J203" i="1" s="1"/>
  <c r="K203" i="1" s="1"/>
  <c r="H202" i="1"/>
  <c r="J202" i="1" s="1"/>
  <c r="K202" i="1" s="1"/>
  <c r="H201" i="1"/>
  <c r="J201" i="1" s="1"/>
  <c r="K201" i="1" s="1"/>
  <c r="H200" i="1"/>
  <c r="J200" i="1" s="1"/>
  <c r="K200" i="1" s="1"/>
  <c r="H215" i="1"/>
  <c r="J215" i="1" s="1"/>
  <c r="K215" i="1" s="1"/>
  <c r="H214" i="1"/>
  <c r="V214" i="1" s="1"/>
  <c r="H213" i="1"/>
  <c r="V213" i="1" s="1"/>
  <c r="H212" i="1"/>
  <c r="J212" i="1" s="1"/>
  <c r="K212" i="1" s="1"/>
  <c r="H211" i="1"/>
  <c r="J211" i="1" s="1"/>
  <c r="K211" i="1" s="1"/>
  <c r="H210" i="1"/>
  <c r="J210" i="1" s="1"/>
  <c r="K210" i="1" s="1"/>
  <c r="H209" i="1"/>
  <c r="J209" i="1" s="1"/>
  <c r="K209" i="1" s="1"/>
  <c r="H208" i="1"/>
  <c r="J208" i="1" s="1"/>
  <c r="K208" i="1" s="1"/>
  <c r="H207" i="1"/>
  <c r="J207" i="1" s="1"/>
  <c r="K207" i="1" s="1"/>
  <c r="H206" i="1"/>
  <c r="J206" i="1" s="1"/>
  <c r="K206" i="1" s="1"/>
  <c r="H221" i="1"/>
  <c r="J221" i="1" s="1"/>
  <c r="K221" i="1" s="1"/>
  <c r="H220" i="1"/>
  <c r="J220" i="1" s="1"/>
  <c r="K220" i="1" s="1"/>
  <c r="H223" i="1"/>
  <c r="J223" i="1" s="1"/>
  <c r="K223" i="1" s="1"/>
  <c r="H229" i="1"/>
  <c r="J229" i="1" s="1"/>
  <c r="K229" i="1" s="1"/>
  <c r="H228" i="1"/>
  <c r="V228" i="1" s="1"/>
  <c r="H227" i="1"/>
  <c r="V227" i="1" s="1"/>
  <c r="H226" i="1"/>
  <c r="V226" i="1" s="1"/>
  <c r="H225" i="1"/>
  <c r="J225" i="1" s="1"/>
  <c r="K225" i="1" s="1"/>
  <c r="H242" i="1"/>
  <c r="J242" i="1" s="1"/>
  <c r="K242" i="1" s="1"/>
  <c r="H241" i="1"/>
  <c r="J241" i="1" s="1"/>
  <c r="K241" i="1" s="1"/>
  <c r="H240" i="1"/>
  <c r="V240" i="1" s="1"/>
  <c r="H239" i="1"/>
  <c r="J239" i="1" s="1"/>
  <c r="K239" i="1" s="1"/>
  <c r="H245" i="1"/>
  <c r="J245" i="1" s="1"/>
  <c r="K245" i="1" s="1"/>
  <c r="H248" i="1"/>
  <c r="J248" i="1" s="1"/>
  <c r="K248" i="1" s="1"/>
  <c r="H257" i="1"/>
  <c r="J257" i="1" s="1"/>
  <c r="K257" i="1" s="1"/>
  <c r="H256" i="1"/>
  <c r="J256" i="1" s="1"/>
  <c r="K256" i="1" s="1"/>
  <c r="H262" i="1"/>
  <c r="J262" i="1" s="1"/>
  <c r="K262" i="1" s="1"/>
  <c r="H261" i="1"/>
  <c r="J261" i="1" s="1"/>
  <c r="K261" i="1" s="1"/>
  <c r="H260" i="1"/>
  <c r="J260" i="1" s="1"/>
  <c r="K260" i="1" s="1"/>
  <c r="H259" i="1"/>
  <c r="V259" i="1" s="1"/>
  <c r="H264" i="1"/>
  <c r="J264" i="1" s="1"/>
  <c r="K264" i="1" s="1"/>
  <c r="H274" i="1"/>
  <c r="V274" i="1" s="1"/>
  <c r="H273" i="1"/>
  <c r="J273" i="1" s="1"/>
  <c r="K273" i="1" s="1"/>
  <c r="H272" i="1"/>
  <c r="J272" i="1" s="1"/>
  <c r="K272" i="1" s="1"/>
  <c r="H276" i="1"/>
  <c r="V276" i="1" s="1"/>
  <c r="H280" i="1"/>
  <c r="V280" i="1" s="1"/>
  <c r="H279" i="1"/>
  <c r="J279" i="1" s="1"/>
  <c r="K279" i="1" s="1"/>
  <c r="H283" i="1"/>
  <c r="J283" i="1" s="1"/>
  <c r="K283" i="1" s="1"/>
  <c r="H285" i="1"/>
  <c r="V285" i="1" s="1"/>
  <c r="H287" i="1"/>
  <c r="J287" i="1" s="1"/>
  <c r="K287" i="1" s="1"/>
  <c r="H296" i="1"/>
  <c r="J296" i="1" s="1"/>
  <c r="K296" i="1" s="1"/>
  <c r="H295" i="1"/>
  <c r="V295" i="1" s="1"/>
  <c r="H292" i="1"/>
  <c r="J292" i="1" s="1"/>
  <c r="K292" i="1" s="1"/>
  <c r="H302" i="1"/>
  <c r="J302" i="1" s="1"/>
  <c r="K302" i="1" s="1"/>
  <c r="H301" i="1"/>
  <c r="J301" i="1" s="1"/>
  <c r="K301" i="1" s="1"/>
  <c r="H300" i="1"/>
  <c r="V300" i="1" s="1"/>
  <c r="H299" i="1"/>
  <c r="J299" i="1" s="1"/>
  <c r="K299" i="1" s="1"/>
  <c r="H308" i="1"/>
  <c r="J308" i="1" s="1"/>
  <c r="K308" i="1" s="1"/>
  <c r="H307" i="1"/>
  <c r="J307" i="1" s="1"/>
  <c r="K307" i="1" s="1"/>
  <c r="H306" i="1"/>
  <c r="J306" i="1" s="1"/>
  <c r="K306" i="1" s="1"/>
  <c r="H305" i="1"/>
  <c r="J305" i="1" s="1"/>
  <c r="K305" i="1" s="1"/>
  <c r="H304" i="1"/>
  <c r="V304" i="1" s="1"/>
  <c r="H311" i="1"/>
  <c r="J311" i="1" s="1"/>
  <c r="K311" i="1" s="1"/>
  <c r="H310" i="1"/>
  <c r="J310" i="1" s="1"/>
  <c r="K310" i="1" s="1"/>
  <c r="H316" i="1"/>
  <c r="V316" i="1" s="1"/>
  <c r="H317" i="1"/>
  <c r="J317" i="1" s="1"/>
  <c r="K317" i="1" s="1"/>
  <c r="H315" i="1"/>
  <c r="V315" i="1" s="1"/>
  <c r="H320" i="1"/>
  <c r="V320" i="1" s="1"/>
  <c r="H319" i="1"/>
  <c r="V319" i="1" s="1"/>
  <c r="H323" i="1"/>
  <c r="J323" i="1" s="1"/>
  <c r="K323" i="1" s="1"/>
  <c r="H322" i="1"/>
  <c r="V322" i="1" s="1"/>
  <c r="H325" i="1"/>
  <c r="V325" i="1" s="1"/>
  <c r="H337" i="1"/>
  <c r="J337" i="1" s="1"/>
  <c r="K337" i="1" s="1"/>
  <c r="H336" i="1"/>
  <c r="V336" i="1" s="1"/>
  <c r="H335" i="1"/>
  <c r="J335" i="1" s="1"/>
  <c r="K335" i="1" s="1"/>
  <c r="H334" i="1"/>
  <c r="V334" i="1" s="1"/>
  <c r="H333" i="1"/>
  <c r="V333" i="1" s="1"/>
  <c r="H332" i="1"/>
  <c r="V332" i="1" s="1"/>
  <c r="H331" i="1"/>
  <c r="J331" i="1" s="1"/>
  <c r="K331" i="1" s="1"/>
  <c r="H330" i="1"/>
  <c r="J330" i="1" s="1"/>
  <c r="K330" i="1" s="1"/>
  <c r="H329" i="1"/>
  <c r="J329" i="1" s="1"/>
  <c r="K329" i="1" s="1"/>
  <c r="H328" i="1"/>
  <c r="J328" i="1" s="1"/>
  <c r="K328" i="1" s="1"/>
  <c r="H339" i="1"/>
  <c r="J339" i="1" s="1"/>
  <c r="K339" i="1" s="1"/>
  <c r="H341" i="1"/>
  <c r="J341" i="1" s="1"/>
  <c r="K341" i="1" s="1"/>
  <c r="H344" i="1"/>
  <c r="V344" i="1" s="1"/>
  <c r="H353" i="1"/>
  <c r="J353" i="1" s="1"/>
  <c r="K353" i="1" s="1"/>
  <c r="H352" i="1"/>
  <c r="J352" i="1" s="1"/>
  <c r="K352" i="1" s="1"/>
  <c r="H356" i="1"/>
  <c r="V356" i="1" s="1"/>
  <c r="H355" i="1"/>
  <c r="V355" i="1" s="1"/>
  <c r="H363" i="1"/>
  <c r="J363" i="1" s="1"/>
  <c r="K363" i="1" s="1"/>
  <c r="H362" i="1"/>
  <c r="J362" i="1" s="1"/>
  <c r="K362" i="1" s="1"/>
  <c r="H361" i="1"/>
  <c r="J361" i="1" s="1"/>
  <c r="K361" i="1" s="1"/>
  <c r="H360" i="1"/>
  <c r="V360" i="1" s="1"/>
  <c r="H359" i="1"/>
  <c r="J359" i="1" s="1"/>
  <c r="K359" i="1" s="1"/>
  <c r="H358" i="1"/>
  <c r="V358" i="1" s="1"/>
  <c r="H368" i="1"/>
  <c r="V368" i="1" s="1"/>
  <c r="H367" i="1"/>
  <c r="V367" i="1" s="1"/>
  <c r="H366" i="1"/>
  <c r="J366" i="1" s="1"/>
  <c r="K366" i="1" s="1"/>
  <c r="H377" i="1"/>
  <c r="V377" i="1" s="1"/>
  <c r="H376" i="1"/>
  <c r="J376" i="1" s="1"/>
  <c r="K376" i="1" s="1"/>
  <c r="H387" i="1"/>
  <c r="J387" i="1" s="1"/>
  <c r="K387" i="1" s="1"/>
  <c r="H386" i="1"/>
  <c r="J386" i="1" s="1"/>
  <c r="K386" i="1" s="1"/>
  <c r="H385" i="1"/>
  <c r="J385" i="1" s="1"/>
  <c r="K385" i="1" s="1"/>
  <c r="H384" i="1"/>
  <c r="V384" i="1" s="1"/>
  <c r="H390" i="1"/>
  <c r="J390" i="1" s="1"/>
  <c r="K390" i="1" s="1"/>
  <c r="H389" i="1"/>
  <c r="V389" i="1" s="1"/>
  <c r="H396" i="1"/>
  <c r="V396" i="1" s="1"/>
  <c r="H395" i="1"/>
  <c r="J395" i="1" s="1"/>
  <c r="K395" i="1" s="1"/>
  <c r="H394" i="1"/>
  <c r="V394" i="1" s="1"/>
  <c r="H398" i="1"/>
  <c r="J398" i="1" s="1"/>
  <c r="K398" i="1" s="1"/>
  <c r="H412" i="1"/>
  <c r="V412" i="1" s="1"/>
  <c r="H414" i="1"/>
  <c r="V414" i="1" s="1"/>
  <c r="H419" i="1"/>
  <c r="J419" i="1" s="1"/>
  <c r="K419" i="1" s="1"/>
  <c r="H418" i="1"/>
  <c r="V418" i="1" s="1"/>
  <c r="H417" i="1"/>
  <c r="J417" i="1" s="1"/>
  <c r="K417" i="1" s="1"/>
  <c r="H423" i="1"/>
  <c r="V423" i="1" s="1"/>
  <c r="H422" i="1"/>
  <c r="J422" i="1" s="1"/>
  <c r="K422" i="1" s="1"/>
  <c r="H427" i="1"/>
  <c r="J427" i="1" s="1"/>
  <c r="K427" i="1" s="1"/>
  <c r="H426" i="1"/>
  <c r="V426" i="1" s="1"/>
  <c r="H425" i="1"/>
  <c r="J425" i="1" s="1"/>
  <c r="K425" i="1" s="1"/>
  <c r="H430" i="1"/>
  <c r="J430" i="1" s="1"/>
  <c r="K430" i="1" s="1"/>
  <c r="H429" i="1"/>
  <c r="J429" i="1" s="1"/>
  <c r="K429" i="1" s="1"/>
  <c r="H436" i="1"/>
  <c r="V436" i="1" s="1"/>
  <c r="H435" i="1"/>
  <c r="V435" i="1" s="1"/>
  <c r="H434" i="1"/>
  <c r="J434" i="1" s="1"/>
  <c r="K434" i="1" s="1"/>
  <c r="H433" i="1"/>
  <c r="J433" i="1" s="1"/>
  <c r="K433" i="1" s="1"/>
  <c r="H432" i="1"/>
  <c r="J432" i="1" s="1"/>
  <c r="K432" i="1" s="1"/>
  <c r="H438" i="1"/>
  <c r="V438" i="1" s="1"/>
  <c r="H449" i="1"/>
  <c r="J449" i="1" s="1"/>
  <c r="K449" i="1" s="1"/>
  <c r="H448" i="1"/>
  <c r="V448" i="1" s="1"/>
  <c r="H447" i="1"/>
  <c r="V447" i="1" s="1"/>
  <c r="H446" i="1"/>
  <c r="V446" i="1" s="1"/>
  <c r="H445" i="1"/>
  <c r="V445" i="1" s="1"/>
  <c r="H444" i="1"/>
  <c r="J444" i="1" s="1"/>
  <c r="K444" i="1" s="1"/>
  <c r="H443" i="1"/>
  <c r="J443" i="1" s="1"/>
  <c r="K443" i="1" s="1"/>
  <c r="H442" i="1"/>
  <c r="J442" i="1" s="1"/>
  <c r="K442" i="1" s="1"/>
  <c r="H441" i="1"/>
  <c r="J441" i="1" s="1"/>
  <c r="K441" i="1" s="1"/>
  <c r="H456" i="1"/>
  <c r="J456" i="1" s="1"/>
  <c r="K456" i="1" s="1"/>
  <c r="H455" i="1"/>
  <c r="J455" i="1" s="1"/>
  <c r="K455" i="1" s="1"/>
  <c r="H454" i="1"/>
  <c r="J454" i="1" s="1"/>
  <c r="K454" i="1" s="1"/>
  <c r="H453" i="1"/>
  <c r="J453" i="1" s="1"/>
  <c r="K453" i="1" s="1"/>
  <c r="H452" i="1"/>
  <c r="V452" i="1" s="1"/>
  <c r="H459" i="1"/>
  <c r="V459" i="1" s="1"/>
  <c r="H458" i="1"/>
  <c r="V458" i="1" s="1"/>
  <c r="H475" i="1"/>
  <c r="J475" i="1" s="1"/>
  <c r="K475" i="1" s="1"/>
  <c r="H474" i="1"/>
  <c r="J474" i="1" s="1"/>
  <c r="K474" i="1" s="1"/>
  <c r="H472" i="1"/>
  <c r="J472" i="1" s="1"/>
  <c r="K472" i="1" s="1"/>
  <c r="H480" i="1"/>
  <c r="J480" i="1" s="1"/>
  <c r="K480" i="1" s="1"/>
  <c r="H479" i="1"/>
  <c r="J479" i="1" s="1"/>
  <c r="K479" i="1" s="1"/>
  <c r="H478" i="1"/>
  <c r="J478" i="1" s="1"/>
  <c r="K478" i="1" s="1"/>
  <c r="H477" i="1"/>
  <c r="J477" i="1" s="1"/>
  <c r="K477" i="1" s="1"/>
  <c r="H482" i="1"/>
  <c r="J482" i="1" s="1"/>
  <c r="K482" i="1" s="1"/>
  <c r="H488" i="1"/>
  <c r="J488" i="1" s="1"/>
  <c r="K488" i="1" s="1"/>
  <c r="H487" i="1"/>
  <c r="J487" i="1" s="1"/>
  <c r="K487" i="1" s="1"/>
  <c r="H486" i="1"/>
  <c r="J486" i="1" s="1"/>
  <c r="K486" i="1" s="1"/>
  <c r="H485" i="1"/>
  <c r="J485" i="1" s="1"/>
  <c r="K485" i="1" s="1"/>
  <c r="H490" i="1"/>
  <c r="J490" i="1" s="1"/>
  <c r="K490" i="1" s="1"/>
  <c r="H492" i="1"/>
  <c r="J492" i="1" s="1"/>
  <c r="K492" i="1" s="1"/>
  <c r="H496" i="1"/>
  <c r="J496" i="1" s="1"/>
  <c r="K496" i="1" s="1"/>
  <c r="H495" i="1"/>
  <c r="J495" i="1" s="1"/>
  <c r="K495" i="1" s="1"/>
  <c r="H494" i="1"/>
  <c r="J494" i="1" s="1"/>
  <c r="K494" i="1" s="1"/>
  <c r="H528" i="1"/>
  <c r="J528" i="1" s="1"/>
  <c r="K528" i="1" s="1"/>
  <c r="H527" i="1"/>
  <c r="J527" i="1" s="1"/>
  <c r="K527" i="1" s="1"/>
  <c r="H526" i="1"/>
  <c r="J526" i="1" s="1"/>
  <c r="K526" i="1" s="1"/>
  <c r="H525" i="1"/>
  <c r="J525" i="1" s="1"/>
  <c r="K525" i="1" s="1"/>
  <c r="H524" i="1"/>
  <c r="J524" i="1" s="1"/>
  <c r="K524" i="1" s="1"/>
  <c r="H523" i="1"/>
  <c r="J523" i="1" s="1"/>
  <c r="K523" i="1" s="1"/>
  <c r="H522" i="1"/>
  <c r="J522" i="1" s="1"/>
  <c r="K522" i="1" s="1"/>
  <c r="H521" i="1"/>
  <c r="J521" i="1" s="1"/>
  <c r="K521" i="1" s="1"/>
  <c r="H520" i="1"/>
  <c r="J520" i="1" s="1"/>
  <c r="K520" i="1" s="1"/>
  <c r="H519" i="1"/>
  <c r="J519" i="1" s="1"/>
  <c r="K519" i="1" s="1"/>
  <c r="H518" i="1"/>
  <c r="J518" i="1" s="1"/>
  <c r="K518" i="1" s="1"/>
  <c r="H517" i="1"/>
  <c r="J517" i="1" s="1"/>
  <c r="K517" i="1" s="1"/>
  <c r="H516" i="1"/>
  <c r="J516" i="1" s="1"/>
  <c r="K516" i="1" s="1"/>
  <c r="H515" i="1"/>
  <c r="J515" i="1" s="1"/>
  <c r="K515" i="1" s="1"/>
  <c r="H514" i="1"/>
  <c r="J514" i="1" s="1"/>
  <c r="K514" i="1" s="1"/>
  <c r="H513" i="1"/>
  <c r="J513" i="1" s="1"/>
  <c r="K513" i="1" s="1"/>
  <c r="H534" i="1"/>
  <c r="J534" i="1" s="1"/>
  <c r="K534" i="1" s="1"/>
  <c r="H533" i="1"/>
  <c r="J533" i="1" s="1"/>
  <c r="K533" i="1" s="1"/>
  <c r="H544" i="1"/>
  <c r="J544" i="1" s="1"/>
  <c r="K544" i="1" s="1"/>
  <c r="H543" i="1"/>
  <c r="J543" i="1" s="1"/>
  <c r="K543" i="1" s="1"/>
  <c r="H542" i="1"/>
  <c r="J542" i="1" s="1"/>
  <c r="K542" i="1" s="1"/>
  <c r="H541" i="1"/>
  <c r="J541" i="1" s="1"/>
  <c r="K541" i="1" s="1"/>
  <c r="H549" i="1"/>
  <c r="J549" i="1" s="1"/>
  <c r="K549" i="1" s="1"/>
  <c r="H555" i="1"/>
  <c r="J555" i="1" s="1"/>
  <c r="K555" i="1" s="1"/>
  <c r="H554" i="1"/>
  <c r="J554" i="1" s="1"/>
  <c r="K554" i="1" s="1"/>
  <c r="H562" i="1"/>
  <c r="J562" i="1" s="1"/>
  <c r="K562" i="1" s="1"/>
  <c r="H561" i="1"/>
  <c r="J561" i="1" s="1"/>
  <c r="K561" i="1" s="1"/>
  <c r="H560" i="1"/>
  <c r="J560" i="1" s="1"/>
  <c r="K560" i="1" s="1"/>
  <c r="H559" i="1"/>
  <c r="J559" i="1" s="1"/>
  <c r="K559" i="1" s="1"/>
  <c r="H558" i="1"/>
  <c r="J558" i="1" s="1"/>
  <c r="K558" i="1" s="1"/>
  <c r="H565" i="1"/>
  <c r="J565" i="1" s="1"/>
  <c r="K565" i="1" s="1"/>
  <c r="H564" i="1"/>
  <c r="J564" i="1" s="1"/>
  <c r="K564" i="1" s="1"/>
  <c r="H570" i="1"/>
  <c r="J570" i="1" s="1"/>
  <c r="K570" i="1" s="1"/>
  <c r="Q570" i="1"/>
  <c r="R570" i="1" s="1"/>
  <c r="Q565" i="1"/>
  <c r="R565" i="1" s="1"/>
  <c r="H10" i="1"/>
  <c r="J10" i="1" s="1"/>
  <c r="K10" i="1" s="1"/>
  <c r="H7" i="1"/>
  <c r="J7" i="1" s="1"/>
  <c r="K7" i="1" s="1"/>
  <c r="H5" i="1"/>
  <c r="J5" i="1" s="1"/>
  <c r="K5" i="1" s="1"/>
  <c r="I570" i="1"/>
  <c r="Q569" i="1"/>
  <c r="R569" i="1" s="1"/>
  <c r="H569" i="1"/>
  <c r="J569" i="1" s="1"/>
  <c r="K569" i="1" s="1"/>
  <c r="I569" i="1"/>
  <c r="Q568" i="1"/>
  <c r="R568" i="1" s="1"/>
  <c r="H568" i="1"/>
  <c r="J568" i="1" s="1"/>
  <c r="K568" i="1" s="1"/>
  <c r="I568" i="1"/>
  <c r="P567" i="1"/>
  <c r="G567" i="1"/>
  <c r="I567" i="1" s="1"/>
  <c r="Q564" i="1"/>
  <c r="R564" i="1" s="1"/>
  <c r="Q566" i="1"/>
  <c r="R566" i="1" s="1"/>
  <c r="H566" i="1"/>
  <c r="J566" i="1" s="1"/>
  <c r="K566" i="1" s="1"/>
  <c r="I566" i="1"/>
  <c r="I565" i="1"/>
  <c r="I564" i="1"/>
  <c r="H563" i="1"/>
  <c r="J563" i="1" s="1"/>
  <c r="K563" i="1" s="1"/>
  <c r="I563" i="1"/>
  <c r="Q563" i="1"/>
  <c r="R563" i="1" s="1"/>
  <c r="I562" i="1"/>
  <c r="I561" i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H553" i="1"/>
  <c r="J553" i="1" s="1"/>
  <c r="K553" i="1" s="1"/>
  <c r="I553" i="1"/>
  <c r="I554" i="1"/>
  <c r="I555" i="1"/>
  <c r="H556" i="1"/>
  <c r="J556" i="1" s="1"/>
  <c r="K556" i="1" s="1"/>
  <c r="I556" i="1"/>
  <c r="H557" i="1"/>
  <c r="J557" i="1" s="1"/>
  <c r="K557" i="1" s="1"/>
  <c r="I557" i="1"/>
  <c r="I558" i="1"/>
  <c r="I559" i="1"/>
  <c r="I560" i="1"/>
  <c r="Q552" i="1"/>
  <c r="R552" i="1" s="1"/>
  <c r="H552" i="1"/>
  <c r="J552" i="1" s="1"/>
  <c r="K552" i="1" s="1"/>
  <c r="I552" i="1"/>
  <c r="Q551" i="1"/>
  <c r="R551" i="1" s="1"/>
  <c r="H551" i="1"/>
  <c r="J551" i="1" s="1"/>
  <c r="K551" i="1" s="1"/>
  <c r="I551" i="1"/>
  <c r="Q549" i="1"/>
  <c r="R549" i="1" s="1"/>
  <c r="G550" i="1"/>
  <c r="H550" i="1" s="1"/>
  <c r="J550" i="1" s="1"/>
  <c r="K550" i="1" s="1"/>
  <c r="I549" i="1"/>
  <c r="Q548" i="1"/>
  <c r="R548" i="1" s="1"/>
  <c r="H548" i="1"/>
  <c r="J548" i="1" s="1"/>
  <c r="K548" i="1" s="1"/>
  <c r="I548" i="1"/>
  <c r="Q547" i="1"/>
  <c r="R547" i="1" s="1"/>
  <c r="H547" i="1"/>
  <c r="J547" i="1" s="1"/>
  <c r="K547" i="1" s="1"/>
  <c r="I547" i="1"/>
  <c r="G546" i="1"/>
  <c r="H546" i="1" s="1"/>
  <c r="J546" i="1" s="1"/>
  <c r="K546" i="1" s="1"/>
  <c r="Q545" i="1"/>
  <c r="R545" i="1" s="1"/>
  <c r="Q541" i="1"/>
  <c r="R541" i="1" s="1"/>
  <c r="Q542" i="1"/>
  <c r="R542" i="1" s="1"/>
  <c r="Q543" i="1"/>
  <c r="R543" i="1" s="1"/>
  <c r="Q544" i="1"/>
  <c r="R544" i="1" s="1"/>
  <c r="H545" i="1"/>
  <c r="J545" i="1" s="1"/>
  <c r="K545" i="1" s="1"/>
  <c r="I545" i="1"/>
  <c r="I544" i="1"/>
  <c r="I543" i="1"/>
  <c r="I542" i="1"/>
  <c r="I541" i="1"/>
  <c r="Q540" i="1"/>
  <c r="R540" i="1" s="1"/>
  <c r="H540" i="1"/>
  <c r="J540" i="1" s="1"/>
  <c r="K540" i="1" s="1"/>
  <c r="I540" i="1"/>
  <c r="Q539" i="1"/>
  <c r="R539" i="1" s="1"/>
  <c r="H539" i="1"/>
  <c r="J539" i="1" s="1"/>
  <c r="K539" i="1" s="1"/>
  <c r="I539" i="1"/>
  <c r="G538" i="1"/>
  <c r="Q538" i="1" s="1"/>
  <c r="R538" i="1" s="1"/>
  <c r="G537" i="1"/>
  <c r="Q537" i="1" s="1"/>
  <c r="R537" i="1" s="1"/>
  <c r="Q536" i="1"/>
  <c r="R536" i="1" s="1"/>
  <c r="H536" i="1"/>
  <c r="J536" i="1" s="1"/>
  <c r="K536" i="1" s="1"/>
  <c r="I536" i="1"/>
  <c r="H535" i="1"/>
  <c r="J535" i="1" s="1"/>
  <c r="K535" i="1" s="1"/>
  <c r="I535" i="1"/>
  <c r="Q535" i="1"/>
  <c r="R535" i="1" s="1"/>
  <c r="I534" i="1"/>
  <c r="Q534" i="1"/>
  <c r="R534" i="1" s="1"/>
  <c r="I533" i="1"/>
  <c r="Q533" i="1"/>
  <c r="R533" i="1" s="1"/>
  <c r="Q532" i="1"/>
  <c r="R532" i="1" s="1"/>
  <c r="H532" i="1"/>
  <c r="J532" i="1" s="1"/>
  <c r="K532" i="1" s="1"/>
  <c r="I5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55" i="1"/>
  <c r="T19" i="1"/>
  <c r="T40" i="1"/>
  <c r="T22" i="1"/>
  <c r="T2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1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18" i="1"/>
  <c r="T56" i="1"/>
  <c r="T57" i="1"/>
  <c r="T58" i="1"/>
  <c r="T59" i="1"/>
  <c r="T60" i="1"/>
  <c r="T61" i="1"/>
  <c r="T62" i="1"/>
  <c r="T63" i="1"/>
  <c r="T65" i="1"/>
  <c r="T64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2" i="1"/>
  <c r="T141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7" i="1"/>
  <c r="T316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2" i="1"/>
  <c r="T461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2" i="1"/>
  <c r="H531" i="1"/>
  <c r="J531" i="1" s="1"/>
  <c r="K531" i="1" s="1"/>
  <c r="I531" i="1"/>
  <c r="Q531" i="1"/>
  <c r="Q530" i="1"/>
  <c r="R530" i="1" s="1"/>
  <c r="H530" i="1"/>
  <c r="J530" i="1" s="1"/>
  <c r="K530" i="1" s="1"/>
  <c r="I530" i="1"/>
  <c r="G529" i="1"/>
  <c r="Q529" i="1" s="1"/>
  <c r="R529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I528" i="1"/>
  <c r="I527" i="1"/>
  <c r="I526" i="1"/>
  <c r="I525" i="1"/>
  <c r="I524" i="1"/>
  <c r="I523" i="1"/>
  <c r="I522" i="1"/>
  <c r="I521" i="1"/>
  <c r="I520" i="1"/>
  <c r="I519" i="1"/>
  <c r="I518" i="1"/>
  <c r="I516" i="1"/>
  <c r="I517" i="1"/>
  <c r="I515" i="1"/>
  <c r="I514" i="1"/>
  <c r="I513" i="1"/>
  <c r="Q512" i="1"/>
  <c r="R512" i="1" s="1"/>
  <c r="H512" i="1"/>
  <c r="J512" i="1" s="1"/>
  <c r="K512" i="1" s="1"/>
  <c r="I512" i="1"/>
  <c r="Q511" i="1"/>
  <c r="R511" i="1" s="1"/>
  <c r="H511" i="1"/>
  <c r="J511" i="1" s="1"/>
  <c r="K511" i="1" s="1"/>
  <c r="I511" i="1"/>
  <c r="G510" i="1"/>
  <c r="H510" i="1" s="1"/>
  <c r="J510" i="1" s="1"/>
  <c r="K510" i="1" s="1"/>
  <c r="Q509" i="1"/>
  <c r="R509" i="1" s="1"/>
  <c r="H509" i="1"/>
  <c r="J509" i="1" s="1"/>
  <c r="K509" i="1" s="1"/>
  <c r="I509" i="1"/>
  <c r="O508" i="1"/>
  <c r="G508" i="1"/>
  <c r="H508" i="1" s="1"/>
  <c r="J508" i="1" s="1"/>
  <c r="K508" i="1" s="1"/>
  <c r="Q507" i="1"/>
  <c r="R507" i="1" s="1"/>
  <c r="H507" i="1"/>
  <c r="J507" i="1" s="1"/>
  <c r="K507" i="1" s="1"/>
  <c r="I507" i="1"/>
  <c r="Q506" i="1"/>
  <c r="R506" i="1" s="1"/>
  <c r="H506" i="1"/>
  <c r="J506" i="1" s="1"/>
  <c r="K506" i="1" s="1"/>
  <c r="I506" i="1"/>
  <c r="Q505" i="1"/>
  <c r="R505" i="1" s="1"/>
  <c r="H505" i="1"/>
  <c r="J505" i="1" s="1"/>
  <c r="K505" i="1" s="1"/>
  <c r="I505" i="1"/>
  <c r="Q504" i="1"/>
  <c r="R504" i="1" s="1"/>
  <c r="H504" i="1"/>
  <c r="J504" i="1" s="1"/>
  <c r="K504" i="1" s="1"/>
  <c r="I504" i="1"/>
  <c r="Q503" i="1"/>
  <c r="R503" i="1" s="1"/>
  <c r="H503" i="1"/>
  <c r="J503" i="1" s="1"/>
  <c r="K503" i="1" s="1"/>
  <c r="I503" i="1"/>
  <c r="H502" i="1"/>
  <c r="J502" i="1" s="1"/>
  <c r="K502" i="1" s="1"/>
  <c r="I502" i="1"/>
  <c r="Q502" i="1"/>
  <c r="R502" i="1" s="1"/>
  <c r="Q19" i="1"/>
  <c r="R19" i="1" s="1"/>
  <c r="Q501" i="1"/>
  <c r="R501" i="1" s="1"/>
  <c r="H501" i="1"/>
  <c r="J501" i="1" s="1"/>
  <c r="K501" i="1" s="1"/>
  <c r="I501" i="1"/>
  <c r="Q500" i="1"/>
  <c r="R500" i="1" s="1"/>
  <c r="H500" i="1"/>
  <c r="J500" i="1" s="1"/>
  <c r="K500" i="1" s="1"/>
  <c r="I500" i="1"/>
  <c r="Q499" i="1"/>
  <c r="R499" i="1" s="1"/>
  <c r="H499" i="1"/>
  <c r="J499" i="1" s="1"/>
  <c r="K499" i="1" s="1"/>
  <c r="I499" i="1"/>
  <c r="H498" i="1"/>
  <c r="J498" i="1" s="1"/>
  <c r="K498" i="1" s="1"/>
  <c r="I498" i="1"/>
  <c r="Q498" i="1"/>
  <c r="R498" i="1" s="1"/>
  <c r="H497" i="1"/>
  <c r="J497" i="1" s="1"/>
  <c r="K497" i="1" s="1"/>
  <c r="I497" i="1"/>
  <c r="Q497" i="1"/>
  <c r="R497" i="1" s="1"/>
  <c r="Q25" i="1"/>
  <c r="R25" i="1" s="1"/>
  <c r="I496" i="1"/>
  <c r="I495" i="1"/>
  <c r="I494" i="1"/>
  <c r="Q492" i="1"/>
  <c r="R492" i="1" s="1"/>
  <c r="Q493" i="1"/>
  <c r="R493" i="1" s="1"/>
  <c r="Q494" i="1"/>
  <c r="R494" i="1" s="1"/>
  <c r="Q495" i="1"/>
  <c r="R495" i="1" s="1"/>
  <c r="Q496" i="1"/>
  <c r="R496" i="1" s="1"/>
  <c r="H493" i="1"/>
  <c r="J493" i="1" s="1"/>
  <c r="K493" i="1" s="1"/>
  <c r="I493" i="1"/>
  <c r="I492" i="1"/>
  <c r="H491" i="1"/>
  <c r="J491" i="1" s="1"/>
  <c r="K491" i="1" s="1"/>
  <c r="I491" i="1"/>
  <c r="Q491" i="1"/>
  <c r="R491" i="1" s="1"/>
  <c r="I490" i="1"/>
  <c r="Q490" i="1"/>
  <c r="R490" i="1" s="1"/>
  <c r="H489" i="1"/>
  <c r="J489" i="1" s="1"/>
  <c r="K489" i="1" s="1"/>
  <c r="I489" i="1"/>
  <c r="Q489" i="1"/>
  <c r="R489" i="1" s="1"/>
  <c r="I488" i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Q477" i="1"/>
  <c r="R477" i="1" s="1"/>
  <c r="Q475" i="1"/>
  <c r="R475" i="1" s="1"/>
  <c r="Q474" i="1"/>
  <c r="R474" i="1" s="1"/>
  <c r="Q472" i="1"/>
  <c r="R472" i="1" s="1"/>
  <c r="Q471" i="1"/>
  <c r="R471" i="1" s="1"/>
  <c r="G476" i="1"/>
  <c r="Q476" i="1" s="1"/>
  <c r="R476" i="1" s="1"/>
  <c r="G473" i="1"/>
  <c r="H473" i="1" s="1"/>
  <c r="I472" i="1"/>
  <c r="I474" i="1"/>
  <c r="I475" i="1"/>
  <c r="I477" i="1"/>
  <c r="I478" i="1"/>
  <c r="I479" i="1"/>
  <c r="I480" i="1"/>
  <c r="H481" i="1"/>
  <c r="J481" i="1" s="1"/>
  <c r="K481" i="1" s="1"/>
  <c r="I481" i="1"/>
  <c r="I482" i="1"/>
  <c r="H483" i="1"/>
  <c r="J483" i="1" s="1"/>
  <c r="K483" i="1" s="1"/>
  <c r="I483" i="1"/>
  <c r="H484" i="1"/>
  <c r="J484" i="1" s="1"/>
  <c r="K484" i="1" s="1"/>
  <c r="I484" i="1"/>
  <c r="I485" i="1"/>
  <c r="I486" i="1"/>
  <c r="I487" i="1"/>
  <c r="G470" i="1"/>
  <c r="H470" i="1" s="1"/>
  <c r="J470" i="1" s="1"/>
  <c r="K470" i="1" s="1"/>
  <c r="H471" i="1"/>
  <c r="J471" i="1" s="1"/>
  <c r="K471" i="1" s="1"/>
  <c r="I471" i="1"/>
  <c r="G469" i="1"/>
  <c r="I469" i="1" s="1"/>
  <c r="G468" i="1"/>
  <c r="H468" i="1" s="1"/>
  <c r="J468" i="1" s="1"/>
  <c r="K468" i="1" s="1"/>
  <c r="Q467" i="1"/>
  <c r="R467" i="1" s="1"/>
  <c r="H467" i="1"/>
  <c r="J467" i="1" s="1"/>
  <c r="K467" i="1" s="1"/>
  <c r="I467" i="1"/>
  <c r="G466" i="1"/>
  <c r="Q466" i="1" s="1"/>
  <c r="R466" i="1" s="1"/>
  <c r="H465" i="1"/>
  <c r="J465" i="1" s="1"/>
  <c r="K465" i="1" s="1"/>
  <c r="I465" i="1"/>
  <c r="P465" i="1"/>
  <c r="Q465" i="1" s="1"/>
  <c r="R465" i="1" s="1"/>
  <c r="Q461" i="1"/>
  <c r="R461" i="1" s="1"/>
  <c r="Q463" i="1"/>
  <c r="R463" i="1" s="1"/>
  <c r="Q464" i="1"/>
  <c r="R464" i="1" s="1"/>
  <c r="H463" i="1"/>
  <c r="J463" i="1" s="1"/>
  <c r="K463" i="1" s="1"/>
  <c r="I463" i="1"/>
  <c r="H464" i="1"/>
  <c r="J464" i="1" s="1"/>
  <c r="K464" i="1" s="1"/>
  <c r="I464" i="1"/>
  <c r="H461" i="1"/>
  <c r="J461" i="1" s="1"/>
  <c r="K461" i="1" s="1"/>
  <c r="I461" i="1"/>
  <c r="G450" i="1"/>
  <c r="H450" i="1" s="1"/>
  <c r="V450" i="1" s="1"/>
  <c r="P324" i="1"/>
  <c r="Q324" i="1" s="1"/>
  <c r="R324" i="1" s="1"/>
  <c r="G413" i="1"/>
  <c r="Q413" i="1" s="1"/>
  <c r="R413" i="1" s="1"/>
  <c r="G410" i="1"/>
  <c r="H410" i="1" s="1"/>
  <c r="J410" i="1" s="1"/>
  <c r="K410" i="1" s="1"/>
  <c r="G409" i="1"/>
  <c r="I409" i="1" s="1"/>
  <c r="W409" i="1" s="1"/>
  <c r="G408" i="1"/>
  <c r="I408" i="1" s="1"/>
  <c r="W408" i="1" s="1"/>
  <c r="G407" i="1"/>
  <c r="Q407" i="1" s="1"/>
  <c r="R407" i="1" s="1"/>
  <c r="G406" i="1"/>
  <c r="I406" i="1" s="1"/>
  <c r="W406" i="1" s="1"/>
  <c r="G405" i="1"/>
  <c r="Q405" i="1" s="1"/>
  <c r="R405" i="1" s="1"/>
  <c r="G404" i="1"/>
  <c r="I404" i="1" s="1"/>
  <c r="W404" i="1" s="1"/>
  <c r="G403" i="1"/>
  <c r="I403" i="1" s="1"/>
  <c r="W403" i="1" s="1"/>
  <c r="G402" i="1"/>
  <c r="I402" i="1" s="1"/>
  <c r="W402" i="1" s="1"/>
  <c r="G401" i="1"/>
  <c r="Q401" i="1" s="1"/>
  <c r="R401" i="1" s="1"/>
  <c r="G369" i="1"/>
  <c r="H369" i="1" s="1"/>
  <c r="J369" i="1" s="1"/>
  <c r="K369" i="1" s="1"/>
  <c r="P180" i="1"/>
  <c r="Q180" i="1" s="1"/>
  <c r="O180" i="1"/>
  <c r="R190" i="1"/>
  <c r="G372" i="1"/>
  <c r="H372" i="1" s="1"/>
  <c r="G371" i="1"/>
  <c r="I371" i="1" s="1"/>
  <c r="W371" i="1" s="1"/>
  <c r="G314" i="1"/>
  <c r="H314" i="1" s="1"/>
  <c r="G347" i="1"/>
  <c r="H347" i="1" s="1"/>
  <c r="G346" i="1"/>
  <c r="H346" i="1" s="1"/>
  <c r="V346" i="1" s="1"/>
  <c r="G345" i="1"/>
  <c r="I345" i="1" s="1"/>
  <c r="W345" i="1" s="1"/>
  <c r="H321" i="1"/>
  <c r="J321" i="1" s="1"/>
  <c r="K321" i="1" s="1"/>
  <c r="Q313" i="1"/>
  <c r="R313" i="1" s="1"/>
  <c r="Q162" i="1"/>
  <c r="R162" i="1" s="1"/>
  <c r="Q58" i="1"/>
  <c r="R58" i="1" s="1"/>
  <c r="G294" i="1"/>
  <c r="H294" i="1" s="1"/>
  <c r="G293" i="1"/>
  <c r="H293" i="1" s="1"/>
  <c r="G291" i="1"/>
  <c r="Q291" i="1" s="1"/>
  <c r="R291" i="1" s="1"/>
  <c r="G290" i="1"/>
  <c r="I290" i="1" s="1"/>
  <c r="I283" i="1"/>
  <c r="W283" i="1" s="1"/>
  <c r="H284" i="1"/>
  <c r="J284" i="1" s="1"/>
  <c r="K284" i="1" s="1"/>
  <c r="I284" i="1"/>
  <c r="W284" i="1" s="1"/>
  <c r="I285" i="1"/>
  <c r="W285" i="1" s="1"/>
  <c r="H286" i="1"/>
  <c r="J286" i="1" s="1"/>
  <c r="K286" i="1" s="1"/>
  <c r="I286" i="1"/>
  <c r="W286" i="1" s="1"/>
  <c r="I287" i="1"/>
  <c r="W287" i="1" s="1"/>
  <c r="H288" i="1"/>
  <c r="V288" i="1" s="1"/>
  <c r="I288" i="1"/>
  <c r="W288" i="1" s="1"/>
  <c r="H289" i="1"/>
  <c r="J289" i="1" s="1"/>
  <c r="K289" i="1" s="1"/>
  <c r="I289" i="1"/>
  <c r="W289" i="1" s="1"/>
  <c r="I292" i="1"/>
  <c r="W292" i="1" s="1"/>
  <c r="I295" i="1"/>
  <c r="W295" i="1" s="1"/>
  <c r="I296" i="1"/>
  <c r="W296" i="1" s="1"/>
  <c r="H297" i="1"/>
  <c r="V297" i="1" s="1"/>
  <c r="I297" i="1"/>
  <c r="W297" i="1" s="1"/>
  <c r="H298" i="1"/>
  <c r="J298" i="1" s="1"/>
  <c r="K298" i="1" s="1"/>
  <c r="I298" i="1"/>
  <c r="W298" i="1" s="1"/>
  <c r="I299" i="1"/>
  <c r="W299" i="1" s="1"/>
  <c r="I300" i="1"/>
  <c r="W300" i="1" s="1"/>
  <c r="I301" i="1"/>
  <c r="W301" i="1" s="1"/>
  <c r="I302" i="1"/>
  <c r="W302" i="1" s="1"/>
  <c r="H303" i="1"/>
  <c r="J303" i="1" s="1"/>
  <c r="K303" i="1" s="1"/>
  <c r="I303" i="1"/>
  <c r="W303" i="1" s="1"/>
  <c r="I304" i="1"/>
  <c r="W304" i="1" s="1"/>
  <c r="I305" i="1"/>
  <c r="W305" i="1" s="1"/>
  <c r="I306" i="1"/>
  <c r="W306" i="1" s="1"/>
  <c r="I307" i="1"/>
  <c r="W307" i="1" s="1"/>
  <c r="I308" i="1"/>
  <c r="W308" i="1" s="1"/>
  <c r="H309" i="1"/>
  <c r="V309" i="1" s="1"/>
  <c r="I309" i="1"/>
  <c r="W309" i="1" s="1"/>
  <c r="I310" i="1"/>
  <c r="W310" i="1" s="1"/>
  <c r="I311" i="1"/>
  <c r="W311" i="1" s="1"/>
  <c r="H312" i="1"/>
  <c r="V312" i="1" s="1"/>
  <c r="I312" i="1"/>
  <c r="W312" i="1" s="1"/>
  <c r="I313" i="1"/>
  <c r="W313" i="1" s="1"/>
  <c r="I315" i="1"/>
  <c r="W315" i="1" s="1"/>
  <c r="I316" i="1"/>
  <c r="W316" i="1" s="1"/>
  <c r="H318" i="1"/>
  <c r="J318" i="1" s="1"/>
  <c r="K318" i="1" s="1"/>
  <c r="I318" i="1"/>
  <c r="W318" i="1" s="1"/>
  <c r="I319" i="1"/>
  <c r="W319" i="1" s="1"/>
  <c r="I320" i="1"/>
  <c r="W320" i="1" s="1"/>
  <c r="I323" i="1"/>
  <c r="W323" i="1" s="1"/>
  <c r="H324" i="1"/>
  <c r="J324" i="1" s="1"/>
  <c r="K324" i="1" s="1"/>
  <c r="I324" i="1"/>
  <c r="W324" i="1" s="1"/>
  <c r="I325" i="1"/>
  <c r="W325" i="1" s="1"/>
  <c r="H326" i="1"/>
  <c r="J326" i="1" s="1"/>
  <c r="K326" i="1" s="1"/>
  <c r="I326" i="1"/>
  <c r="W326" i="1" s="1"/>
  <c r="H327" i="1"/>
  <c r="J327" i="1" s="1"/>
  <c r="K327" i="1" s="1"/>
  <c r="I327" i="1"/>
  <c r="W327" i="1" s="1"/>
  <c r="I328" i="1"/>
  <c r="W328" i="1" s="1"/>
  <c r="I329" i="1"/>
  <c r="W329" i="1" s="1"/>
  <c r="I330" i="1"/>
  <c r="W330" i="1" s="1"/>
  <c r="I331" i="1"/>
  <c r="W331" i="1" s="1"/>
  <c r="I332" i="1"/>
  <c r="W332" i="1" s="1"/>
  <c r="I333" i="1"/>
  <c r="W333" i="1" s="1"/>
  <c r="I334" i="1"/>
  <c r="W334" i="1" s="1"/>
  <c r="I335" i="1"/>
  <c r="W335" i="1" s="1"/>
  <c r="I336" i="1"/>
  <c r="W336" i="1" s="1"/>
  <c r="I337" i="1"/>
  <c r="W337" i="1" s="1"/>
  <c r="H338" i="1"/>
  <c r="V338" i="1" s="1"/>
  <c r="I338" i="1"/>
  <c r="W338" i="1" s="1"/>
  <c r="I339" i="1"/>
  <c r="W339" i="1" s="1"/>
  <c r="H340" i="1"/>
  <c r="J340" i="1" s="1"/>
  <c r="K340" i="1" s="1"/>
  <c r="I340" i="1"/>
  <c r="W340" i="1" s="1"/>
  <c r="I341" i="1"/>
  <c r="W341" i="1" s="1"/>
  <c r="H342" i="1"/>
  <c r="J342" i="1" s="1"/>
  <c r="K342" i="1" s="1"/>
  <c r="I342" i="1"/>
  <c r="W342" i="1" s="1"/>
  <c r="H343" i="1"/>
  <c r="J343" i="1" s="1"/>
  <c r="K343" i="1" s="1"/>
  <c r="I343" i="1"/>
  <c r="W343" i="1" s="1"/>
  <c r="I344" i="1"/>
  <c r="W344" i="1" s="1"/>
  <c r="H348" i="1"/>
  <c r="J348" i="1" s="1"/>
  <c r="K348" i="1" s="1"/>
  <c r="I348" i="1"/>
  <c r="W348" i="1" s="1"/>
  <c r="H349" i="1"/>
  <c r="J349" i="1" s="1"/>
  <c r="K349" i="1" s="1"/>
  <c r="I349" i="1"/>
  <c r="W349" i="1" s="1"/>
  <c r="H350" i="1"/>
  <c r="V350" i="1" s="1"/>
  <c r="I350" i="1"/>
  <c r="W350" i="1" s="1"/>
  <c r="H351" i="1"/>
  <c r="J351" i="1" s="1"/>
  <c r="K351" i="1" s="1"/>
  <c r="I351" i="1"/>
  <c r="W351" i="1" s="1"/>
  <c r="I352" i="1"/>
  <c r="W352" i="1" s="1"/>
  <c r="I353" i="1"/>
  <c r="W353" i="1" s="1"/>
  <c r="H354" i="1"/>
  <c r="V354" i="1" s="1"/>
  <c r="I354" i="1"/>
  <c r="W354" i="1" s="1"/>
  <c r="I355" i="1"/>
  <c r="W355" i="1" s="1"/>
  <c r="I356" i="1"/>
  <c r="W356" i="1" s="1"/>
  <c r="H357" i="1"/>
  <c r="J357" i="1" s="1"/>
  <c r="K357" i="1" s="1"/>
  <c r="I357" i="1"/>
  <c r="W357" i="1" s="1"/>
  <c r="I358" i="1"/>
  <c r="W358" i="1" s="1"/>
  <c r="I359" i="1"/>
  <c r="W359" i="1" s="1"/>
  <c r="I360" i="1"/>
  <c r="W360" i="1" s="1"/>
  <c r="I361" i="1"/>
  <c r="W361" i="1" s="1"/>
  <c r="I362" i="1"/>
  <c r="W362" i="1" s="1"/>
  <c r="I363" i="1"/>
  <c r="W363" i="1" s="1"/>
  <c r="H364" i="1"/>
  <c r="V364" i="1" s="1"/>
  <c r="I364" i="1"/>
  <c r="W364" i="1" s="1"/>
  <c r="H365" i="1"/>
  <c r="J365" i="1" s="1"/>
  <c r="K365" i="1" s="1"/>
  <c r="I365" i="1"/>
  <c r="W365" i="1" s="1"/>
  <c r="I366" i="1"/>
  <c r="W366" i="1" s="1"/>
  <c r="I367" i="1"/>
  <c r="W367" i="1" s="1"/>
  <c r="I368" i="1"/>
  <c r="W368" i="1" s="1"/>
  <c r="H370" i="1"/>
  <c r="V370" i="1" s="1"/>
  <c r="I370" i="1"/>
  <c r="W370" i="1" s="1"/>
  <c r="H373" i="1"/>
  <c r="J373" i="1" s="1"/>
  <c r="K373" i="1" s="1"/>
  <c r="I373" i="1"/>
  <c r="W373" i="1" s="1"/>
  <c r="H374" i="1"/>
  <c r="J374" i="1" s="1"/>
  <c r="K374" i="1" s="1"/>
  <c r="I374" i="1"/>
  <c r="W374" i="1" s="1"/>
  <c r="H375" i="1"/>
  <c r="J375" i="1" s="1"/>
  <c r="K375" i="1" s="1"/>
  <c r="I375" i="1"/>
  <c r="W375" i="1" s="1"/>
  <c r="I376" i="1"/>
  <c r="W376" i="1" s="1"/>
  <c r="I377" i="1"/>
  <c r="W377" i="1" s="1"/>
  <c r="H378" i="1"/>
  <c r="J378" i="1" s="1"/>
  <c r="K378" i="1" s="1"/>
  <c r="I378" i="1"/>
  <c r="W378" i="1" s="1"/>
  <c r="H379" i="1"/>
  <c r="V379" i="1" s="1"/>
  <c r="I379" i="1"/>
  <c r="W379" i="1" s="1"/>
  <c r="H380" i="1"/>
  <c r="V380" i="1" s="1"/>
  <c r="I380" i="1"/>
  <c r="W380" i="1" s="1"/>
  <c r="H381" i="1"/>
  <c r="J381" i="1" s="1"/>
  <c r="K381" i="1" s="1"/>
  <c r="I381" i="1"/>
  <c r="W381" i="1" s="1"/>
  <c r="H382" i="1"/>
  <c r="V382" i="1" s="1"/>
  <c r="I382" i="1"/>
  <c r="W382" i="1" s="1"/>
  <c r="H383" i="1"/>
  <c r="J383" i="1" s="1"/>
  <c r="K383" i="1" s="1"/>
  <c r="I383" i="1"/>
  <c r="W383" i="1" s="1"/>
  <c r="I384" i="1"/>
  <c r="W384" i="1" s="1"/>
  <c r="I385" i="1"/>
  <c r="W385" i="1" s="1"/>
  <c r="I386" i="1"/>
  <c r="W386" i="1" s="1"/>
  <c r="I387" i="1"/>
  <c r="W387" i="1" s="1"/>
  <c r="H388" i="1"/>
  <c r="J388" i="1" s="1"/>
  <c r="K388" i="1" s="1"/>
  <c r="I388" i="1"/>
  <c r="W388" i="1" s="1"/>
  <c r="I389" i="1"/>
  <c r="W389" i="1" s="1"/>
  <c r="I390" i="1"/>
  <c r="W390" i="1" s="1"/>
  <c r="H391" i="1"/>
  <c r="V391" i="1" s="1"/>
  <c r="I391" i="1"/>
  <c r="W391" i="1" s="1"/>
  <c r="H392" i="1"/>
  <c r="V392" i="1" s="1"/>
  <c r="I392" i="1"/>
  <c r="W392" i="1" s="1"/>
  <c r="H393" i="1"/>
  <c r="V393" i="1" s="1"/>
  <c r="I393" i="1"/>
  <c r="W393" i="1" s="1"/>
  <c r="I394" i="1"/>
  <c r="W394" i="1" s="1"/>
  <c r="I395" i="1"/>
  <c r="W395" i="1" s="1"/>
  <c r="I396" i="1"/>
  <c r="W396" i="1" s="1"/>
  <c r="H397" i="1"/>
  <c r="J397" i="1" s="1"/>
  <c r="K397" i="1" s="1"/>
  <c r="I397" i="1"/>
  <c r="W397" i="1" s="1"/>
  <c r="I398" i="1"/>
  <c r="W398" i="1" s="1"/>
  <c r="H399" i="1"/>
  <c r="J399" i="1" s="1"/>
  <c r="K399" i="1" s="1"/>
  <c r="I399" i="1"/>
  <c r="W399" i="1" s="1"/>
  <c r="H400" i="1"/>
  <c r="J400" i="1" s="1"/>
  <c r="K400" i="1" s="1"/>
  <c r="I400" i="1"/>
  <c r="W400" i="1" s="1"/>
  <c r="H411" i="1"/>
  <c r="J411" i="1" s="1"/>
  <c r="K411" i="1" s="1"/>
  <c r="I411" i="1"/>
  <c r="W411" i="1" s="1"/>
  <c r="I412" i="1"/>
  <c r="W412" i="1" s="1"/>
  <c r="I317" i="1"/>
  <c r="W317" i="1" s="1"/>
  <c r="I414" i="1"/>
  <c r="W414" i="1" s="1"/>
  <c r="H415" i="1"/>
  <c r="J415" i="1" s="1"/>
  <c r="K415" i="1" s="1"/>
  <c r="I415" i="1"/>
  <c r="W415" i="1" s="1"/>
  <c r="H416" i="1"/>
  <c r="V416" i="1" s="1"/>
  <c r="I416" i="1"/>
  <c r="W416" i="1" s="1"/>
  <c r="I417" i="1"/>
  <c r="W417" i="1" s="1"/>
  <c r="I418" i="1"/>
  <c r="W418" i="1" s="1"/>
  <c r="I419" i="1"/>
  <c r="W419" i="1" s="1"/>
  <c r="H420" i="1"/>
  <c r="V420" i="1" s="1"/>
  <c r="I420" i="1"/>
  <c r="W420" i="1" s="1"/>
  <c r="H421" i="1"/>
  <c r="J421" i="1" s="1"/>
  <c r="K421" i="1" s="1"/>
  <c r="I421" i="1"/>
  <c r="W421" i="1" s="1"/>
  <c r="I422" i="1"/>
  <c r="W422" i="1" s="1"/>
  <c r="I423" i="1"/>
  <c r="W423" i="1" s="1"/>
  <c r="H424" i="1"/>
  <c r="V424" i="1" s="1"/>
  <c r="I424" i="1"/>
  <c r="W424" i="1" s="1"/>
  <c r="I425" i="1"/>
  <c r="W425" i="1" s="1"/>
  <c r="I426" i="1"/>
  <c r="W426" i="1" s="1"/>
  <c r="I427" i="1"/>
  <c r="W427" i="1" s="1"/>
  <c r="H428" i="1"/>
  <c r="V428" i="1" s="1"/>
  <c r="I428" i="1"/>
  <c r="W428" i="1" s="1"/>
  <c r="I429" i="1"/>
  <c r="W429" i="1" s="1"/>
  <c r="I430" i="1"/>
  <c r="W430" i="1" s="1"/>
  <c r="H431" i="1"/>
  <c r="J431" i="1" s="1"/>
  <c r="K431" i="1" s="1"/>
  <c r="I431" i="1"/>
  <c r="W431" i="1" s="1"/>
  <c r="I432" i="1"/>
  <c r="W432" i="1" s="1"/>
  <c r="I433" i="1"/>
  <c r="W433" i="1" s="1"/>
  <c r="I434" i="1"/>
  <c r="W434" i="1" s="1"/>
  <c r="I435" i="1"/>
  <c r="W435" i="1" s="1"/>
  <c r="I436" i="1"/>
  <c r="W436" i="1" s="1"/>
  <c r="H437" i="1"/>
  <c r="V437" i="1" s="1"/>
  <c r="I437" i="1"/>
  <c r="W437" i="1" s="1"/>
  <c r="I438" i="1"/>
  <c r="W438" i="1" s="1"/>
  <c r="H439" i="1"/>
  <c r="J439" i="1" s="1"/>
  <c r="K439" i="1" s="1"/>
  <c r="I439" i="1"/>
  <c r="W439" i="1" s="1"/>
  <c r="H440" i="1"/>
  <c r="V440" i="1" s="1"/>
  <c r="I440" i="1"/>
  <c r="W440" i="1" s="1"/>
  <c r="I441" i="1"/>
  <c r="W441" i="1" s="1"/>
  <c r="I442" i="1"/>
  <c r="W442" i="1" s="1"/>
  <c r="I443" i="1"/>
  <c r="W443" i="1" s="1"/>
  <c r="I444" i="1"/>
  <c r="W444" i="1" s="1"/>
  <c r="I445" i="1"/>
  <c r="W445" i="1" s="1"/>
  <c r="I446" i="1"/>
  <c r="W446" i="1" s="1"/>
  <c r="I447" i="1"/>
  <c r="W447" i="1" s="1"/>
  <c r="I448" i="1"/>
  <c r="W448" i="1" s="1"/>
  <c r="I449" i="1"/>
  <c r="W449" i="1" s="1"/>
  <c r="H451" i="1"/>
  <c r="J451" i="1" s="1"/>
  <c r="K451" i="1" s="1"/>
  <c r="I451" i="1"/>
  <c r="W451" i="1" s="1"/>
  <c r="I452" i="1"/>
  <c r="W452" i="1" s="1"/>
  <c r="I453" i="1"/>
  <c r="W453" i="1" s="1"/>
  <c r="I454" i="1"/>
  <c r="W454" i="1" s="1"/>
  <c r="I455" i="1"/>
  <c r="W455" i="1" s="1"/>
  <c r="I456" i="1"/>
  <c r="W456" i="1" s="1"/>
  <c r="H457" i="1"/>
  <c r="J457" i="1" s="1"/>
  <c r="K457" i="1" s="1"/>
  <c r="I457" i="1"/>
  <c r="W457" i="1" s="1"/>
  <c r="I458" i="1"/>
  <c r="W458" i="1" s="1"/>
  <c r="I459" i="1"/>
  <c r="W459" i="1" s="1"/>
  <c r="H460" i="1"/>
  <c r="V460" i="1" s="1"/>
  <c r="I460" i="1"/>
  <c r="W460" i="1" s="1"/>
  <c r="H462" i="1"/>
  <c r="J462" i="1" s="1"/>
  <c r="K462" i="1" s="1"/>
  <c r="I462" i="1"/>
  <c r="W462" i="1" s="1"/>
  <c r="H282" i="1"/>
  <c r="V282" i="1" s="1"/>
  <c r="I282" i="1"/>
  <c r="W282" i="1" s="1"/>
  <c r="H281" i="1"/>
  <c r="J281" i="1" s="1"/>
  <c r="K281" i="1" s="1"/>
  <c r="I281" i="1"/>
  <c r="W281" i="1" s="1"/>
  <c r="I280" i="1"/>
  <c r="W280" i="1" s="1"/>
  <c r="I279" i="1"/>
  <c r="W279" i="1" s="1"/>
  <c r="H278" i="1"/>
  <c r="J278" i="1" s="1"/>
  <c r="K278" i="1" s="1"/>
  <c r="I278" i="1"/>
  <c r="W278" i="1" s="1"/>
  <c r="H277" i="1"/>
  <c r="J277" i="1" s="1"/>
  <c r="K277" i="1" s="1"/>
  <c r="I277" i="1"/>
  <c r="W277" i="1" s="1"/>
  <c r="I276" i="1"/>
  <c r="W276" i="1" s="1"/>
  <c r="H275" i="1"/>
  <c r="J275" i="1" s="1"/>
  <c r="K275" i="1" s="1"/>
  <c r="I275" i="1"/>
  <c r="W275" i="1" s="1"/>
  <c r="I274" i="1"/>
  <c r="W274" i="1" s="1"/>
  <c r="I273" i="1"/>
  <c r="W273" i="1" s="1"/>
  <c r="I272" i="1"/>
  <c r="W272" i="1" s="1"/>
  <c r="H271" i="1"/>
  <c r="J271" i="1" s="1"/>
  <c r="K271" i="1" s="1"/>
  <c r="I271" i="1"/>
  <c r="W271" i="1" s="1"/>
  <c r="H270" i="1"/>
  <c r="J270" i="1" s="1"/>
  <c r="K270" i="1" s="1"/>
  <c r="I270" i="1"/>
  <c r="W270" i="1" s="1"/>
  <c r="H269" i="1"/>
  <c r="J269" i="1" s="1"/>
  <c r="K269" i="1" s="1"/>
  <c r="I269" i="1"/>
  <c r="W269" i="1" s="1"/>
  <c r="H268" i="1"/>
  <c r="V268" i="1" s="1"/>
  <c r="I268" i="1"/>
  <c r="W268" i="1" s="1"/>
  <c r="H267" i="1"/>
  <c r="J267" i="1" s="1"/>
  <c r="K267" i="1" s="1"/>
  <c r="I267" i="1"/>
  <c r="W267" i="1" s="1"/>
  <c r="H266" i="1"/>
  <c r="J266" i="1" s="1"/>
  <c r="K266" i="1" s="1"/>
  <c r="I266" i="1"/>
  <c r="W266" i="1" s="1"/>
  <c r="H265" i="1"/>
  <c r="J265" i="1" s="1"/>
  <c r="K265" i="1" s="1"/>
  <c r="I265" i="1"/>
  <c r="W265" i="1" s="1"/>
  <c r="I264" i="1"/>
  <c r="W264" i="1" s="1"/>
  <c r="H263" i="1"/>
  <c r="V263" i="1" s="1"/>
  <c r="I263" i="1"/>
  <c r="W263" i="1" s="1"/>
  <c r="I262" i="1"/>
  <c r="W262" i="1" s="1"/>
  <c r="I261" i="1"/>
  <c r="W261" i="1" s="1"/>
  <c r="I260" i="1"/>
  <c r="W260" i="1" s="1"/>
  <c r="I259" i="1"/>
  <c r="W259" i="1" s="1"/>
  <c r="H258" i="1"/>
  <c r="J258" i="1" s="1"/>
  <c r="K258" i="1" s="1"/>
  <c r="I258" i="1"/>
  <c r="W258" i="1" s="1"/>
  <c r="I257" i="1"/>
  <c r="W257" i="1" s="1"/>
  <c r="I256" i="1"/>
  <c r="W256" i="1" s="1"/>
  <c r="H255" i="1"/>
  <c r="J255" i="1" s="1"/>
  <c r="K255" i="1" s="1"/>
  <c r="I255" i="1"/>
  <c r="W255" i="1" s="1"/>
  <c r="H254" i="1"/>
  <c r="J254" i="1" s="1"/>
  <c r="K254" i="1" s="1"/>
  <c r="I254" i="1"/>
  <c r="W254" i="1" s="1"/>
  <c r="H253" i="1"/>
  <c r="J253" i="1" s="1"/>
  <c r="K253" i="1" s="1"/>
  <c r="I253" i="1"/>
  <c r="W253" i="1" s="1"/>
  <c r="H252" i="1"/>
  <c r="V252" i="1" s="1"/>
  <c r="I252" i="1"/>
  <c r="W252" i="1" s="1"/>
  <c r="H251" i="1"/>
  <c r="J251" i="1" s="1"/>
  <c r="K251" i="1" s="1"/>
  <c r="I251" i="1"/>
  <c r="W251" i="1" s="1"/>
  <c r="H250" i="1"/>
  <c r="J250" i="1" s="1"/>
  <c r="K250" i="1" s="1"/>
  <c r="I250" i="1"/>
  <c r="W250" i="1" s="1"/>
  <c r="H249" i="1"/>
  <c r="V249" i="1" s="1"/>
  <c r="I249" i="1"/>
  <c r="W249" i="1" s="1"/>
  <c r="I248" i="1"/>
  <c r="W248" i="1" s="1"/>
  <c r="H247" i="1"/>
  <c r="J247" i="1" s="1"/>
  <c r="K247" i="1" s="1"/>
  <c r="I247" i="1"/>
  <c r="W247" i="1" s="1"/>
  <c r="H246" i="1"/>
  <c r="J246" i="1" s="1"/>
  <c r="K246" i="1" s="1"/>
  <c r="I246" i="1"/>
  <c r="W246" i="1" s="1"/>
  <c r="I245" i="1"/>
  <c r="W245" i="1" s="1"/>
  <c r="H232" i="1"/>
  <c r="J232" i="1" s="1"/>
  <c r="K232" i="1" s="1"/>
  <c r="I232" i="1"/>
  <c r="W232" i="1" s="1"/>
  <c r="H235" i="1"/>
  <c r="V235" i="1" s="1"/>
  <c r="I235" i="1"/>
  <c r="W235" i="1" s="1"/>
  <c r="H236" i="1"/>
  <c r="J236" i="1" s="1"/>
  <c r="K236" i="1" s="1"/>
  <c r="I236" i="1"/>
  <c r="W236" i="1" s="1"/>
  <c r="H237" i="1"/>
  <c r="J237" i="1" s="1"/>
  <c r="K237" i="1" s="1"/>
  <c r="I237" i="1"/>
  <c r="W237" i="1" s="1"/>
  <c r="H238" i="1"/>
  <c r="J238" i="1" s="1"/>
  <c r="K238" i="1" s="1"/>
  <c r="I238" i="1"/>
  <c r="W238" i="1" s="1"/>
  <c r="I239" i="1"/>
  <c r="W239" i="1" s="1"/>
  <c r="I240" i="1"/>
  <c r="W240" i="1" s="1"/>
  <c r="I241" i="1"/>
  <c r="W241" i="1" s="1"/>
  <c r="I242" i="1"/>
  <c r="W242" i="1" s="1"/>
  <c r="H243" i="1"/>
  <c r="J243" i="1" s="1"/>
  <c r="K243" i="1" s="1"/>
  <c r="I243" i="1"/>
  <c r="W243" i="1" s="1"/>
  <c r="H244" i="1"/>
  <c r="J244" i="1" s="1"/>
  <c r="K244" i="1" s="1"/>
  <c r="I244" i="1"/>
  <c r="W244" i="1" s="1"/>
  <c r="G234" i="1"/>
  <c r="Q234" i="1" s="1"/>
  <c r="R234" i="1" s="1"/>
  <c r="G233" i="1"/>
  <c r="H233" i="1" s="1"/>
  <c r="G231" i="1"/>
  <c r="H231" i="1" s="1"/>
  <c r="G230" i="1"/>
  <c r="Q230" i="1" s="1"/>
  <c r="R230" i="1" s="1"/>
  <c r="I229" i="1"/>
  <c r="W229" i="1" s="1"/>
  <c r="I228" i="1"/>
  <c r="W228" i="1" s="1"/>
  <c r="I227" i="1"/>
  <c r="W227" i="1" s="1"/>
  <c r="I226" i="1"/>
  <c r="W226" i="1" s="1"/>
  <c r="I225" i="1"/>
  <c r="W225" i="1" s="1"/>
  <c r="H224" i="1"/>
  <c r="J224" i="1" s="1"/>
  <c r="K224" i="1" s="1"/>
  <c r="I224" i="1"/>
  <c r="W224" i="1" s="1"/>
  <c r="I223" i="1"/>
  <c r="W223" i="1" s="1"/>
  <c r="H222" i="1"/>
  <c r="J222" i="1" s="1"/>
  <c r="K222" i="1" s="1"/>
  <c r="I222" i="1"/>
  <c r="W222" i="1" s="1"/>
  <c r="I221" i="1"/>
  <c r="W221" i="1" s="1"/>
  <c r="I220" i="1"/>
  <c r="W220" i="1" s="1"/>
  <c r="H219" i="1"/>
  <c r="V219" i="1" s="1"/>
  <c r="I219" i="1"/>
  <c r="W219" i="1" s="1"/>
  <c r="H218" i="1"/>
  <c r="J218" i="1" s="1"/>
  <c r="K218" i="1" s="1"/>
  <c r="I218" i="1"/>
  <c r="W218" i="1" s="1"/>
  <c r="H217" i="1"/>
  <c r="V217" i="1" s="1"/>
  <c r="I217" i="1"/>
  <c r="W217" i="1" s="1"/>
  <c r="H216" i="1"/>
  <c r="J216" i="1" s="1"/>
  <c r="K216" i="1" s="1"/>
  <c r="I216" i="1"/>
  <c r="W216" i="1" s="1"/>
  <c r="I215" i="1"/>
  <c r="W215" i="1" s="1"/>
  <c r="I214" i="1"/>
  <c r="W214" i="1" s="1"/>
  <c r="I213" i="1"/>
  <c r="W213" i="1" s="1"/>
  <c r="I212" i="1"/>
  <c r="W212" i="1" s="1"/>
  <c r="I211" i="1"/>
  <c r="W211" i="1" s="1"/>
  <c r="I210" i="1"/>
  <c r="W210" i="1" s="1"/>
  <c r="I209" i="1"/>
  <c r="W209" i="1" s="1"/>
  <c r="I208" i="1"/>
  <c r="W208" i="1" s="1"/>
  <c r="I207" i="1"/>
  <c r="W207" i="1" s="1"/>
  <c r="I206" i="1"/>
  <c r="W206" i="1" s="1"/>
  <c r="H205" i="1"/>
  <c r="J205" i="1" s="1"/>
  <c r="K205" i="1" s="1"/>
  <c r="I205" i="1"/>
  <c r="W205" i="1" s="1"/>
  <c r="I204" i="1"/>
  <c r="W204" i="1" s="1"/>
  <c r="I203" i="1"/>
  <c r="W203" i="1" s="1"/>
  <c r="I202" i="1"/>
  <c r="W202" i="1" s="1"/>
  <c r="I201" i="1"/>
  <c r="W201" i="1" s="1"/>
  <c r="I200" i="1"/>
  <c r="W200" i="1" s="1"/>
  <c r="H199" i="1"/>
  <c r="J199" i="1" s="1"/>
  <c r="K199" i="1" s="1"/>
  <c r="I199" i="1"/>
  <c r="W199" i="1" s="1"/>
  <c r="I198" i="1"/>
  <c r="W198" i="1" s="1"/>
  <c r="H197" i="1"/>
  <c r="J197" i="1" s="1"/>
  <c r="K197" i="1" s="1"/>
  <c r="I197" i="1"/>
  <c r="W197" i="1" s="1"/>
  <c r="H196" i="1"/>
  <c r="V196" i="1" s="1"/>
  <c r="I196" i="1"/>
  <c r="W196" i="1" s="1"/>
  <c r="I195" i="1"/>
  <c r="W195" i="1" s="1"/>
  <c r="I194" i="1"/>
  <c r="W194" i="1" s="1"/>
  <c r="I193" i="1"/>
  <c r="W193" i="1" s="1"/>
  <c r="Q105" i="1"/>
  <c r="R105" i="1" s="1"/>
  <c r="Q103" i="1"/>
  <c r="R103" i="1" s="1"/>
  <c r="H192" i="1"/>
  <c r="J192" i="1" s="1"/>
  <c r="K192" i="1" s="1"/>
  <c r="I192" i="1"/>
  <c r="W192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2" i="1"/>
  <c r="R232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2" i="1"/>
  <c r="R292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5" i="1"/>
  <c r="R315" i="1" s="1"/>
  <c r="Q316" i="1"/>
  <c r="R316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70" i="1"/>
  <c r="R370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R381" i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11" i="1"/>
  <c r="R411" i="1" s="1"/>
  <c r="Q412" i="1"/>
  <c r="R412" i="1" s="1"/>
  <c r="Q317" i="1"/>
  <c r="R317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2" i="1"/>
  <c r="R462" i="1" s="1"/>
  <c r="I191" i="1"/>
  <c r="W191" i="1" s="1"/>
  <c r="Q191" i="1"/>
  <c r="R191" i="1" s="1"/>
  <c r="H190" i="1"/>
  <c r="V190" i="1" s="1"/>
  <c r="I190" i="1"/>
  <c r="W190" i="1" s="1"/>
  <c r="I189" i="1"/>
  <c r="W189" i="1" s="1"/>
  <c r="Q189" i="1"/>
  <c r="R189" i="1" s="1"/>
  <c r="I188" i="1"/>
  <c r="W188" i="1" s="1"/>
  <c r="Q188" i="1"/>
  <c r="R188" i="1" s="1"/>
  <c r="H187" i="1"/>
  <c r="J187" i="1" s="1"/>
  <c r="K187" i="1" s="1"/>
  <c r="I187" i="1"/>
  <c r="W187" i="1" s="1"/>
  <c r="Q187" i="1"/>
  <c r="R187" i="1" s="1"/>
  <c r="I186" i="1"/>
  <c r="W186" i="1" s="1"/>
  <c r="Q186" i="1"/>
  <c r="R186" i="1" s="1"/>
  <c r="H185" i="1"/>
  <c r="J185" i="1" s="1"/>
  <c r="K185" i="1" s="1"/>
  <c r="I185" i="1"/>
  <c r="W185" i="1" s="1"/>
  <c r="Q185" i="1"/>
  <c r="R185" i="1" s="1"/>
  <c r="H184" i="1"/>
  <c r="J184" i="1" s="1"/>
  <c r="K184" i="1" s="1"/>
  <c r="I184" i="1"/>
  <c r="W184" i="1" s="1"/>
  <c r="Q184" i="1"/>
  <c r="R184" i="1" s="1"/>
  <c r="I183" i="1"/>
  <c r="W183" i="1" s="1"/>
  <c r="Q183" i="1"/>
  <c r="R183" i="1" s="1"/>
  <c r="H182" i="1"/>
  <c r="J182" i="1" s="1"/>
  <c r="K182" i="1" s="1"/>
  <c r="I182" i="1"/>
  <c r="W182" i="1" s="1"/>
  <c r="Q182" i="1"/>
  <c r="R182" i="1" s="1"/>
  <c r="H181" i="1"/>
  <c r="J181" i="1" s="1"/>
  <c r="K181" i="1" s="1"/>
  <c r="I181" i="1"/>
  <c r="W181" i="1" s="1"/>
  <c r="Q181" i="1"/>
  <c r="R181" i="1" s="1"/>
  <c r="H180" i="1"/>
  <c r="J180" i="1" s="1"/>
  <c r="K180" i="1" s="1"/>
  <c r="I180" i="1"/>
  <c r="W180" i="1" s="1"/>
  <c r="H179" i="1"/>
  <c r="J179" i="1" s="1"/>
  <c r="K179" i="1" s="1"/>
  <c r="I179" i="1"/>
  <c r="W179" i="1" s="1"/>
  <c r="Q179" i="1"/>
  <c r="R179" i="1" s="1"/>
  <c r="I178" i="1"/>
  <c r="W178" i="1" s="1"/>
  <c r="Q178" i="1"/>
  <c r="R178" i="1" s="1"/>
  <c r="I177" i="1"/>
  <c r="W177" i="1" s="1"/>
  <c r="Q177" i="1"/>
  <c r="R177" i="1" s="1"/>
  <c r="I176" i="1"/>
  <c r="W176" i="1" s="1"/>
  <c r="Q176" i="1"/>
  <c r="R176" i="1" s="1"/>
  <c r="I175" i="1"/>
  <c r="W175" i="1" s="1"/>
  <c r="Q175" i="1"/>
  <c r="R175" i="1" s="1"/>
  <c r="I174" i="1"/>
  <c r="W174" i="1" s="1"/>
  <c r="Q174" i="1"/>
  <c r="R174" i="1" s="1"/>
  <c r="I173" i="1"/>
  <c r="W173" i="1" s="1"/>
  <c r="Q173" i="1"/>
  <c r="R173" i="1" s="1"/>
  <c r="H172" i="1"/>
  <c r="J172" i="1" s="1"/>
  <c r="K172" i="1" s="1"/>
  <c r="I172" i="1"/>
  <c r="W172" i="1" s="1"/>
  <c r="Q172" i="1"/>
  <c r="R172" i="1" s="1"/>
  <c r="I171" i="1"/>
  <c r="W171" i="1" s="1"/>
  <c r="Q171" i="1"/>
  <c r="R171" i="1" s="1"/>
  <c r="I170" i="1"/>
  <c r="W170" i="1" s="1"/>
  <c r="Q170" i="1"/>
  <c r="R170" i="1" s="1"/>
  <c r="I169" i="1"/>
  <c r="W169" i="1" s="1"/>
  <c r="Q169" i="1"/>
  <c r="R169" i="1" s="1"/>
  <c r="I168" i="1"/>
  <c r="W168" i="1" s="1"/>
  <c r="Q168" i="1"/>
  <c r="R168" i="1" s="1"/>
  <c r="I167" i="1"/>
  <c r="W167" i="1" s="1"/>
  <c r="Q167" i="1"/>
  <c r="R167" i="1" s="1"/>
  <c r="I166" i="1"/>
  <c r="W166" i="1" s="1"/>
  <c r="Q166" i="1"/>
  <c r="R166" i="1" s="1"/>
  <c r="I165" i="1"/>
  <c r="W165" i="1" s="1"/>
  <c r="Q165" i="1"/>
  <c r="R165" i="1" s="1"/>
  <c r="I164" i="1"/>
  <c r="W164" i="1" s="1"/>
  <c r="Q164" i="1"/>
  <c r="R164" i="1" s="1"/>
  <c r="I163" i="1"/>
  <c r="W163" i="1" s="1"/>
  <c r="Q163" i="1"/>
  <c r="R163" i="1" s="1"/>
  <c r="H162" i="1"/>
  <c r="J162" i="1" s="1"/>
  <c r="K162" i="1" s="1"/>
  <c r="I162" i="1"/>
  <c r="W162" i="1" s="1"/>
  <c r="I161" i="1"/>
  <c r="W161" i="1" s="1"/>
  <c r="Q161" i="1"/>
  <c r="R161" i="1" s="1"/>
  <c r="I160" i="1"/>
  <c r="W160" i="1" s="1"/>
  <c r="Q160" i="1"/>
  <c r="R160" i="1" s="1"/>
  <c r="I159" i="1"/>
  <c r="W159" i="1" s="1"/>
  <c r="Q159" i="1"/>
  <c r="R159" i="1" s="1"/>
  <c r="I158" i="1"/>
  <c r="W158" i="1" s="1"/>
  <c r="Q158" i="1"/>
  <c r="R158" i="1" s="1"/>
  <c r="I157" i="1"/>
  <c r="W157" i="1" s="1"/>
  <c r="Q157" i="1"/>
  <c r="R157" i="1" s="1"/>
  <c r="I156" i="1"/>
  <c r="W156" i="1" s="1"/>
  <c r="Q156" i="1"/>
  <c r="R156" i="1" s="1"/>
  <c r="I155" i="1"/>
  <c r="W155" i="1" s="1"/>
  <c r="Q155" i="1"/>
  <c r="R155" i="1" s="1"/>
  <c r="I154" i="1"/>
  <c r="W154" i="1" s="1"/>
  <c r="Q154" i="1"/>
  <c r="R154" i="1" s="1"/>
  <c r="I153" i="1"/>
  <c r="W153" i="1" s="1"/>
  <c r="Q153" i="1"/>
  <c r="R153" i="1" s="1"/>
  <c r="I152" i="1"/>
  <c r="W152" i="1" s="1"/>
  <c r="Q152" i="1"/>
  <c r="R152" i="1" s="1"/>
  <c r="I151" i="1"/>
  <c r="W151" i="1" s="1"/>
  <c r="Q151" i="1"/>
  <c r="R151" i="1" s="1"/>
  <c r="I150" i="1"/>
  <c r="W150" i="1" s="1"/>
  <c r="Q150" i="1"/>
  <c r="R150" i="1" s="1"/>
  <c r="H142" i="1"/>
  <c r="J142" i="1" s="1"/>
  <c r="K142" i="1" s="1"/>
  <c r="I142" i="1"/>
  <c r="W142" i="1" s="1"/>
  <c r="Q142" i="1"/>
  <c r="R142" i="1" s="1"/>
  <c r="H19" i="1"/>
  <c r="J19" i="1" s="1"/>
  <c r="K19" i="1" s="1"/>
  <c r="I19" i="1"/>
  <c r="W19" i="1" s="1"/>
  <c r="H147" i="1"/>
  <c r="J147" i="1" s="1"/>
  <c r="K147" i="1" s="1"/>
  <c r="I147" i="1"/>
  <c r="W147" i="1" s="1"/>
  <c r="Q147" i="1"/>
  <c r="R147" i="1" s="1"/>
  <c r="I148" i="1"/>
  <c r="W148" i="1" s="1"/>
  <c r="Q148" i="1"/>
  <c r="R148" i="1" s="1"/>
  <c r="I149" i="1"/>
  <c r="W149" i="1" s="1"/>
  <c r="Q149" i="1"/>
  <c r="R149" i="1" s="1"/>
  <c r="H136" i="1"/>
  <c r="J136" i="1" s="1"/>
  <c r="K136" i="1" s="1"/>
  <c r="I136" i="1"/>
  <c r="W136" i="1" s="1"/>
  <c r="Q136" i="1"/>
  <c r="R136" i="1" s="1"/>
  <c r="I137" i="1"/>
  <c r="W137" i="1" s="1"/>
  <c r="Q137" i="1"/>
  <c r="R137" i="1" s="1"/>
  <c r="I138" i="1"/>
  <c r="W138" i="1" s="1"/>
  <c r="Q138" i="1"/>
  <c r="R138" i="1" s="1"/>
  <c r="H139" i="1"/>
  <c r="J139" i="1" s="1"/>
  <c r="K139" i="1" s="1"/>
  <c r="I139" i="1"/>
  <c r="W139" i="1" s="1"/>
  <c r="Q139" i="1"/>
  <c r="R139" i="1" s="1"/>
  <c r="H140" i="1"/>
  <c r="V140" i="1" s="1"/>
  <c r="I140" i="1"/>
  <c r="W140" i="1" s="1"/>
  <c r="Q140" i="1"/>
  <c r="R140" i="1" s="1"/>
  <c r="H141" i="1"/>
  <c r="J141" i="1" s="1"/>
  <c r="K141" i="1" s="1"/>
  <c r="I141" i="1"/>
  <c r="W141" i="1" s="1"/>
  <c r="Q141" i="1"/>
  <c r="R141" i="1" s="1"/>
  <c r="H143" i="1"/>
  <c r="J143" i="1" s="1"/>
  <c r="K143" i="1" s="1"/>
  <c r="I143" i="1"/>
  <c r="W143" i="1" s="1"/>
  <c r="Q143" i="1"/>
  <c r="R143" i="1" s="1"/>
  <c r="I144" i="1"/>
  <c r="W144" i="1" s="1"/>
  <c r="Q144" i="1"/>
  <c r="R144" i="1" s="1"/>
  <c r="I145" i="1"/>
  <c r="W145" i="1" s="1"/>
  <c r="Q145" i="1"/>
  <c r="R145" i="1" s="1"/>
  <c r="H146" i="1"/>
  <c r="J146" i="1" s="1"/>
  <c r="K146" i="1" s="1"/>
  <c r="I146" i="1"/>
  <c r="W146" i="1" s="1"/>
  <c r="Q146" i="1"/>
  <c r="R146" i="1" s="1"/>
  <c r="H135" i="1"/>
  <c r="J135" i="1" s="1"/>
  <c r="K135" i="1" s="1"/>
  <c r="I135" i="1"/>
  <c r="W135" i="1" s="1"/>
  <c r="Q135" i="1"/>
  <c r="R135" i="1" s="1"/>
  <c r="I134" i="1"/>
  <c r="W134" i="1" s="1"/>
  <c r="Q134" i="1"/>
  <c r="R134" i="1" s="1"/>
  <c r="V53" i="1"/>
  <c r="V2" i="4"/>
  <c r="V107" i="4"/>
  <c r="I133" i="1"/>
  <c r="W133" i="1" s="1"/>
  <c r="Q133" i="1"/>
  <c r="R133" i="1" s="1"/>
  <c r="H132" i="1"/>
  <c r="J132" i="1" s="1"/>
  <c r="K132" i="1" s="1"/>
  <c r="I132" i="1"/>
  <c r="W132" i="1" s="1"/>
  <c r="Q132" i="1"/>
  <c r="R132" i="1" s="1"/>
  <c r="H131" i="1"/>
  <c r="J131" i="1" s="1"/>
  <c r="K131" i="1" s="1"/>
  <c r="I131" i="1"/>
  <c r="W131" i="1" s="1"/>
  <c r="Q131" i="1"/>
  <c r="R131" i="1" s="1"/>
  <c r="I130" i="1"/>
  <c r="W130" i="1" s="1"/>
  <c r="Q130" i="1"/>
  <c r="R130" i="1" s="1"/>
  <c r="H129" i="1"/>
  <c r="J129" i="1" s="1"/>
  <c r="K129" i="1" s="1"/>
  <c r="I129" i="1"/>
  <c r="W129" i="1" s="1"/>
  <c r="Q129" i="1"/>
  <c r="R129" i="1" s="1"/>
  <c r="I128" i="1"/>
  <c r="W128" i="1" s="1"/>
  <c r="Q128" i="1"/>
  <c r="R128" i="1" s="1"/>
  <c r="H127" i="1"/>
  <c r="J127" i="1" s="1"/>
  <c r="K127" i="1" s="1"/>
  <c r="I127" i="1"/>
  <c r="W127" i="1" s="1"/>
  <c r="Q127" i="1"/>
  <c r="R127" i="1" s="1"/>
  <c r="H126" i="1"/>
  <c r="J126" i="1" s="1"/>
  <c r="K126" i="1" s="1"/>
  <c r="I126" i="1"/>
  <c r="W126" i="1" s="1"/>
  <c r="Q126" i="1"/>
  <c r="R126" i="1" s="1"/>
  <c r="I125" i="1"/>
  <c r="W125" i="1" s="1"/>
  <c r="Q125" i="1"/>
  <c r="R125" i="1" s="1"/>
  <c r="H124" i="1"/>
  <c r="J124" i="1" s="1"/>
  <c r="K124" i="1" s="1"/>
  <c r="I124" i="1"/>
  <c r="W124" i="1" s="1"/>
  <c r="Q124" i="1"/>
  <c r="R124" i="1" s="1"/>
  <c r="H123" i="1"/>
  <c r="J123" i="1" s="1"/>
  <c r="K123" i="1" s="1"/>
  <c r="I123" i="1"/>
  <c r="W123" i="1" s="1"/>
  <c r="Q123" i="1"/>
  <c r="R123" i="1" s="1"/>
  <c r="I122" i="1"/>
  <c r="W122" i="1" s="1"/>
  <c r="Q122" i="1"/>
  <c r="R122" i="1" s="1"/>
  <c r="I121" i="1"/>
  <c r="W121" i="1" s="1"/>
  <c r="Q121" i="1"/>
  <c r="R121" i="1" s="1"/>
  <c r="H120" i="1"/>
  <c r="J120" i="1" s="1"/>
  <c r="K120" i="1" s="1"/>
  <c r="I120" i="1"/>
  <c r="W120" i="1" s="1"/>
  <c r="Q120" i="1"/>
  <c r="R120" i="1" s="1"/>
  <c r="H119" i="1"/>
  <c r="J119" i="1" s="1"/>
  <c r="K119" i="1" s="1"/>
  <c r="I119" i="1"/>
  <c r="W119" i="1" s="1"/>
  <c r="Q119" i="1"/>
  <c r="R119" i="1" s="1"/>
  <c r="W66" i="4"/>
  <c r="Q130" i="4"/>
  <c r="W130" i="4" s="1"/>
  <c r="P130" i="4"/>
  <c r="R130" i="4" s="1"/>
  <c r="Q129" i="4"/>
  <c r="W129" i="4" s="1"/>
  <c r="P129" i="4"/>
  <c r="R129" i="4" s="1"/>
  <c r="Q128" i="4"/>
  <c r="W128" i="4" s="1"/>
  <c r="P128" i="4"/>
  <c r="R128" i="4" s="1"/>
  <c r="Q127" i="4"/>
  <c r="W127" i="4" s="1"/>
  <c r="P127" i="4"/>
  <c r="R127" i="4" s="1"/>
  <c r="Q126" i="4"/>
  <c r="W126" i="4" s="1"/>
  <c r="P126" i="4"/>
  <c r="R126" i="4" s="1"/>
  <c r="Q125" i="4"/>
  <c r="W125" i="4" s="1"/>
  <c r="P125" i="4"/>
  <c r="R125" i="4" s="1"/>
  <c r="Q124" i="4"/>
  <c r="W124" i="4" s="1"/>
  <c r="P124" i="4"/>
  <c r="R124" i="4" s="1"/>
  <c r="Q123" i="4"/>
  <c r="W123" i="4" s="1"/>
  <c r="P123" i="4"/>
  <c r="R123" i="4" s="1"/>
  <c r="Q122" i="4"/>
  <c r="W122" i="4" s="1"/>
  <c r="P122" i="4"/>
  <c r="R122" i="4" s="1"/>
  <c r="Q121" i="4"/>
  <c r="W121" i="4" s="1"/>
  <c r="P121" i="4"/>
  <c r="R121" i="4" s="1"/>
  <c r="Q120" i="4"/>
  <c r="W120" i="4" s="1"/>
  <c r="P120" i="4"/>
  <c r="R120" i="4" s="1"/>
  <c r="Q119" i="4"/>
  <c r="W119" i="4" s="1"/>
  <c r="P119" i="4"/>
  <c r="R119" i="4" s="1"/>
  <c r="Q118" i="4"/>
  <c r="W118" i="4" s="1"/>
  <c r="P118" i="4"/>
  <c r="R118" i="4" s="1"/>
  <c r="Q117" i="4"/>
  <c r="W117" i="4" s="1"/>
  <c r="P117" i="4"/>
  <c r="R117" i="4" s="1"/>
  <c r="Q116" i="4"/>
  <c r="W116" i="4" s="1"/>
  <c r="P116" i="4"/>
  <c r="R116" i="4" s="1"/>
  <c r="Q115" i="4"/>
  <c r="W115" i="4" s="1"/>
  <c r="P115" i="4"/>
  <c r="R115" i="4" s="1"/>
  <c r="Q114" i="4"/>
  <c r="W114" i="4" s="1"/>
  <c r="P114" i="4"/>
  <c r="R114" i="4" s="1"/>
  <c r="Q85" i="4"/>
  <c r="W85" i="4" s="1"/>
  <c r="P85" i="4"/>
  <c r="R85" i="4" s="1"/>
  <c r="Q48" i="4"/>
  <c r="W48" i="4" s="1"/>
  <c r="P48" i="4"/>
  <c r="R48" i="4" s="1"/>
  <c r="Q113" i="4"/>
  <c r="W113" i="4" s="1"/>
  <c r="P113" i="4"/>
  <c r="R113" i="4" s="1"/>
  <c r="P66" i="4"/>
  <c r="R66" i="4" s="1"/>
  <c r="Q63" i="4"/>
  <c r="W63" i="4" s="1"/>
  <c r="P63" i="4"/>
  <c r="R63" i="4" s="1"/>
  <c r="Q88" i="4"/>
  <c r="W88" i="4" s="1"/>
  <c r="P88" i="4"/>
  <c r="R88" i="4" s="1"/>
  <c r="Q79" i="4"/>
  <c r="W79" i="4" s="1"/>
  <c r="P79" i="4"/>
  <c r="R79" i="4" s="1"/>
  <c r="Q14" i="4"/>
  <c r="W14" i="4" s="1"/>
  <c r="P14" i="4"/>
  <c r="R14" i="4" s="1"/>
  <c r="Q76" i="4"/>
  <c r="W76" i="4" s="1"/>
  <c r="P76" i="4"/>
  <c r="R76" i="4" s="1"/>
  <c r="Q35" i="4"/>
  <c r="W35" i="4" s="1"/>
  <c r="P35" i="4"/>
  <c r="R35" i="4" s="1"/>
  <c r="Q78" i="4"/>
  <c r="W78" i="4" s="1"/>
  <c r="P78" i="4"/>
  <c r="R78" i="4" s="1"/>
  <c r="Q71" i="4"/>
  <c r="W71" i="4" s="1"/>
  <c r="P71" i="4"/>
  <c r="R71" i="4" s="1"/>
  <c r="Q73" i="4"/>
  <c r="W73" i="4" s="1"/>
  <c r="P73" i="4"/>
  <c r="R73" i="4" s="1"/>
  <c r="Q81" i="4"/>
  <c r="W81" i="4" s="1"/>
  <c r="P81" i="4"/>
  <c r="R81" i="4" s="1"/>
  <c r="Q25" i="4"/>
  <c r="W25" i="4" s="1"/>
  <c r="P25" i="4"/>
  <c r="R25" i="4" s="1"/>
  <c r="Q6" i="4"/>
  <c r="W6" i="4" s="1"/>
  <c r="P6" i="4"/>
  <c r="R6" i="4" s="1"/>
  <c r="Q36" i="4"/>
  <c r="W36" i="4" s="1"/>
  <c r="P36" i="4"/>
  <c r="R36" i="4" s="1"/>
  <c r="Q24" i="4"/>
  <c r="W24" i="4" s="1"/>
  <c r="P24" i="4"/>
  <c r="R24" i="4" s="1"/>
  <c r="Q10" i="4"/>
  <c r="W10" i="4" s="1"/>
  <c r="P10" i="4"/>
  <c r="R10" i="4" s="1"/>
  <c r="Q47" i="4"/>
  <c r="W47" i="4" s="1"/>
  <c r="P47" i="4"/>
  <c r="R47" i="4" s="1"/>
  <c r="Q75" i="4"/>
  <c r="W75" i="4" s="1"/>
  <c r="P75" i="4"/>
  <c r="R75" i="4" s="1"/>
  <c r="Q50" i="4"/>
  <c r="W50" i="4" s="1"/>
  <c r="P50" i="4"/>
  <c r="R50" i="4" s="1"/>
  <c r="Q37" i="4"/>
  <c r="W37" i="4" s="1"/>
  <c r="P37" i="4"/>
  <c r="R37" i="4" s="1"/>
  <c r="Q59" i="4"/>
  <c r="W59" i="4" s="1"/>
  <c r="P59" i="4"/>
  <c r="R59" i="4" s="1"/>
  <c r="Q70" i="4"/>
  <c r="W70" i="4" s="1"/>
  <c r="P70" i="4"/>
  <c r="R70" i="4" s="1"/>
  <c r="Q86" i="4"/>
  <c r="W86" i="4" s="1"/>
  <c r="P86" i="4"/>
  <c r="R86" i="4" s="1"/>
  <c r="Q111" i="4"/>
  <c r="W111" i="4" s="1"/>
  <c r="P111" i="4"/>
  <c r="R111" i="4" s="1"/>
  <c r="Q74" i="4"/>
  <c r="W74" i="4" s="1"/>
  <c r="P74" i="4"/>
  <c r="R74" i="4" s="1"/>
  <c r="Q15" i="4"/>
  <c r="W15" i="4" s="1"/>
  <c r="P15" i="4"/>
  <c r="R15" i="4" s="1"/>
  <c r="Q109" i="4"/>
  <c r="W109" i="4" s="1"/>
  <c r="P109" i="4"/>
  <c r="R109" i="4" s="1"/>
  <c r="Q54" i="4"/>
  <c r="W54" i="4" s="1"/>
  <c r="P54" i="4"/>
  <c r="R54" i="4" s="1"/>
  <c r="Q72" i="4"/>
  <c r="W72" i="4" s="1"/>
  <c r="P72" i="4"/>
  <c r="R72" i="4" s="1"/>
  <c r="Q21" i="4"/>
  <c r="W21" i="4" s="1"/>
  <c r="P21" i="4"/>
  <c r="R21" i="4" s="1"/>
  <c r="Q69" i="4"/>
  <c r="W69" i="4" s="1"/>
  <c r="P69" i="4"/>
  <c r="R69" i="4" s="1"/>
  <c r="Q51" i="4"/>
  <c r="W51" i="4" s="1"/>
  <c r="P51" i="4"/>
  <c r="R51" i="4" s="1"/>
  <c r="Q5" i="4"/>
  <c r="W5" i="4" s="1"/>
  <c r="P5" i="4"/>
  <c r="R5" i="4" s="1"/>
  <c r="Q53" i="4"/>
  <c r="W53" i="4" s="1"/>
  <c r="P53" i="4"/>
  <c r="R53" i="4" s="1"/>
  <c r="Q56" i="4"/>
  <c r="W56" i="4" s="1"/>
  <c r="P56" i="4"/>
  <c r="R56" i="4" s="1"/>
  <c r="Q102" i="4"/>
  <c r="W102" i="4" s="1"/>
  <c r="P102" i="4"/>
  <c r="R102" i="4" s="1"/>
  <c r="Q110" i="4"/>
  <c r="W110" i="4" s="1"/>
  <c r="P110" i="4"/>
  <c r="R110" i="4" s="1"/>
  <c r="Q55" i="4"/>
  <c r="W55" i="4" s="1"/>
  <c r="P55" i="4"/>
  <c r="R55" i="4" s="1"/>
  <c r="Q82" i="4"/>
  <c r="W82" i="4" s="1"/>
  <c r="P82" i="4"/>
  <c r="R82" i="4" s="1"/>
  <c r="Q40" i="4"/>
  <c r="W40" i="4" s="1"/>
  <c r="P40" i="4"/>
  <c r="R40" i="4" s="1"/>
  <c r="Q52" i="4"/>
  <c r="W52" i="4" s="1"/>
  <c r="P52" i="4"/>
  <c r="R52" i="4" s="1"/>
  <c r="Q57" i="4"/>
  <c r="W57" i="4" s="1"/>
  <c r="P57" i="4"/>
  <c r="R57" i="4" s="1"/>
  <c r="Q26" i="4"/>
  <c r="W26" i="4" s="1"/>
  <c r="P26" i="4"/>
  <c r="R26" i="4" s="1"/>
  <c r="Q46" i="4"/>
  <c r="W46" i="4" s="1"/>
  <c r="P46" i="4"/>
  <c r="R46" i="4" s="1"/>
  <c r="Q17" i="4"/>
  <c r="W17" i="4" s="1"/>
  <c r="P17" i="4"/>
  <c r="R17" i="4" s="1"/>
  <c r="Q22" i="4"/>
  <c r="W22" i="4" s="1"/>
  <c r="P22" i="4"/>
  <c r="R22" i="4" s="1"/>
  <c r="Q16" i="4"/>
  <c r="W16" i="4" s="1"/>
  <c r="P16" i="4"/>
  <c r="R16" i="4" s="1"/>
  <c r="Q23" i="4"/>
  <c r="W23" i="4" s="1"/>
  <c r="P23" i="4"/>
  <c r="R23" i="4" s="1"/>
  <c r="Q83" i="4"/>
  <c r="W83" i="4" s="1"/>
  <c r="P83" i="4"/>
  <c r="R83" i="4" s="1"/>
  <c r="Q107" i="4"/>
  <c r="W107" i="4" s="1"/>
  <c r="P107" i="4"/>
  <c r="R107" i="4" s="1"/>
  <c r="Q12" i="4"/>
  <c r="W12" i="4" s="1"/>
  <c r="P12" i="4"/>
  <c r="R12" i="4" s="1"/>
  <c r="Q77" i="4"/>
  <c r="W77" i="4" s="1"/>
  <c r="P77" i="4"/>
  <c r="R77" i="4" s="1"/>
  <c r="Q68" i="4"/>
  <c r="W68" i="4" s="1"/>
  <c r="P68" i="4"/>
  <c r="R68" i="4" s="1"/>
  <c r="Q4" i="4"/>
  <c r="W4" i="4" s="1"/>
  <c r="P4" i="4"/>
  <c r="R4" i="4" s="1"/>
  <c r="Q61" i="4"/>
  <c r="W61" i="4" s="1"/>
  <c r="P61" i="4"/>
  <c r="R61" i="4" s="1"/>
  <c r="Q60" i="4"/>
  <c r="W60" i="4" s="1"/>
  <c r="P60" i="4"/>
  <c r="R60" i="4" s="1"/>
  <c r="Q58" i="4"/>
  <c r="W58" i="4" s="1"/>
  <c r="P58" i="4"/>
  <c r="R58" i="4" s="1"/>
  <c r="Q103" i="4"/>
  <c r="W103" i="4" s="1"/>
  <c r="P103" i="4"/>
  <c r="R103" i="4" s="1"/>
  <c r="Q62" i="4"/>
  <c r="W62" i="4" s="1"/>
  <c r="P62" i="4"/>
  <c r="R62" i="4" s="1"/>
  <c r="Q94" i="4"/>
  <c r="W94" i="4" s="1"/>
  <c r="P94" i="4"/>
  <c r="R94" i="4" s="1"/>
  <c r="Q96" i="4"/>
  <c r="W96" i="4" s="1"/>
  <c r="P96" i="4"/>
  <c r="R96" i="4" s="1"/>
  <c r="Q11" i="4"/>
  <c r="W11" i="4" s="1"/>
  <c r="P11" i="4"/>
  <c r="R11" i="4" s="1"/>
  <c r="Q101" i="4"/>
  <c r="W101" i="4" s="1"/>
  <c r="P101" i="4"/>
  <c r="R101" i="4" s="1"/>
  <c r="Q84" i="4"/>
  <c r="W84" i="4" s="1"/>
  <c r="P84" i="4"/>
  <c r="R84" i="4" s="1"/>
  <c r="Q95" i="4"/>
  <c r="W95" i="4" s="1"/>
  <c r="P95" i="4"/>
  <c r="R95" i="4" s="1"/>
  <c r="Q42" i="4"/>
  <c r="W42" i="4" s="1"/>
  <c r="P42" i="4"/>
  <c r="R42" i="4" s="1"/>
  <c r="Q13" i="4"/>
  <c r="W13" i="4" s="1"/>
  <c r="P13" i="4"/>
  <c r="R13" i="4" s="1"/>
  <c r="Q87" i="4"/>
  <c r="W87" i="4" s="1"/>
  <c r="P87" i="4"/>
  <c r="R87" i="4" s="1"/>
  <c r="Q28" i="4"/>
  <c r="W28" i="4" s="1"/>
  <c r="P28" i="4"/>
  <c r="R28" i="4" s="1"/>
  <c r="Q45" i="4"/>
  <c r="W45" i="4" s="1"/>
  <c r="P45" i="4"/>
  <c r="R45" i="4" s="1"/>
  <c r="Q65" i="4"/>
  <c r="W65" i="4" s="1"/>
  <c r="P65" i="4"/>
  <c r="R65" i="4" s="1"/>
  <c r="Q8" i="4"/>
  <c r="W8" i="4" s="1"/>
  <c r="P8" i="4"/>
  <c r="R8" i="4" s="1"/>
  <c r="Q7" i="4"/>
  <c r="W7" i="4" s="1"/>
  <c r="P7" i="4"/>
  <c r="R7" i="4" s="1"/>
  <c r="Q3" i="4"/>
  <c r="W3" i="4" s="1"/>
  <c r="P3" i="4"/>
  <c r="R3" i="4" s="1"/>
  <c r="Q33" i="4"/>
  <c r="W33" i="4" s="1"/>
  <c r="P33" i="4"/>
  <c r="R33" i="4" s="1"/>
  <c r="Q2" i="4"/>
  <c r="W2" i="4" s="1"/>
  <c r="P2" i="4"/>
  <c r="R2" i="4" s="1"/>
  <c r="Q64" i="4"/>
  <c r="W64" i="4" s="1"/>
  <c r="P64" i="4"/>
  <c r="R64" i="4" s="1"/>
  <c r="Q9" i="4"/>
  <c r="W9" i="4" s="1"/>
  <c r="P9" i="4"/>
  <c r="R9" i="4" s="1"/>
  <c r="Q97" i="4"/>
  <c r="W97" i="4" s="1"/>
  <c r="P97" i="4"/>
  <c r="R97" i="4" s="1"/>
  <c r="Q98" i="4"/>
  <c r="W98" i="4" s="1"/>
  <c r="P98" i="4"/>
  <c r="R98" i="4" s="1"/>
  <c r="Q106" i="4"/>
  <c r="W106" i="4" s="1"/>
  <c r="P106" i="4"/>
  <c r="R106" i="4" s="1"/>
  <c r="Q89" i="4"/>
  <c r="W89" i="4" s="1"/>
  <c r="P89" i="4"/>
  <c r="R89" i="4" s="1"/>
  <c r="Q99" i="4"/>
  <c r="W99" i="4" s="1"/>
  <c r="P99" i="4"/>
  <c r="R99" i="4" s="1"/>
  <c r="Q44" i="4"/>
  <c r="W44" i="4" s="1"/>
  <c r="P44" i="4"/>
  <c r="R44" i="4" s="1"/>
  <c r="Q31" i="4"/>
  <c r="W31" i="4" s="1"/>
  <c r="P31" i="4"/>
  <c r="R31" i="4" s="1"/>
  <c r="Q34" i="4"/>
  <c r="W34" i="4" s="1"/>
  <c r="P34" i="4"/>
  <c r="R34" i="4" s="1"/>
  <c r="Q90" i="4"/>
  <c r="W90" i="4" s="1"/>
  <c r="P90" i="4"/>
  <c r="R90" i="4" s="1"/>
  <c r="Q67" i="4"/>
  <c r="W67" i="4" s="1"/>
  <c r="P67" i="4"/>
  <c r="R67" i="4" s="1"/>
  <c r="Q49" i="4"/>
  <c r="W49" i="4" s="1"/>
  <c r="P49" i="4"/>
  <c r="R49" i="4" s="1"/>
  <c r="Q38" i="4"/>
  <c r="W38" i="4" s="1"/>
  <c r="P38" i="4"/>
  <c r="R38" i="4" s="1"/>
  <c r="Q32" i="4"/>
  <c r="W32" i="4" s="1"/>
  <c r="P32" i="4"/>
  <c r="R32" i="4" s="1"/>
  <c r="Q100" i="4"/>
  <c r="W100" i="4" s="1"/>
  <c r="P100" i="4"/>
  <c r="R100" i="4" s="1"/>
  <c r="Q112" i="4"/>
  <c r="W112" i="4" s="1"/>
  <c r="P112" i="4"/>
  <c r="R112" i="4" s="1"/>
  <c r="Q43" i="4"/>
  <c r="W43" i="4" s="1"/>
  <c r="P43" i="4"/>
  <c r="R43" i="4" s="1"/>
  <c r="Q91" i="4"/>
  <c r="W91" i="4" s="1"/>
  <c r="P91" i="4"/>
  <c r="R91" i="4" s="1"/>
  <c r="Q27" i="4"/>
  <c r="W27" i="4" s="1"/>
  <c r="P27" i="4"/>
  <c r="R27" i="4" s="1"/>
  <c r="Q41" i="4"/>
  <c r="W41" i="4" s="1"/>
  <c r="P41" i="4"/>
  <c r="R41" i="4" s="1"/>
  <c r="O30" i="4"/>
  <c r="O80" i="4"/>
  <c r="P80" i="4" s="1"/>
  <c r="V80" i="4" s="1"/>
  <c r="Q29" i="4"/>
  <c r="W29" i="4" s="1"/>
  <c r="P29" i="4"/>
  <c r="R29" i="4" s="1"/>
  <c r="Q105" i="4"/>
  <c r="W105" i="4" s="1"/>
  <c r="P105" i="4"/>
  <c r="R105" i="4" s="1"/>
  <c r="Q92" i="4"/>
  <c r="W92" i="4" s="1"/>
  <c r="P92" i="4"/>
  <c r="R92" i="4" s="1"/>
  <c r="Q39" i="4"/>
  <c r="W39" i="4" s="1"/>
  <c r="P39" i="4"/>
  <c r="R39" i="4" s="1"/>
  <c r="Q20" i="4"/>
  <c r="W20" i="4" s="1"/>
  <c r="P20" i="4"/>
  <c r="R20" i="4" s="1"/>
  <c r="Q108" i="4"/>
  <c r="W108" i="4" s="1"/>
  <c r="P108" i="4"/>
  <c r="R108" i="4" s="1"/>
  <c r="Q93" i="4"/>
  <c r="W93" i="4" s="1"/>
  <c r="P93" i="4"/>
  <c r="R93" i="4" s="1"/>
  <c r="Q19" i="4"/>
  <c r="W19" i="4" s="1"/>
  <c r="P19" i="4"/>
  <c r="R19" i="4" s="1"/>
  <c r="Q104" i="4"/>
  <c r="W104" i="4" s="1"/>
  <c r="P104" i="4"/>
  <c r="R104" i="4" s="1"/>
  <c r="Q18" i="4"/>
  <c r="W18" i="4" s="1"/>
  <c r="P18" i="4"/>
  <c r="R18" i="4" s="1"/>
  <c r="W59" i="1"/>
  <c r="H118" i="1"/>
  <c r="J118" i="1" s="1"/>
  <c r="K118" i="1" s="1"/>
  <c r="I118" i="1"/>
  <c r="W118" i="1" s="1"/>
  <c r="Q118" i="1"/>
  <c r="R118" i="1" s="1"/>
  <c r="I117" i="1"/>
  <c r="W117" i="1" s="1"/>
  <c r="Q117" i="1"/>
  <c r="R117" i="1" s="1"/>
  <c r="H116" i="1"/>
  <c r="J116" i="1" s="1"/>
  <c r="K116" i="1" s="1"/>
  <c r="I116" i="1"/>
  <c r="W116" i="1" s="1"/>
  <c r="Q116" i="1"/>
  <c r="R116" i="1" s="1"/>
  <c r="I115" i="1"/>
  <c r="W115" i="1" s="1"/>
  <c r="Q115" i="1"/>
  <c r="R115" i="1" s="1"/>
  <c r="I114" i="1"/>
  <c r="W114" i="1" s="1"/>
  <c r="Q114" i="1"/>
  <c r="R114" i="1" s="1"/>
  <c r="H113" i="1"/>
  <c r="J113" i="1" s="1"/>
  <c r="K113" i="1" s="1"/>
  <c r="I113" i="1"/>
  <c r="W113" i="1" s="1"/>
  <c r="Q113" i="1"/>
  <c r="R113" i="1" s="1"/>
  <c r="H112" i="1"/>
  <c r="J112" i="1" s="1"/>
  <c r="K112" i="1" s="1"/>
  <c r="I112" i="1"/>
  <c r="W112" i="1" s="1"/>
  <c r="Q112" i="1"/>
  <c r="R112" i="1" s="1"/>
  <c r="I111" i="1"/>
  <c r="W111" i="1" s="1"/>
  <c r="Q111" i="1"/>
  <c r="R111" i="1" s="1"/>
  <c r="H110" i="1"/>
  <c r="J110" i="1" s="1"/>
  <c r="K110" i="1" s="1"/>
  <c r="I110" i="1"/>
  <c r="W110" i="1" s="1"/>
  <c r="Q110" i="1"/>
  <c r="R110" i="1" s="1"/>
  <c r="H109" i="1"/>
  <c r="J109" i="1" s="1"/>
  <c r="K109" i="1" s="1"/>
  <c r="I109" i="1"/>
  <c r="W109" i="1" s="1"/>
  <c r="Q109" i="1"/>
  <c r="R109" i="1" s="1"/>
  <c r="I108" i="1"/>
  <c r="W108" i="1" s="1"/>
  <c r="Q108" i="1"/>
  <c r="R108" i="1" s="1"/>
  <c r="H107" i="1"/>
  <c r="J107" i="1" s="1"/>
  <c r="K107" i="1" s="1"/>
  <c r="I107" i="1"/>
  <c r="W107" i="1" s="1"/>
  <c r="Q107" i="1"/>
  <c r="R107" i="1" s="1"/>
  <c r="I106" i="1"/>
  <c r="W106" i="1" s="1"/>
  <c r="Q106" i="1"/>
  <c r="R106" i="1" s="1"/>
  <c r="I105" i="1"/>
  <c r="W105" i="1" s="1"/>
  <c r="H105" i="1"/>
  <c r="J105" i="1" s="1"/>
  <c r="K105" i="1" s="1"/>
  <c r="Q104" i="1"/>
  <c r="R104" i="1" s="1"/>
  <c r="I104" i="1"/>
  <c r="W104" i="1" s="1"/>
  <c r="I103" i="1"/>
  <c r="W103" i="1" s="1"/>
  <c r="H103" i="1"/>
  <c r="J103" i="1" s="1"/>
  <c r="K103" i="1" s="1"/>
  <c r="Q16" i="1"/>
  <c r="R16" i="1" s="1"/>
  <c r="H102" i="1"/>
  <c r="J102" i="1" s="1"/>
  <c r="K102" i="1" s="1"/>
  <c r="I102" i="1"/>
  <c r="W102" i="1" s="1"/>
  <c r="Q102" i="1"/>
  <c r="R102" i="1" s="1"/>
  <c r="Q99" i="1"/>
  <c r="R99" i="1" s="1"/>
  <c r="Q100" i="1"/>
  <c r="R100" i="1" s="1"/>
  <c r="Q101" i="1"/>
  <c r="R101" i="1" s="1"/>
  <c r="I99" i="1"/>
  <c r="W99" i="1" s="1"/>
  <c r="I100" i="1"/>
  <c r="W100" i="1" s="1"/>
  <c r="I101" i="1"/>
  <c r="W101" i="1" s="1"/>
  <c r="H99" i="1"/>
  <c r="J99" i="1" s="1"/>
  <c r="K99" i="1" s="1"/>
  <c r="H100" i="1"/>
  <c r="J100" i="1" s="1"/>
  <c r="K100" i="1" s="1"/>
  <c r="I98" i="1"/>
  <c r="W98" i="1" s="1"/>
  <c r="Q98" i="1"/>
  <c r="R98" i="1" s="1"/>
  <c r="H97" i="1"/>
  <c r="J97" i="1" s="1"/>
  <c r="K97" i="1" s="1"/>
  <c r="I97" i="1"/>
  <c r="W97" i="1" s="1"/>
  <c r="Q97" i="1"/>
  <c r="R97" i="1" s="1"/>
  <c r="H96" i="1"/>
  <c r="J96" i="1" s="1"/>
  <c r="K96" i="1" s="1"/>
  <c r="I96" i="1"/>
  <c r="W96" i="1" s="1"/>
  <c r="Q96" i="1"/>
  <c r="R96" i="1" s="1"/>
  <c r="I95" i="1"/>
  <c r="W95" i="1" s="1"/>
  <c r="Q95" i="1"/>
  <c r="R95" i="1" s="1"/>
  <c r="AD20" i="3"/>
  <c r="AE20" i="3" s="1"/>
  <c r="X20" i="3"/>
  <c r="W20" i="3"/>
  <c r="Y20" i="3" s="1"/>
  <c r="I34" i="1"/>
  <c r="Q34" i="1"/>
  <c r="R34" i="1" s="1"/>
  <c r="I81" i="1"/>
  <c r="W81" i="1" s="1"/>
  <c r="Q81" i="1"/>
  <c r="R81" i="1" s="1"/>
  <c r="I53" i="1"/>
  <c r="W53" i="1" s="1"/>
  <c r="J53" i="1"/>
  <c r="K53" i="1" s="1"/>
  <c r="Q53" i="1"/>
  <c r="R53" i="1" s="1"/>
  <c r="H94" i="1"/>
  <c r="J94" i="1" s="1"/>
  <c r="K94" i="1" s="1"/>
  <c r="I94" i="1"/>
  <c r="W94" i="1" s="1"/>
  <c r="Q94" i="1"/>
  <c r="R94" i="1" s="1"/>
  <c r="H80" i="1"/>
  <c r="J80" i="1" s="1"/>
  <c r="K80" i="1" s="1"/>
  <c r="I80" i="1"/>
  <c r="W80" i="1" s="1"/>
  <c r="Q80" i="1"/>
  <c r="R80" i="1" s="1"/>
  <c r="I26" i="1"/>
  <c r="Q26" i="1"/>
  <c r="R26" i="1" s="1"/>
  <c r="G27" i="1"/>
  <c r="I27" i="1" s="1"/>
  <c r="G68" i="1"/>
  <c r="H68" i="1" s="1"/>
  <c r="H23" i="1"/>
  <c r="J23" i="1" s="1"/>
  <c r="K23" i="1" s="1"/>
  <c r="I23" i="1"/>
  <c r="Q23" i="1"/>
  <c r="R23" i="1" s="1"/>
  <c r="I79" i="1"/>
  <c r="W79" i="1" s="1"/>
  <c r="Q79" i="1"/>
  <c r="R79" i="1" s="1"/>
  <c r="I37" i="1"/>
  <c r="Q37" i="1"/>
  <c r="R37" i="1" s="1"/>
  <c r="H89" i="1"/>
  <c r="J89" i="1" s="1"/>
  <c r="K89" i="1" s="1"/>
  <c r="I89" i="1"/>
  <c r="W89" i="1" s="1"/>
  <c r="Q89" i="1"/>
  <c r="R89" i="1" s="1"/>
  <c r="H29" i="1"/>
  <c r="J29" i="1" s="1"/>
  <c r="K29" i="1" s="1"/>
  <c r="I29" i="1"/>
  <c r="Q29" i="1"/>
  <c r="R29" i="1" s="1"/>
  <c r="H33" i="1"/>
  <c r="J33" i="1" s="1"/>
  <c r="K33" i="1" s="1"/>
  <c r="I33" i="1"/>
  <c r="Q33" i="1"/>
  <c r="R33" i="1" s="1"/>
  <c r="I43" i="1"/>
  <c r="W43" i="1" s="1"/>
  <c r="Q43" i="1"/>
  <c r="R43" i="1" s="1"/>
  <c r="I60" i="1"/>
  <c r="W60" i="1" s="1"/>
  <c r="Q60" i="1"/>
  <c r="R60" i="1" s="1"/>
  <c r="H78" i="1"/>
  <c r="J78" i="1" s="1"/>
  <c r="K78" i="1" s="1"/>
  <c r="I78" i="1"/>
  <c r="W78" i="1" s="1"/>
  <c r="Q78" i="1"/>
  <c r="R78" i="1" s="1"/>
  <c r="I31" i="1"/>
  <c r="W31" i="1" s="1"/>
  <c r="Q31" i="1"/>
  <c r="R31" i="1" s="1"/>
  <c r="H28" i="1"/>
  <c r="J28" i="1" s="1"/>
  <c r="K28" i="1" s="1"/>
  <c r="I28" i="1"/>
  <c r="W28" i="1" s="1"/>
  <c r="Q28" i="1"/>
  <c r="R28" i="1" s="1"/>
  <c r="H38" i="1"/>
  <c r="J38" i="1" s="1"/>
  <c r="K38" i="1" s="1"/>
  <c r="I38" i="1"/>
  <c r="W38" i="1" s="1"/>
  <c r="Q38" i="1"/>
  <c r="R38" i="1" s="1"/>
  <c r="H88" i="1"/>
  <c r="J88" i="1" s="1"/>
  <c r="K88" i="1" s="1"/>
  <c r="I88" i="1"/>
  <c r="W88" i="1" s="1"/>
  <c r="Q88" i="1"/>
  <c r="R88" i="1" s="1"/>
  <c r="I77" i="1"/>
  <c r="W77" i="1" s="1"/>
  <c r="Q77" i="1"/>
  <c r="R77" i="1" s="1"/>
  <c r="H87" i="1"/>
  <c r="J87" i="1" s="1"/>
  <c r="K87" i="1" s="1"/>
  <c r="I87" i="1"/>
  <c r="W87" i="1" s="1"/>
  <c r="Q87" i="1"/>
  <c r="R87" i="1" s="1"/>
  <c r="H86" i="1"/>
  <c r="J86" i="1" s="1"/>
  <c r="K86" i="1" s="1"/>
  <c r="I86" i="1"/>
  <c r="W86" i="1" s="1"/>
  <c r="Q86" i="1"/>
  <c r="R86" i="1" s="1"/>
  <c r="H9" i="1"/>
  <c r="J9" i="1" s="1"/>
  <c r="K9" i="1" s="1"/>
  <c r="I9" i="1"/>
  <c r="W9" i="1" s="1"/>
  <c r="Q9" i="1"/>
  <c r="R9" i="1" s="1"/>
  <c r="H61" i="1"/>
  <c r="J61" i="1" s="1"/>
  <c r="K61" i="1" s="1"/>
  <c r="I61" i="1"/>
  <c r="W61" i="1" s="1"/>
  <c r="Q61" i="1"/>
  <c r="R61" i="1" s="1"/>
  <c r="I57" i="1"/>
  <c r="W57" i="1" s="1"/>
  <c r="Q57" i="1"/>
  <c r="R57" i="1" s="1"/>
  <c r="H2" i="1"/>
  <c r="J2" i="1" s="1"/>
  <c r="K2" i="1" s="1"/>
  <c r="I2" i="1"/>
  <c r="W2" i="1" s="1"/>
  <c r="Q2" i="1"/>
  <c r="R2" i="1" s="1"/>
  <c r="I30" i="1"/>
  <c r="W30" i="1" s="1"/>
  <c r="Q30" i="1"/>
  <c r="R30" i="1" s="1"/>
  <c r="H3" i="1"/>
  <c r="J3" i="1" s="1"/>
  <c r="K3" i="1" s="1"/>
  <c r="I3" i="1"/>
  <c r="W3" i="1" s="1"/>
  <c r="Q3" i="1"/>
  <c r="R3" i="1" s="1"/>
  <c r="H8" i="1"/>
  <c r="J8" i="1" s="1"/>
  <c r="K8" i="1" s="1"/>
  <c r="I8" i="1"/>
  <c r="W8" i="1" s="1"/>
  <c r="Q8" i="1"/>
  <c r="R8" i="1" s="1"/>
  <c r="H58" i="1"/>
  <c r="J58" i="1" s="1"/>
  <c r="K58" i="1" s="1"/>
  <c r="I58" i="1"/>
  <c r="W58" i="1" s="1"/>
  <c r="I40" i="1"/>
  <c r="W40" i="1" s="1"/>
  <c r="Q40" i="1"/>
  <c r="R40" i="1" s="1"/>
  <c r="H24" i="1"/>
  <c r="J24" i="1" s="1"/>
  <c r="K24" i="1" s="1"/>
  <c r="I24" i="1"/>
  <c r="W24" i="1" s="1"/>
  <c r="Q24" i="1"/>
  <c r="R24" i="1" s="1"/>
  <c r="I75" i="1"/>
  <c r="W75" i="1" s="1"/>
  <c r="Q75" i="1"/>
  <c r="R75" i="1" s="1"/>
  <c r="I13" i="1"/>
  <c r="W13" i="1" s="1"/>
  <c r="Q13" i="1"/>
  <c r="R13" i="1" s="1"/>
  <c r="H36" i="1"/>
  <c r="J36" i="1" s="1"/>
  <c r="K36" i="1" s="1"/>
  <c r="I36" i="1"/>
  <c r="W36" i="1" s="1"/>
  <c r="Q36" i="1"/>
  <c r="R36" i="1" s="1"/>
  <c r="H84" i="1"/>
  <c r="J84" i="1" s="1"/>
  <c r="K84" i="1" s="1"/>
  <c r="I84" i="1"/>
  <c r="W84" i="1" s="1"/>
  <c r="Q84" i="1"/>
  <c r="R84" i="1" s="1"/>
  <c r="H72" i="1"/>
  <c r="J72" i="1" s="1"/>
  <c r="K72" i="1" s="1"/>
  <c r="I72" i="1"/>
  <c r="W72" i="1" s="1"/>
  <c r="Q72" i="1"/>
  <c r="R72" i="1" s="1"/>
  <c r="H90" i="1"/>
  <c r="J90" i="1" s="1"/>
  <c r="K90" i="1" s="1"/>
  <c r="I90" i="1"/>
  <c r="W90" i="1" s="1"/>
  <c r="Q90" i="1"/>
  <c r="R90" i="1" s="1"/>
  <c r="I11" i="1"/>
  <c r="W11" i="1" s="1"/>
  <c r="Q11" i="1"/>
  <c r="R11" i="1" s="1"/>
  <c r="H85" i="1"/>
  <c r="J85" i="1" s="1"/>
  <c r="K85" i="1" s="1"/>
  <c r="I85" i="1"/>
  <c r="W85" i="1" s="1"/>
  <c r="Q85" i="1"/>
  <c r="R85" i="1" s="1"/>
  <c r="H83" i="1"/>
  <c r="J83" i="1" s="1"/>
  <c r="K83" i="1" s="1"/>
  <c r="I83" i="1"/>
  <c r="W83" i="1" s="1"/>
  <c r="Q83" i="1"/>
  <c r="R83" i="1" s="1"/>
  <c r="H55" i="1"/>
  <c r="J55" i="1" s="1"/>
  <c r="K55" i="1" s="1"/>
  <c r="I55" i="1"/>
  <c r="W55" i="1" s="1"/>
  <c r="Q55" i="1"/>
  <c r="R55" i="1" s="1"/>
  <c r="H92" i="1"/>
  <c r="J92" i="1" s="1"/>
  <c r="K92" i="1" s="1"/>
  <c r="I92" i="1"/>
  <c r="W92" i="1" s="1"/>
  <c r="Q92" i="1"/>
  <c r="R92" i="1" s="1"/>
  <c r="H50" i="1"/>
  <c r="J50" i="1" s="1"/>
  <c r="K50" i="1" s="1"/>
  <c r="I50" i="1"/>
  <c r="W50" i="1" s="1"/>
  <c r="Q50" i="1"/>
  <c r="R50" i="1" s="1"/>
  <c r="I52" i="1"/>
  <c r="W52" i="1" s="1"/>
  <c r="Q52" i="1"/>
  <c r="R52" i="1" s="1"/>
  <c r="I54" i="1"/>
  <c r="W54" i="1" s="1"/>
  <c r="Q54" i="1"/>
  <c r="R54" i="1" s="1"/>
  <c r="H4" i="1"/>
  <c r="J4" i="1" s="1"/>
  <c r="K4" i="1" s="1"/>
  <c r="I4" i="1"/>
  <c r="W4" i="1" s="1"/>
  <c r="Q4" i="1"/>
  <c r="R4" i="1" s="1"/>
  <c r="H62" i="1"/>
  <c r="J62" i="1" s="1"/>
  <c r="K62" i="1" s="1"/>
  <c r="I62" i="1"/>
  <c r="W62" i="1" s="1"/>
  <c r="Q62" i="1"/>
  <c r="R62" i="1" s="1"/>
  <c r="I12" i="1"/>
  <c r="W12" i="1" s="1"/>
  <c r="Q12" i="1"/>
  <c r="R12" i="1" s="1"/>
  <c r="I71" i="1"/>
  <c r="W71" i="1" s="1"/>
  <c r="Q71" i="1"/>
  <c r="R71" i="1" s="1"/>
  <c r="I41" i="1"/>
  <c r="W41" i="1" s="1"/>
  <c r="Q41" i="1"/>
  <c r="R41" i="1" s="1"/>
  <c r="I22" i="1"/>
  <c r="W22" i="1" s="1"/>
  <c r="Q22" i="1"/>
  <c r="R22" i="1" s="1"/>
  <c r="H39" i="1"/>
  <c r="J39" i="1" s="1"/>
  <c r="K39" i="1" s="1"/>
  <c r="I39" i="1"/>
  <c r="W39" i="1" s="1"/>
  <c r="Q39" i="1"/>
  <c r="R39" i="1" s="1"/>
  <c r="H25" i="1"/>
  <c r="J25" i="1" s="1"/>
  <c r="K25" i="1" s="1"/>
  <c r="I25" i="1"/>
  <c r="W25" i="1" s="1"/>
  <c r="H44" i="1"/>
  <c r="J44" i="1" s="1"/>
  <c r="K44" i="1" s="1"/>
  <c r="I44" i="1"/>
  <c r="W44" i="1" s="1"/>
  <c r="Q44" i="1"/>
  <c r="R44" i="1" s="1"/>
  <c r="I49" i="1"/>
  <c r="W49" i="1" s="1"/>
  <c r="Q49" i="1"/>
  <c r="R49" i="1" s="1"/>
  <c r="H35" i="1"/>
  <c r="J35" i="1" s="1"/>
  <c r="K35" i="1" s="1"/>
  <c r="I35" i="1"/>
  <c r="W35" i="1" s="1"/>
  <c r="Q35" i="1"/>
  <c r="R35" i="1" s="1"/>
  <c r="H70" i="1"/>
  <c r="J70" i="1" s="1"/>
  <c r="K70" i="1" s="1"/>
  <c r="I70" i="1"/>
  <c r="W70" i="1" s="1"/>
  <c r="Q70" i="1"/>
  <c r="R70" i="1" s="1"/>
  <c r="I47" i="1"/>
  <c r="W47" i="1" s="1"/>
  <c r="Q47" i="1"/>
  <c r="R47" i="1" s="1"/>
  <c r="H91" i="1"/>
  <c r="J91" i="1" s="1"/>
  <c r="K91" i="1" s="1"/>
  <c r="I91" i="1"/>
  <c r="W91" i="1" s="1"/>
  <c r="Q91" i="1"/>
  <c r="R91" i="1" s="1"/>
  <c r="H48" i="1"/>
  <c r="J48" i="1" s="1"/>
  <c r="K48" i="1" s="1"/>
  <c r="I48" i="1"/>
  <c r="W48" i="1" s="1"/>
  <c r="Q48" i="1"/>
  <c r="R48" i="1" s="1"/>
  <c r="H45" i="1"/>
  <c r="J45" i="1" s="1"/>
  <c r="K45" i="1" s="1"/>
  <c r="I45" i="1"/>
  <c r="W45" i="1" s="1"/>
  <c r="Q45" i="1"/>
  <c r="R45" i="1" s="1"/>
  <c r="I5" i="1"/>
  <c r="W5" i="1" s="1"/>
  <c r="Q5" i="1"/>
  <c r="R5" i="1" s="1"/>
  <c r="H6" i="1"/>
  <c r="J6" i="1" s="1"/>
  <c r="K6" i="1" s="1"/>
  <c r="I6" i="1"/>
  <c r="W6" i="1" s="1"/>
  <c r="Q6" i="1"/>
  <c r="R6" i="1" s="1"/>
  <c r="I63" i="1"/>
  <c r="W63" i="1" s="1"/>
  <c r="Q63" i="1"/>
  <c r="R63" i="1" s="1"/>
  <c r="I46" i="1"/>
  <c r="W46" i="1" s="1"/>
  <c r="Q46" i="1"/>
  <c r="R46" i="1" s="1"/>
  <c r="I15" i="1"/>
  <c r="W15" i="1" s="1"/>
  <c r="Q15" i="1"/>
  <c r="R15" i="1" s="1"/>
  <c r="H65" i="1"/>
  <c r="J65" i="1" s="1"/>
  <c r="K65" i="1" s="1"/>
  <c r="I65" i="1"/>
  <c r="W65" i="1" s="1"/>
  <c r="Q65" i="1"/>
  <c r="R65" i="1" s="1"/>
  <c r="H74" i="1"/>
  <c r="J74" i="1" s="1"/>
  <c r="K74" i="1" s="1"/>
  <c r="I74" i="1"/>
  <c r="W74" i="1" s="1"/>
  <c r="Q74" i="1"/>
  <c r="R74" i="1" s="1"/>
  <c r="H51" i="1"/>
  <c r="J51" i="1" s="1"/>
  <c r="K51" i="1" s="1"/>
  <c r="I51" i="1"/>
  <c r="W51" i="1" s="1"/>
  <c r="Q51" i="1"/>
  <c r="R51" i="1" s="1"/>
  <c r="H64" i="1"/>
  <c r="J64" i="1" s="1"/>
  <c r="K64" i="1" s="1"/>
  <c r="I64" i="1"/>
  <c r="W64" i="1" s="1"/>
  <c r="Q64" i="1"/>
  <c r="R64" i="1" s="1"/>
  <c r="H42" i="1"/>
  <c r="J42" i="1" s="1"/>
  <c r="K42" i="1" s="1"/>
  <c r="I42" i="1"/>
  <c r="W42" i="1" s="1"/>
  <c r="Q42" i="1"/>
  <c r="R42" i="1" s="1"/>
  <c r="I10" i="1"/>
  <c r="W10" i="1" s="1"/>
  <c r="Q10" i="1"/>
  <c r="R10" i="1" s="1"/>
  <c r="I20" i="1"/>
  <c r="W20" i="1" s="1"/>
  <c r="Q20" i="1"/>
  <c r="R20" i="1" s="1"/>
  <c r="H32" i="1"/>
  <c r="J32" i="1" s="1"/>
  <c r="K32" i="1" s="1"/>
  <c r="I32" i="1"/>
  <c r="W32" i="1" s="1"/>
  <c r="Q32" i="1"/>
  <c r="R32" i="1" s="1"/>
  <c r="I7" i="1"/>
  <c r="W7" i="1" s="1"/>
  <c r="Q7" i="1"/>
  <c r="R7" i="1" s="1"/>
  <c r="I21" i="1"/>
  <c r="W21" i="1" s="1"/>
  <c r="Q21" i="1"/>
  <c r="R21" i="1" s="1"/>
  <c r="I69" i="1"/>
  <c r="W69" i="1" s="1"/>
  <c r="Q69" i="1"/>
  <c r="R69" i="1" s="1"/>
  <c r="I67" i="1"/>
  <c r="W67" i="1" s="1"/>
  <c r="Q67" i="1"/>
  <c r="R67" i="1" s="1"/>
  <c r="I66" i="1"/>
  <c r="W66" i="1" s="1"/>
  <c r="Q66" i="1"/>
  <c r="R66" i="1" s="1"/>
  <c r="I14" i="1"/>
  <c r="W14" i="1" s="1"/>
  <c r="Q14" i="1"/>
  <c r="R14" i="1" s="1"/>
  <c r="H76" i="1"/>
  <c r="J76" i="1" s="1"/>
  <c r="K76" i="1" s="1"/>
  <c r="I76" i="1"/>
  <c r="W76" i="1" s="1"/>
  <c r="Q76" i="1"/>
  <c r="R76" i="1" s="1"/>
  <c r="H56" i="1"/>
  <c r="J56" i="1" s="1"/>
  <c r="K56" i="1" s="1"/>
  <c r="I56" i="1"/>
  <c r="W56" i="1" s="1"/>
  <c r="Q56" i="1"/>
  <c r="R56" i="1" s="1"/>
  <c r="I16" i="1"/>
  <c r="H16" i="1"/>
  <c r="V16" i="1" s="1"/>
  <c r="H93" i="1"/>
  <c r="J93" i="1" s="1"/>
  <c r="K93" i="1" s="1"/>
  <c r="I93" i="1"/>
  <c r="W93" i="1" s="1"/>
  <c r="Q93" i="1"/>
  <c r="R93" i="1" s="1"/>
  <c r="I82" i="1"/>
  <c r="W82" i="1" s="1"/>
  <c r="Q82" i="1"/>
  <c r="R82" i="1" s="1"/>
  <c r="Q73" i="1"/>
  <c r="R73" i="1" s="1"/>
  <c r="I73" i="1"/>
  <c r="W73" i="1" s="1"/>
  <c r="H73" i="1"/>
  <c r="J73" i="1" s="1"/>
  <c r="K73" i="1" s="1"/>
  <c r="Q59" i="1"/>
  <c r="R59" i="1" s="1"/>
  <c r="Q17" i="1"/>
  <c r="R17" i="1" s="1"/>
  <c r="Q18" i="1"/>
  <c r="R18" i="1" s="1"/>
  <c r="I17" i="1"/>
  <c r="I18" i="1"/>
  <c r="H59" i="1"/>
  <c r="J59" i="1" s="1"/>
  <c r="K59" i="1" s="1"/>
  <c r="J759" i="1" l="1"/>
  <c r="K759" i="1" s="1"/>
  <c r="J746" i="1"/>
  <c r="K746" i="1" s="1"/>
  <c r="J738" i="1"/>
  <c r="K738" i="1" s="1"/>
  <c r="I718" i="1"/>
  <c r="H712" i="1"/>
  <c r="J712" i="1" s="1"/>
  <c r="K712" i="1" s="1"/>
  <c r="I716" i="1"/>
  <c r="H718" i="1"/>
  <c r="J718" i="1" s="1"/>
  <c r="K718" i="1" s="1"/>
  <c r="H713" i="1"/>
  <c r="J713" i="1" s="1"/>
  <c r="K713" i="1" s="1"/>
  <c r="H641" i="1"/>
  <c r="J641" i="1" s="1"/>
  <c r="K641" i="1" s="1"/>
  <c r="Q656" i="1"/>
  <c r="R656" i="1" s="1"/>
  <c r="I641" i="1"/>
  <c r="Q703" i="1"/>
  <c r="R703" i="1" s="1"/>
  <c r="Q712" i="1"/>
  <c r="R712" i="1" s="1"/>
  <c r="I664" i="1"/>
  <c r="Q704" i="1"/>
  <c r="R704" i="1" s="1"/>
  <c r="I662" i="1"/>
  <c r="H662" i="1"/>
  <c r="J662" i="1" s="1"/>
  <c r="K662" i="1" s="1"/>
  <c r="Q603" i="1"/>
  <c r="R603" i="1" s="1"/>
  <c r="I706" i="1"/>
  <c r="Q550" i="1"/>
  <c r="R550" i="1" s="1"/>
  <c r="I656" i="1"/>
  <c r="I660" i="1"/>
  <c r="Q706" i="1"/>
  <c r="R706" i="1" s="1"/>
  <c r="I713" i="1"/>
  <c r="I704" i="1"/>
  <c r="Q571" i="1"/>
  <c r="R571" i="1" s="1"/>
  <c r="I658" i="1"/>
  <c r="Q658" i="1"/>
  <c r="R658" i="1" s="1"/>
  <c r="Q690" i="1"/>
  <c r="R690" i="1" s="1"/>
  <c r="I707" i="1"/>
  <c r="Q691" i="1"/>
  <c r="R691" i="1" s="1"/>
  <c r="I690" i="1"/>
  <c r="H707" i="1"/>
  <c r="J707" i="1" s="1"/>
  <c r="K707" i="1" s="1"/>
  <c r="R606" i="1"/>
  <c r="I691" i="1"/>
  <c r="I703" i="1"/>
  <c r="J704" i="1"/>
  <c r="K704" i="1" s="1"/>
  <c r="H613" i="1"/>
  <c r="J613" i="1" s="1"/>
  <c r="K613" i="1" s="1"/>
  <c r="I597" i="1"/>
  <c r="Q614" i="1"/>
  <c r="R614" i="1" s="1"/>
  <c r="I602" i="1"/>
  <c r="Q583" i="1"/>
  <c r="R583" i="1" s="1"/>
  <c r="I583" i="1"/>
  <c r="H602" i="1"/>
  <c r="J602" i="1" s="1"/>
  <c r="K602" i="1" s="1"/>
  <c r="H567" i="1"/>
  <c r="J567" i="1" s="1"/>
  <c r="K567" i="1" s="1"/>
  <c r="Q613" i="1"/>
  <c r="R613" i="1" s="1"/>
  <c r="I582" i="1"/>
  <c r="Q597" i="1"/>
  <c r="R597" i="1" s="1"/>
  <c r="J614" i="1"/>
  <c r="K614" i="1" s="1"/>
  <c r="I614" i="1"/>
  <c r="J603" i="1"/>
  <c r="K603" i="1" s="1"/>
  <c r="I603" i="1"/>
  <c r="H582" i="1"/>
  <c r="J582" i="1" s="1"/>
  <c r="K582" i="1" s="1"/>
  <c r="I550" i="1"/>
  <c r="H405" i="1"/>
  <c r="V405" i="1" s="1"/>
  <c r="I571" i="1"/>
  <c r="H406" i="1"/>
  <c r="J406" i="1" s="1"/>
  <c r="K406" i="1" s="1"/>
  <c r="I537" i="1"/>
  <c r="H407" i="1"/>
  <c r="V407" i="1" s="1"/>
  <c r="H27" i="1"/>
  <c r="Q468" i="1"/>
  <c r="R468" i="1" s="1"/>
  <c r="H537" i="1"/>
  <c r="J537" i="1" s="1"/>
  <c r="K537" i="1" s="1"/>
  <c r="H408" i="1"/>
  <c r="J408" i="1" s="1"/>
  <c r="K408" i="1" s="1"/>
  <c r="Q546" i="1"/>
  <c r="R546" i="1" s="1"/>
  <c r="Q567" i="1"/>
  <c r="R567" i="1" s="1"/>
  <c r="H409" i="1"/>
  <c r="J409" i="1" s="1"/>
  <c r="K409" i="1" s="1"/>
  <c r="H371" i="1"/>
  <c r="J371" i="1" s="1"/>
  <c r="K371" i="1" s="1"/>
  <c r="I538" i="1"/>
  <c r="H538" i="1"/>
  <c r="J538" i="1" s="1"/>
  <c r="K538" i="1" s="1"/>
  <c r="I546" i="1"/>
  <c r="H291" i="1"/>
  <c r="J291" i="1" s="1"/>
  <c r="K291" i="1" s="1"/>
  <c r="H345" i="1"/>
  <c r="V345" i="1" s="1"/>
  <c r="J314" i="1"/>
  <c r="K314" i="1" s="1"/>
  <c r="J347" i="1"/>
  <c r="K347" i="1" s="1"/>
  <c r="V372" i="1"/>
  <c r="J473" i="1"/>
  <c r="K473" i="1" s="1"/>
  <c r="J233" i="1"/>
  <c r="K233" i="1" s="1"/>
  <c r="J294" i="1"/>
  <c r="K294" i="1" s="1"/>
  <c r="J68" i="1"/>
  <c r="K68" i="1" s="1"/>
  <c r="J293" i="1"/>
  <c r="K293" i="1" s="1"/>
  <c r="J231" i="1"/>
  <c r="K231" i="1" s="1"/>
  <c r="I529" i="1"/>
  <c r="H529" i="1"/>
  <c r="J529" i="1" s="1"/>
  <c r="K529" i="1" s="1"/>
  <c r="H469" i="1"/>
  <c r="J469" i="1" s="1"/>
  <c r="K469" i="1" s="1"/>
  <c r="R531" i="1"/>
  <c r="Q508" i="1"/>
  <c r="R508" i="1" s="1"/>
  <c r="H466" i="1"/>
  <c r="J466" i="1" s="1"/>
  <c r="K466" i="1" s="1"/>
  <c r="I476" i="1"/>
  <c r="H476" i="1"/>
  <c r="J476" i="1" s="1"/>
  <c r="K476" i="1" s="1"/>
  <c r="Q470" i="1"/>
  <c r="R470" i="1" s="1"/>
  <c r="Q510" i="1"/>
  <c r="R510" i="1" s="1"/>
  <c r="Q450" i="1"/>
  <c r="R450" i="1" s="1"/>
  <c r="I468" i="1"/>
  <c r="I508" i="1"/>
  <c r="I473" i="1"/>
  <c r="I510" i="1"/>
  <c r="I466" i="1"/>
  <c r="Q469" i="1"/>
  <c r="R469" i="1" s="1"/>
  <c r="Q473" i="1"/>
  <c r="R473" i="1" s="1"/>
  <c r="I470" i="1"/>
  <c r="I450" i="1"/>
  <c r="W450" i="1" s="1"/>
  <c r="Q345" i="1"/>
  <c r="R345" i="1" s="1"/>
  <c r="I410" i="1"/>
  <c r="W410" i="1" s="1"/>
  <c r="I413" i="1"/>
  <c r="W413" i="1" s="1"/>
  <c r="H413" i="1"/>
  <c r="V413" i="1" s="1"/>
  <c r="Q372" i="1"/>
  <c r="R372" i="1" s="1"/>
  <c r="I405" i="1"/>
  <c r="W405" i="1" s="1"/>
  <c r="R180" i="1"/>
  <c r="Q347" i="1"/>
  <c r="R347" i="1" s="1"/>
  <c r="I372" i="1"/>
  <c r="W372" i="1" s="1"/>
  <c r="I347" i="1"/>
  <c r="W347" i="1" s="1"/>
  <c r="H402" i="1"/>
  <c r="J402" i="1" s="1"/>
  <c r="K402" i="1" s="1"/>
  <c r="Q404" i="1"/>
  <c r="R404" i="1" s="1"/>
  <c r="I369" i="1"/>
  <c r="W369" i="1" s="1"/>
  <c r="I407" i="1"/>
  <c r="W407" i="1" s="1"/>
  <c r="Q406" i="1"/>
  <c r="R406" i="1" s="1"/>
  <c r="H401" i="1"/>
  <c r="J401" i="1" s="1"/>
  <c r="K401" i="1" s="1"/>
  <c r="I401" i="1"/>
  <c r="W401" i="1" s="1"/>
  <c r="H404" i="1"/>
  <c r="J404" i="1" s="1"/>
  <c r="K404" i="1" s="1"/>
  <c r="Q369" i="1"/>
  <c r="R369" i="1" s="1"/>
  <c r="Q402" i="1"/>
  <c r="R402" i="1" s="1"/>
  <c r="Q403" i="1"/>
  <c r="R403" i="1" s="1"/>
  <c r="Q408" i="1"/>
  <c r="R408" i="1" s="1"/>
  <c r="Q409" i="1"/>
  <c r="R409" i="1" s="1"/>
  <c r="H403" i="1"/>
  <c r="V403" i="1" s="1"/>
  <c r="Q410" i="1"/>
  <c r="Q371" i="1"/>
  <c r="R371" i="1" s="1"/>
  <c r="H313" i="1"/>
  <c r="J313" i="1" s="1"/>
  <c r="K313" i="1" s="1"/>
  <c r="Q294" i="1"/>
  <c r="R294" i="1" s="1"/>
  <c r="Q346" i="1"/>
  <c r="R346" i="1" s="1"/>
  <c r="I346" i="1"/>
  <c r="W346" i="1" s="1"/>
  <c r="I322" i="1"/>
  <c r="W322" i="1" s="1"/>
  <c r="I321" i="1"/>
  <c r="W321" i="1" s="1"/>
  <c r="I314" i="1"/>
  <c r="W314" i="1" s="1"/>
  <c r="Q314" i="1"/>
  <c r="R314" i="1" s="1"/>
  <c r="H234" i="1"/>
  <c r="J234" i="1" s="1"/>
  <c r="K234" i="1" s="1"/>
  <c r="I230" i="1"/>
  <c r="W230" i="1" s="1"/>
  <c r="I291" i="1"/>
  <c r="W291" i="1" s="1"/>
  <c r="Q293" i="1"/>
  <c r="R293" i="1" s="1"/>
  <c r="H290" i="1"/>
  <c r="J290" i="1" s="1"/>
  <c r="K290" i="1" s="1"/>
  <c r="I234" i="1"/>
  <c r="W234" i="1" s="1"/>
  <c r="H230" i="1"/>
  <c r="J230" i="1" s="1"/>
  <c r="K230" i="1" s="1"/>
  <c r="I293" i="1"/>
  <c r="W293" i="1" s="1"/>
  <c r="V374" i="1"/>
  <c r="V352" i="1"/>
  <c r="V388" i="1"/>
  <c r="V376" i="1"/>
  <c r="V353" i="1"/>
  <c r="V337" i="1"/>
  <c r="V261" i="1"/>
  <c r="V269" i="1"/>
  <c r="J418" i="1"/>
  <c r="K418" i="1" s="1"/>
  <c r="J282" i="1"/>
  <c r="K282" i="1" s="1"/>
  <c r="V363" i="1"/>
  <c r="V296" i="1"/>
  <c r="V411" i="1"/>
  <c r="V289" i="1"/>
  <c r="V298" i="1"/>
  <c r="V390" i="1"/>
  <c r="V283" i="1"/>
  <c r="V347" i="1"/>
  <c r="V381" i="1"/>
  <c r="V357" i="1"/>
  <c r="J389" i="1"/>
  <c r="K389" i="1" s="1"/>
  <c r="J354" i="1"/>
  <c r="K354" i="1" s="1"/>
  <c r="J338" i="1"/>
  <c r="K338" i="1" s="1"/>
  <c r="J358" i="1"/>
  <c r="K358" i="1" s="1"/>
  <c r="J424" i="1"/>
  <c r="K424" i="1" s="1"/>
  <c r="V417" i="1"/>
  <c r="V299" i="1"/>
  <c r="V359" i="1"/>
  <c r="V307" i="1"/>
  <c r="V383" i="1"/>
  <c r="V287" i="1"/>
  <c r="V340" i="1"/>
  <c r="V444" i="1"/>
  <c r="V422" i="1"/>
  <c r="V327" i="1"/>
  <c r="V361" i="1"/>
  <c r="V456" i="1"/>
  <c r="V335" i="1"/>
  <c r="V264" i="1"/>
  <c r="V373" i="1"/>
  <c r="V419" i="1"/>
  <c r="V318" i="1"/>
  <c r="V454" i="1"/>
  <c r="V400" i="1"/>
  <c r="V362" i="1"/>
  <c r="V339" i="1"/>
  <c r="V303" i="1"/>
  <c r="V266" i="1"/>
  <c r="J445" i="1"/>
  <c r="K445" i="1" s="1"/>
  <c r="V398" i="1"/>
  <c r="V302" i="1"/>
  <c r="V265" i="1"/>
  <c r="J316" i="1"/>
  <c r="K316" i="1" s="1"/>
  <c r="V439" i="1"/>
  <c r="V433" i="1"/>
  <c r="V258" i="1"/>
  <c r="V378" i="1"/>
  <c r="V323" i="1"/>
  <c r="V349" i="1"/>
  <c r="V321" i="1"/>
  <c r="V462" i="1"/>
  <c r="V415" i="1"/>
  <c r="V343" i="1"/>
  <c r="V278" i="1"/>
  <c r="J458" i="1"/>
  <c r="K458" i="1" s="1"/>
  <c r="V317" i="1"/>
  <c r="V342" i="1"/>
  <c r="V308" i="1"/>
  <c r="V277" i="1"/>
  <c r="I294" i="1"/>
  <c r="W294" i="1" s="1"/>
  <c r="Q290" i="1"/>
  <c r="R290" i="1" s="1"/>
  <c r="W290" i="1"/>
  <c r="V311" i="1"/>
  <c r="J368" i="1"/>
  <c r="K368" i="1" s="1"/>
  <c r="J420" i="1"/>
  <c r="K420" i="1" s="1"/>
  <c r="V306" i="1"/>
  <c r="J384" i="1"/>
  <c r="K384" i="1" s="1"/>
  <c r="V387" i="1"/>
  <c r="J372" i="1"/>
  <c r="K372" i="1" s="1"/>
  <c r="V329" i="1"/>
  <c r="V457" i="1"/>
  <c r="V430" i="1"/>
  <c r="V272" i="1"/>
  <c r="J437" i="1"/>
  <c r="K437" i="1" s="1"/>
  <c r="J350" i="1"/>
  <c r="K350" i="1" s="1"/>
  <c r="J304" i="1"/>
  <c r="K304" i="1" s="1"/>
  <c r="V341" i="1"/>
  <c r="V271" i="1"/>
  <c r="V453" i="1"/>
  <c r="V385" i="1"/>
  <c r="V294" i="1"/>
  <c r="J452" i="1"/>
  <c r="K452" i="1" s="1"/>
  <c r="J364" i="1"/>
  <c r="K364" i="1" s="1"/>
  <c r="V293" i="1"/>
  <c r="J414" i="1"/>
  <c r="K414" i="1" s="1"/>
  <c r="J319" i="1"/>
  <c r="K319" i="1" s="1"/>
  <c r="V441" i="1"/>
  <c r="V410" i="1"/>
  <c r="V331" i="1"/>
  <c r="V260" i="1"/>
  <c r="J450" i="1"/>
  <c r="K450" i="1" s="1"/>
  <c r="J428" i="1"/>
  <c r="K428" i="1" s="1"/>
  <c r="J295" i="1"/>
  <c r="K295" i="1" s="1"/>
  <c r="J274" i="1"/>
  <c r="K274" i="1" s="1"/>
  <c r="V432" i="1"/>
  <c r="J393" i="1"/>
  <c r="K393" i="1" s="1"/>
  <c r="V431" i="1"/>
  <c r="V366" i="1"/>
  <c r="V326" i="1"/>
  <c r="J259" i="1"/>
  <c r="K259" i="1" s="1"/>
  <c r="V421" i="1"/>
  <c r="J312" i="1"/>
  <c r="K312" i="1" s="1"/>
  <c r="V443" i="1"/>
  <c r="V330" i="1"/>
  <c r="V270" i="1"/>
  <c r="J396" i="1"/>
  <c r="K396" i="1" s="1"/>
  <c r="J377" i="1"/>
  <c r="K377" i="1" s="1"/>
  <c r="J332" i="1"/>
  <c r="K332" i="1" s="1"/>
  <c r="V365" i="1"/>
  <c r="J280" i="1"/>
  <c r="K280" i="1" s="1"/>
  <c r="J344" i="1"/>
  <c r="K344" i="1" s="1"/>
  <c r="V434" i="1"/>
  <c r="J446" i="1"/>
  <c r="K446" i="1" s="1"/>
  <c r="J436" i="1"/>
  <c r="K436" i="1" s="1"/>
  <c r="J380" i="1"/>
  <c r="K380" i="1" s="1"/>
  <c r="J334" i="1"/>
  <c r="K334" i="1" s="1"/>
  <c r="J315" i="1"/>
  <c r="K315" i="1" s="1"/>
  <c r="J394" i="1"/>
  <c r="K394" i="1" s="1"/>
  <c r="J320" i="1"/>
  <c r="K320" i="1" s="1"/>
  <c r="J300" i="1"/>
  <c r="K300" i="1" s="1"/>
  <c r="J276" i="1"/>
  <c r="K276" i="1" s="1"/>
  <c r="V375" i="1"/>
  <c r="V449" i="1"/>
  <c r="V427" i="1"/>
  <c r="V397" i="1"/>
  <c r="V275" i="1"/>
  <c r="V253" i="1"/>
  <c r="J268" i="1"/>
  <c r="K268" i="1" s="1"/>
  <c r="V286" i="1"/>
  <c r="V284" i="1"/>
  <c r="V369" i="1"/>
  <c r="V351" i="1"/>
  <c r="V386" i="1"/>
  <c r="V292" i="1"/>
  <c r="V310" i="1"/>
  <c r="V324" i="1"/>
  <c r="V429" i="1"/>
  <c r="V305" i="1"/>
  <c r="J440" i="1"/>
  <c r="K440" i="1" s="1"/>
  <c r="V348" i="1"/>
  <c r="V451" i="1"/>
  <c r="V425" i="1"/>
  <c r="V399" i="1"/>
  <c r="J448" i="1"/>
  <c r="K448" i="1" s="1"/>
  <c r="J426" i="1"/>
  <c r="K426" i="1" s="1"/>
  <c r="J392" i="1"/>
  <c r="K392" i="1" s="1"/>
  <c r="J370" i="1"/>
  <c r="K370" i="1" s="1"/>
  <c r="J346" i="1"/>
  <c r="K346" i="1" s="1"/>
  <c r="J325" i="1"/>
  <c r="K325" i="1" s="1"/>
  <c r="V442" i="1"/>
  <c r="V301" i="1"/>
  <c r="V395" i="1"/>
  <c r="V314" i="1"/>
  <c r="J460" i="1"/>
  <c r="K460" i="1" s="1"/>
  <c r="J438" i="1"/>
  <c r="K438" i="1" s="1"/>
  <c r="J382" i="1"/>
  <c r="K382" i="1" s="1"/>
  <c r="J356" i="1"/>
  <c r="K356" i="1" s="1"/>
  <c r="J336" i="1"/>
  <c r="K336" i="1" s="1"/>
  <c r="V455" i="1"/>
  <c r="V328" i="1"/>
  <c r="J416" i="1"/>
  <c r="K416" i="1" s="1"/>
  <c r="J360" i="1"/>
  <c r="K360" i="1" s="1"/>
  <c r="J288" i="1"/>
  <c r="K288" i="1" s="1"/>
  <c r="J459" i="1"/>
  <c r="K459" i="1" s="1"/>
  <c r="J447" i="1"/>
  <c r="K447" i="1" s="1"/>
  <c r="J435" i="1"/>
  <c r="K435" i="1" s="1"/>
  <c r="J423" i="1"/>
  <c r="K423" i="1" s="1"/>
  <c r="J412" i="1"/>
  <c r="K412" i="1" s="1"/>
  <c r="J391" i="1"/>
  <c r="K391" i="1" s="1"/>
  <c r="J379" i="1"/>
  <c r="K379" i="1" s="1"/>
  <c r="J367" i="1"/>
  <c r="K367" i="1" s="1"/>
  <c r="J355" i="1"/>
  <c r="K355" i="1" s="1"/>
  <c r="J333" i="1"/>
  <c r="K333" i="1" s="1"/>
  <c r="J322" i="1"/>
  <c r="K322" i="1" s="1"/>
  <c r="J309" i="1"/>
  <c r="K309" i="1" s="1"/>
  <c r="J297" i="1"/>
  <c r="K297" i="1" s="1"/>
  <c r="J285" i="1"/>
  <c r="K285" i="1" s="1"/>
  <c r="V281" i="1"/>
  <c r="V279" i="1"/>
  <c r="V273" i="1"/>
  <c r="V267" i="1"/>
  <c r="V257" i="1"/>
  <c r="V256" i="1"/>
  <c r="J263" i="1"/>
  <c r="K263" i="1" s="1"/>
  <c r="V262" i="1"/>
  <c r="V255" i="1"/>
  <c r="J252" i="1"/>
  <c r="K252" i="1" s="1"/>
  <c r="I233" i="1"/>
  <c r="W233" i="1" s="1"/>
  <c r="Q233" i="1"/>
  <c r="R233" i="1" s="1"/>
  <c r="V254" i="1"/>
  <c r="Q231" i="1"/>
  <c r="R231" i="1" s="1"/>
  <c r="I231" i="1"/>
  <c r="W231" i="1" s="1"/>
  <c r="J249" i="1"/>
  <c r="K249" i="1" s="1"/>
  <c r="V251" i="1"/>
  <c r="V247" i="1"/>
  <c r="V250" i="1"/>
  <c r="V248" i="1"/>
  <c r="V245" i="1"/>
  <c r="V246" i="1"/>
  <c r="V238" i="1"/>
  <c r="V239" i="1"/>
  <c r="V237" i="1"/>
  <c r="V242" i="1"/>
  <c r="V205" i="1"/>
  <c r="V233" i="1"/>
  <c r="V236" i="1"/>
  <c r="V229" i="1"/>
  <c r="V241" i="1"/>
  <c r="V232" i="1"/>
  <c r="V244" i="1"/>
  <c r="V231" i="1"/>
  <c r="V243" i="1"/>
  <c r="J240" i="1"/>
  <c r="K240" i="1" s="1"/>
  <c r="J235" i="1"/>
  <c r="K235" i="1" s="1"/>
  <c r="J227" i="1"/>
  <c r="K227" i="1" s="1"/>
  <c r="V223" i="1"/>
  <c r="V222" i="1"/>
  <c r="V224" i="1"/>
  <c r="V225" i="1"/>
  <c r="J219" i="1"/>
  <c r="K219" i="1" s="1"/>
  <c r="J228" i="1"/>
  <c r="K228" i="1" s="1"/>
  <c r="J226" i="1"/>
  <c r="K226" i="1" s="1"/>
  <c r="V220" i="1"/>
  <c r="V221" i="1"/>
  <c r="V218" i="1"/>
  <c r="V215" i="1"/>
  <c r="J217" i="1"/>
  <c r="K217" i="1" s="1"/>
  <c r="V216" i="1"/>
  <c r="J214" i="1"/>
  <c r="K214" i="1" s="1"/>
  <c r="V211" i="1"/>
  <c r="V208" i="1"/>
  <c r="V206" i="1"/>
  <c r="V207" i="1"/>
  <c r="J213" i="1"/>
  <c r="K213" i="1" s="1"/>
  <c r="V210" i="1"/>
  <c r="V209" i="1"/>
  <c r="V212" i="1"/>
  <c r="V195" i="1"/>
  <c r="V204" i="1"/>
  <c r="V198" i="1"/>
  <c r="V202" i="1"/>
  <c r="V201" i="1"/>
  <c r="V199" i="1"/>
  <c r="V203" i="1"/>
  <c r="V200" i="1"/>
  <c r="J196" i="1"/>
  <c r="K196" i="1" s="1"/>
  <c r="V194" i="1"/>
  <c r="V192" i="1"/>
  <c r="V197" i="1"/>
  <c r="V193" i="1"/>
  <c r="V182" i="1"/>
  <c r="V185" i="1"/>
  <c r="V179" i="1"/>
  <c r="V180" i="1"/>
  <c r="V176" i="1"/>
  <c r="J190" i="1"/>
  <c r="K190" i="1" s="1"/>
  <c r="J188" i="1"/>
  <c r="K188" i="1" s="1"/>
  <c r="J191" i="1"/>
  <c r="K191" i="1" s="1"/>
  <c r="V183" i="1"/>
  <c r="V189" i="1"/>
  <c r="V184" i="1"/>
  <c r="V186" i="1"/>
  <c r="V177" i="1"/>
  <c r="V187" i="1"/>
  <c r="V181" i="1"/>
  <c r="V178" i="1"/>
  <c r="J171" i="1"/>
  <c r="K171" i="1" s="1"/>
  <c r="V175" i="1"/>
  <c r="J166" i="1"/>
  <c r="K166" i="1" s="1"/>
  <c r="V172" i="1"/>
  <c r="J174" i="1"/>
  <c r="K174" i="1" s="1"/>
  <c r="V169" i="1"/>
  <c r="V151" i="1"/>
  <c r="J170" i="1"/>
  <c r="K170" i="1" s="1"/>
  <c r="J168" i="1"/>
  <c r="K168" i="1" s="1"/>
  <c r="V167" i="1"/>
  <c r="V165" i="1"/>
  <c r="V152" i="1"/>
  <c r="V142" i="1"/>
  <c r="V150" i="1"/>
  <c r="V173" i="1"/>
  <c r="V162" i="1"/>
  <c r="V160" i="1"/>
  <c r="V164" i="1"/>
  <c r="V163" i="1"/>
  <c r="V161" i="1"/>
  <c r="V154" i="1"/>
  <c r="V153" i="1"/>
  <c r="V158" i="1"/>
  <c r="V155" i="1"/>
  <c r="V157" i="1"/>
  <c r="V156" i="1"/>
  <c r="V159" i="1"/>
  <c r="J148" i="1"/>
  <c r="K148" i="1" s="1"/>
  <c r="V149" i="1"/>
  <c r="V145" i="1"/>
  <c r="V144" i="1"/>
  <c r="V137" i="1"/>
  <c r="V136" i="1"/>
  <c r="V146" i="1"/>
  <c r="V135" i="1"/>
  <c r="V141" i="1"/>
  <c r="V139" i="1"/>
  <c r="V134" i="1"/>
  <c r="J140" i="1"/>
  <c r="K140" i="1" s="1"/>
  <c r="V147" i="1"/>
  <c r="V143" i="1"/>
  <c r="V138" i="1"/>
  <c r="V111" i="1"/>
  <c r="V95" i="1"/>
  <c r="V130" i="1"/>
  <c r="V37" i="1"/>
  <c r="V71" i="1"/>
  <c r="V20" i="1"/>
  <c r="V126" i="1"/>
  <c r="V107" i="1"/>
  <c r="V91" i="1"/>
  <c r="V49" i="1"/>
  <c r="V13" i="1"/>
  <c r="V122" i="1"/>
  <c r="V103" i="1"/>
  <c r="V87" i="1"/>
  <c r="V61" i="1"/>
  <c r="V44" i="1"/>
  <c r="V28" i="1"/>
  <c r="V9" i="1"/>
  <c r="V114" i="1"/>
  <c r="V99" i="1"/>
  <c r="V79" i="1"/>
  <c r="V57" i="1"/>
  <c r="V41" i="1"/>
  <c r="V24" i="1"/>
  <c r="V6" i="1"/>
  <c r="V118" i="1"/>
  <c r="V83" i="1"/>
  <c r="V75" i="1"/>
  <c r="V64" i="1"/>
  <c r="V45" i="1"/>
  <c r="V34" i="1"/>
  <c r="V18" i="1"/>
  <c r="J12" i="1"/>
  <c r="K12" i="1" s="1"/>
  <c r="V133" i="1"/>
  <c r="V129" i="1"/>
  <c r="V125" i="1"/>
  <c r="V121" i="1"/>
  <c r="V117" i="1"/>
  <c r="V110" i="1"/>
  <c r="V106" i="1"/>
  <c r="V102" i="1"/>
  <c r="V98" i="1"/>
  <c r="V94" i="1"/>
  <c r="V90" i="1"/>
  <c r="V86" i="1"/>
  <c r="V82" i="1"/>
  <c r="V78" i="1"/>
  <c r="V74" i="1"/>
  <c r="V70" i="1"/>
  <c r="V67" i="1"/>
  <c r="V65" i="1"/>
  <c r="V60" i="1"/>
  <c r="V56" i="1"/>
  <c r="V52" i="1"/>
  <c r="V48" i="1"/>
  <c r="V43" i="1"/>
  <c r="V40" i="1"/>
  <c r="V36" i="1"/>
  <c r="V33" i="1"/>
  <c r="V31" i="1"/>
  <c r="V23" i="1"/>
  <c r="V19" i="1"/>
  <c r="V17" i="1"/>
  <c r="V8" i="1"/>
  <c r="V5" i="1"/>
  <c r="V132" i="1"/>
  <c r="V128" i="1"/>
  <c r="V124" i="1"/>
  <c r="V120" i="1"/>
  <c r="V116" i="1"/>
  <c r="V113" i="1"/>
  <c r="V109" i="1"/>
  <c r="V105" i="1"/>
  <c r="V101" i="1"/>
  <c r="V97" i="1"/>
  <c r="V93" i="1"/>
  <c r="V89" i="1"/>
  <c r="V85" i="1"/>
  <c r="V81" i="1"/>
  <c r="V77" i="1"/>
  <c r="V73" i="1"/>
  <c r="V69" i="1"/>
  <c r="V59" i="1"/>
  <c r="V55" i="1"/>
  <c r="V51" i="1"/>
  <c r="V47" i="1"/>
  <c r="V39" i="1"/>
  <c r="V30" i="1"/>
  <c r="V26" i="1"/>
  <c r="V22" i="1"/>
  <c r="V15" i="1"/>
  <c r="V11" i="1"/>
  <c r="V4" i="1"/>
  <c r="V2" i="1"/>
  <c r="V131" i="1"/>
  <c r="V127" i="1"/>
  <c r="V123" i="1"/>
  <c r="V119" i="1"/>
  <c r="V115" i="1"/>
  <c r="V112" i="1"/>
  <c r="V108" i="1"/>
  <c r="V104" i="1"/>
  <c r="V100" i="1"/>
  <c r="V96" i="1"/>
  <c r="V92" i="1"/>
  <c r="V88" i="1"/>
  <c r="V84" i="1"/>
  <c r="V80" i="1"/>
  <c r="V76" i="1"/>
  <c r="V72" i="1"/>
  <c r="V68" i="1"/>
  <c r="V66" i="1"/>
  <c r="V63" i="1"/>
  <c r="V62" i="1"/>
  <c r="V58" i="1"/>
  <c r="V54" i="1"/>
  <c r="V50" i="1"/>
  <c r="V46" i="1"/>
  <c r="V42" i="1"/>
  <c r="V38" i="1"/>
  <c r="V35" i="1"/>
  <c r="V32" i="1"/>
  <c r="V29" i="1"/>
  <c r="V25" i="1"/>
  <c r="V21" i="1"/>
  <c r="V14" i="1"/>
  <c r="V10" i="1"/>
  <c r="V7" i="1"/>
  <c r="V3" i="1"/>
  <c r="V130" i="4"/>
  <c r="V126" i="4"/>
  <c r="V122" i="4"/>
  <c r="V118" i="4"/>
  <c r="V114" i="4"/>
  <c r="V66" i="4"/>
  <c r="V14" i="4"/>
  <c r="V71" i="4"/>
  <c r="V6" i="4"/>
  <c r="V47" i="4"/>
  <c r="V59" i="4"/>
  <c r="V74" i="4"/>
  <c r="V72" i="4"/>
  <c r="V5" i="4"/>
  <c r="V110" i="4"/>
  <c r="V52" i="4"/>
  <c r="V17" i="4"/>
  <c r="V83" i="4"/>
  <c r="V68" i="4"/>
  <c r="V58" i="4"/>
  <c r="V96" i="4"/>
  <c r="V95" i="4"/>
  <c r="V28" i="4"/>
  <c r="V7" i="4"/>
  <c r="V64" i="4"/>
  <c r="V106" i="4"/>
  <c r="V31" i="4"/>
  <c r="V49" i="4"/>
  <c r="V112" i="4"/>
  <c r="V41" i="4"/>
  <c r="V105" i="4"/>
  <c r="V108" i="4"/>
  <c r="V129" i="4"/>
  <c r="V125" i="4"/>
  <c r="V121" i="4"/>
  <c r="V117" i="4"/>
  <c r="V85" i="4"/>
  <c r="V63" i="4"/>
  <c r="V76" i="4"/>
  <c r="V73" i="4"/>
  <c r="V36" i="4"/>
  <c r="V75" i="4"/>
  <c r="V70" i="4"/>
  <c r="V15" i="4"/>
  <c r="V21" i="4"/>
  <c r="V53" i="4"/>
  <c r="V55" i="4"/>
  <c r="V57" i="4"/>
  <c r="V22" i="4"/>
  <c r="V4" i="4"/>
  <c r="V103" i="4"/>
  <c r="V11" i="4"/>
  <c r="V42" i="4"/>
  <c r="V45" i="4"/>
  <c r="V3" i="4"/>
  <c r="V9" i="4"/>
  <c r="V89" i="4"/>
  <c r="V34" i="4"/>
  <c r="V38" i="4"/>
  <c r="V43" i="4"/>
  <c r="V92" i="4"/>
  <c r="V93" i="4"/>
  <c r="V128" i="4"/>
  <c r="V124" i="4"/>
  <c r="V120" i="4"/>
  <c r="V116" i="4"/>
  <c r="V48" i="4"/>
  <c r="V88" i="4"/>
  <c r="V35" i="4"/>
  <c r="V81" i="4"/>
  <c r="V24" i="4"/>
  <c r="V50" i="4"/>
  <c r="V86" i="4"/>
  <c r="V109" i="4"/>
  <c r="V69" i="4"/>
  <c r="V56" i="4"/>
  <c r="V82" i="4"/>
  <c r="V26" i="4"/>
  <c r="V16" i="4"/>
  <c r="V12" i="4"/>
  <c r="V61" i="4"/>
  <c r="V62" i="4"/>
  <c r="V101" i="4"/>
  <c r="V13" i="4"/>
  <c r="V65" i="4"/>
  <c r="V33" i="4"/>
  <c r="V97" i="4"/>
  <c r="V99" i="4"/>
  <c r="V90" i="4"/>
  <c r="V32" i="4"/>
  <c r="V91" i="4"/>
  <c r="V39" i="4"/>
  <c r="V19" i="4"/>
  <c r="V18" i="4"/>
  <c r="V127" i="4"/>
  <c r="V123" i="4"/>
  <c r="V119" i="4"/>
  <c r="V115" i="4"/>
  <c r="V113" i="4"/>
  <c r="V79" i="4"/>
  <c r="V78" i="4"/>
  <c r="V25" i="4"/>
  <c r="V10" i="4"/>
  <c r="V37" i="4"/>
  <c r="V111" i="4"/>
  <c r="V54" i="4"/>
  <c r="V51" i="4"/>
  <c r="V102" i="4"/>
  <c r="V40" i="4"/>
  <c r="V46" i="4"/>
  <c r="V23" i="4"/>
  <c r="V77" i="4"/>
  <c r="V60" i="4"/>
  <c r="V94" i="4"/>
  <c r="V84" i="4"/>
  <c r="V87" i="4"/>
  <c r="V8" i="4"/>
  <c r="V98" i="4"/>
  <c r="V44" i="4"/>
  <c r="V67" i="4"/>
  <c r="V100" i="4"/>
  <c r="V27" i="4"/>
  <c r="V29" i="4"/>
  <c r="V20" i="4"/>
  <c r="V104" i="4"/>
  <c r="R80" i="4"/>
  <c r="Q80" i="4"/>
  <c r="W80" i="4" s="1"/>
  <c r="P30" i="4"/>
  <c r="Q30" i="4"/>
  <c r="W30" i="4" s="1"/>
  <c r="Q68" i="1"/>
  <c r="R68" i="1" s="1"/>
  <c r="I68" i="1"/>
  <c r="Q27" i="1"/>
  <c r="R27" i="1" s="1"/>
  <c r="J16" i="1"/>
  <c r="K16" i="1" s="1"/>
  <c r="J405" i="1" l="1"/>
  <c r="K405" i="1" s="1"/>
  <c r="J413" i="1"/>
  <c r="K413" i="1" s="1"/>
  <c r="V408" i="1"/>
  <c r="J345" i="1"/>
  <c r="K345" i="1" s="1"/>
  <c r="V402" i="1"/>
  <c r="V401" i="1"/>
  <c r="V406" i="1"/>
  <c r="J403" i="1"/>
  <c r="K403" i="1" s="1"/>
  <c r="V409" i="1"/>
  <c r="J407" i="1"/>
  <c r="K407" i="1" s="1"/>
  <c r="V404" i="1"/>
  <c r="V371" i="1"/>
  <c r="V313" i="1"/>
  <c r="V290" i="1"/>
  <c r="V234" i="1"/>
  <c r="V230" i="1"/>
  <c r="V291" i="1"/>
  <c r="J27" i="1"/>
  <c r="K27" i="1" s="1"/>
  <c r="V27" i="1"/>
  <c r="R30" i="4"/>
  <c r="V30" i="4"/>
  <c r="R667" i="1"/>
</calcChain>
</file>

<file path=xl/sharedStrings.xml><?xml version="1.0" encoding="utf-8"?>
<sst xmlns="http://schemas.openxmlformats.org/spreadsheetml/2006/main" count="3920" uniqueCount="1173">
  <si>
    <t>order id</t>
  </si>
  <si>
    <t>order numeric id</t>
  </si>
  <si>
    <t>buyer</t>
  </si>
  <si>
    <t>seller</t>
  </si>
  <si>
    <t>product name</t>
  </si>
  <si>
    <t>product description</t>
  </si>
  <si>
    <t>product category</t>
  </si>
  <si>
    <t>processed date</t>
  </si>
  <si>
    <t>order status</t>
  </si>
  <si>
    <t>order style</t>
  </si>
  <si>
    <t>order currency</t>
  </si>
  <si>
    <t>sold price</t>
  </si>
  <si>
    <t>quantity</t>
  </si>
  <si>
    <t>subtotal</t>
  </si>
  <si>
    <t>shipping price</t>
  </si>
  <si>
    <t>taxes</t>
  </si>
  <si>
    <t>taxes currency</t>
  </si>
  <si>
    <t>credits applied</t>
  </si>
  <si>
    <t>lacekam</t>
  </si>
  <si>
    <t>goldenboutique</t>
  </si>
  <si>
    <t>SOLD AS IS.  NO CANCELLATION or RETURN. BID RESPONSIBLY THANK YOU</t>
  </si>
  <si>
    <t>Luxury Bags &amp; Accessories</t>
  </si>
  <si>
    <t>2025-03-18 04:47 (UTC)</t>
  </si>
  <si>
    <t>processing</t>
  </si>
  <si>
    <t>direct_order</t>
  </si>
  <si>
    <t>USD</t>
  </si>
  <si>
    <t>2025-03-18 04:30 (UTC)</t>
  </si>
  <si>
    <t>kreamhouse</t>
  </si>
  <si>
    <t>100% Authentic Guaranteed - Please listen to conditions and call outs.  All sales are final.</t>
  </si>
  <si>
    <t>Midrange &amp; Fashion Bags</t>
  </si>
  <si>
    <t>2025-03-18 04:16 (UTC)</t>
  </si>
  <si>
    <t>goldpawnership</t>
  </si>
  <si>
    <t>YSL Beaute Pouch (Pink) #8</t>
  </si>
  <si>
    <t>No cancelations or returns.</t>
  </si>
  <si>
    <t>cookie31021</t>
  </si>
  <si>
    <t>Other Women's Fashion</t>
  </si>
  <si>
    <t>2025-03-17 03:50 (UTC)</t>
  </si>
  <si>
    <t>jessicaluxuryclosetdealsllc</t>
  </si>
  <si>
    <t>44 total</t>
  </si>
  <si>
    <t>silhouetteparis</t>
  </si>
  <si>
    <t>Badgley Mischka Clutch Purse #5</t>
  </si>
  <si>
    <t>Wrapped Clutch Purse with Crossbody Strap (BM-4147 Green)</t>
  </si>
  <si>
    <t>2025-03-17 02:21 (UTC)</t>
  </si>
  <si>
    <t>DdnuAEaT8iMXrdBZyNgq3u</t>
  </si>
  <si>
    <t>alilthis_alilthat</t>
  </si>
  <si>
    <t>BAGS BAGS BAGS - Studio Montros floral w/pocket pink, green, tan canvas tote bag 01 NWT</t>
  </si>
  <si>
    <t>NWT</t>
  </si>
  <si>
    <t>2025-03-16 07:30 (UTC)</t>
  </si>
  <si>
    <t>house_of_luxury</t>
  </si>
  <si>
    <t>Listen For the Callouts and Condition</t>
  </si>
  <si>
    <t>2025-03-16 05:39 (UTC)</t>
  </si>
  <si>
    <t>theofficefunko</t>
  </si>
  <si>
    <t>Dior lip oil #11</t>
  </si>
  <si>
    <t>limitlessluxx_</t>
  </si>
  <si>
    <t>2025-03-15 01:10 (UTC)</t>
  </si>
  <si>
    <t>panandpiperscloset</t>
  </si>
  <si>
    <t>Condition shown</t>
  </si>
  <si>
    <t>2025-03-14 22:37 (UTC)</t>
  </si>
  <si>
    <t>houstonselects</t>
  </si>
  <si>
    <t>BRAND NEW IN BAG, 100% AUTHENTIC STYLE SHOWN ON SCREEN</t>
  </si>
  <si>
    <t>Sneakers</t>
  </si>
  <si>
    <t>2025-03-14 03:43 (UTC)</t>
  </si>
  <si>
    <t>THIS WAS SUCH A BANGER ITEM WE HAD TO PULL OUT HSD JUST TO RUN IT...AND MY TEAM DIDNT LOAD IT ... LISTEN FOR BAG INFO!!! WILL DELAY YOUR SHIPPING TIME 1-2 WEEKS IF IT IS GETTING COAED.</t>
  </si>
  <si>
    <t>2025-03-14 02:42 (UTC)</t>
  </si>
  <si>
    <t>BRAND NEW</t>
  </si>
  <si>
    <t>2025-03-14 01:04 (UTC)</t>
  </si>
  <si>
    <t>completed</t>
  </si>
  <si>
    <t>giveaway</t>
  </si>
  <si>
    <t>Condition: Like New</t>
  </si>
  <si>
    <t>Condition: Great+</t>
  </si>
  <si>
    <t>Condition: Good</t>
  </si>
  <si>
    <t>Condition: Pristine</t>
  </si>
  <si>
    <t>neonluxury</t>
  </si>
  <si>
    <t>GWP: Dior Chrome Busy Bee Iconic Phone Ring #3</t>
  </si>
  <si>
    <t>Limited Edition Dior Parfums GWP</t>
  </si>
  <si>
    <t>GWP: Dior Chrome Busy Bee Iconic Phone Ring #2</t>
  </si>
  <si>
    <t>GWP: Dior Star Charm Pink Embossed Zippy Pouch #9</t>
  </si>
  <si>
    <t xml:space="preserve">By Christian Dior Beauty </t>
  </si>
  <si>
    <t>marys_house_of_style</t>
  </si>
  <si>
    <t>Dollar run</t>
  </si>
  <si>
    <t>2025-03-10 00:01 (UTC)</t>
  </si>
  <si>
    <t>2025-03-09 23:48 (UTC)</t>
  </si>
  <si>
    <t>2025-03-09 09:37 (UTC)</t>
  </si>
  <si>
    <t>2025-03-09 09:25 (UTC)</t>
  </si>
  <si>
    <t>LOUIS VUITTON RED VERNIS LONG WALLET SCAL73 0687</t>
  </si>
  <si>
    <t>CONDITIONS AS SHOWN ON LIVE PLEASE WATCH SHOW, all items guareented 100% or your money back</t>
  </si>
  <si>
    <t>2025-03-09 08:30 (UTC)</t>
  </si>
  <si>
    <t>2025-03-09 08:10 (UTC)</t>
  </si>
  <si>
    <t>2025-03-09 08:07 (UTC)</t>
  </si>
  <si>
    <t>2025-03-09 08:02 (UTC)</t>
  </si>
  <si>
    <t>Badgley Mischka Quilted Handbag #8</t>
  </si>
  <si>
    <t>Quilted Handbag with Front Lock (BM-4044 Yellow)</t>
  </si>
  <si>
    <t>2025-03-09 07:40 (UTC)</t>
  </si>
  <si>
    <t>Badgley Mischka Clutch Purse #2</t>
  </si>
  <si>
    <t>Wrapped Clutch Purse with Chain Handle (BM-4080 Blue)</t>
  </si>
  <si>
    <t>2025-03-09 07:39 (UTC)</t>
  </si>
  <si>
    <t>Badgley Mischka Small Quilted Tote with Front Lock #7</t>
  </si>
  <si>
    <t>Badgley Mischka Middle Diamond Quilted Tote Bag with Front Lock and â€œBMâ€ Pendant (BM-4162 Stone)</t>
  </si>
  <si>
    <t>2025-03-09 07:37 (UTC)</t>
  </si>
  <si>
    <t>darwadi</t>
  </si>
  <si>
    <t>Other Accessories</t>
  </si>
  <si>
    <t>next_level_luxury</t>
  </si>
  <si>
    <t>2025-03-09 05:08 (UTC)</t>
  </si>
  <si>
    <t>athenasluxe</t>
  </si>
  <si>
    <t>all flaws shown in live</t>
  </si>
  <si>
    <t>2025-03-09 04:42 (UTC)</t>
  </si>
  <si>
    <t>2025-03-09 03:42 (UTC)</t>
  </si>
  <si>
    <t>Wallet</t>
  </si>
  <si>
    <t>2025-03-09 03:23 (UTC)</t>
  </si>
  <si>
    <t>2025-03-09 01:28 (UTC)</t>
  </si>
  <si>
    <t>2025-03-09 00:29 (UTC)</t>
  </si>
  <si>
    <t>direct_offer</t>
  </si>
  <si>
    <t>gucciteddybear</t>
  </si>
  <si>
    <t>2025-03-07 22:53 (UTC)</t>
  </si>
  <si>
    <t>Gucci Limited Edition Museum Tote #1</t>
  </si>
  <si>
    <t>2025-03-07 22:35 (UTC)</t>
  </si>
  <si>
    <t>threeluxe</t>
  </si>
  <si>
    <t>Authentic YSL "Y" Vintage Cosmetic Pouch Converted Gold Chain Strap Black Crossb</t>
  </si>
  <si>
    <t>instabagbabe</t>
  </si>
  <si>
    <t>Giveaway Juicy Pouch</t>
  </si>
  <si>
    <t>Gently used ! Free for you</t>
  </si>
  <si>
    <t>2025-03-07 21:03 (UTC)</t>
  </si>
  <si>
    <t>foreignobjects</t>
  </si>
  <si>
    <t>Louis Vuitton Taiga Clutch Bag (8182)</t>
  </si>
  <si>
    <t>Preowned items. May have flaws that are shown live, though some may be missed. All items are guaranteed authentic. "Buy Now" items, a certificate of authenticity is included. For auction items, the certificate must be purchased separately.</t>
  </si>
  <si>
    <t>2025-03-07 18:01 (UTC)</t>
  </si>
  <si>
    <t>redfashiondesignllc</t>
  </si>
  <si>
    <t>chfilove2020</t>
  </si>
  <si>
    <t>Date Code: VI0150 w/ COA!!</t>
  </si>
  <si>
    <t>Badgley Mischka Crossbody Bag #3</t>
  </si>
  <si>
    <t>Quilted Crossbody Bag with Thin Strap (BM-4146 Yellow)</t>
  </si>
  <si>
    <t>2025-03-07 04:26 (UTC)</t>
  </si>
  <si>
    <t>japanluxlifestyle</t>
  </si>
  <si>
    <t>Ty</t>
  </si>
  <si>
    <t>2025-03-07 03:35 (UTC)</t>
  </si>
  <si>
    <t>2025-03-07 03:33 (UTC)</t>
  </si>
  <si>
    <t>725. Christian Dior Beige Compact Wallet</t>
  </si>
  <si>
    <t>magicalcreations</t>
  </si>
  <si>
    <t>Other Disneyana</t>
  </si>
  <si>
    <t>2025-03-06 19:15 (UTC)</t>
  </si>
  <si>
    <t>2025-03-06 19:09 (UTC)</t>
  </si>
  <si>
    <t>2025-03-06 19:08 (UTC)</t>
  </si>
  <si>
    <t>2025-03-06 19:07 (UTC)</t>
  </si>
  <si>
    <t>2025-03-06 19:02 (UTC)</t>
  </si>
  <si>
    <t>lookwhatifoundforyou</t>
  </si>
  <si>
    <t>Charms #84</t>
  </si>
  <si>
    <t>As seen</t>
  </si>
  <si>
    <t>Thank you #16</t>
  </si>
  <si>
    <t>Thank you</t>
  </si>
  <si>
    <t>Charms #78</t>
  </si>
  <si>
    <t>Charms #77</t>
  </si>
  <si>
    <t>take2luxury</t>
  </si>
  <si>
    <t>Unbranded airpods case #1</t>
  </si>
  <si>
    <t>2025-03-06 18:25 (UTC)</t>
  </si>
  <si>
    <t>2025-03-06 04:31 (UTC)</t>
  </si>
  <si>
    <t>2025-03-05 22:12 (UTC)</t>
  </si>
  <si>
    <t>opanbins</t>
  </si>
  <si>
    <t>LEGO Animal Crossing Bunnieâ€™s Outdoor Activities Buildable Creative Playset for Kids #7938</t>
  </si>
  <si>
    <t>FO Merch #10</t>
  </si>
  <si>
    <t>Choice of FO Tote, Dustbag, Socks or Bag Hook</t>
  </si>
  <si>
    <t>ispyluxury</t>
  </si>
  <si>
    <t>Luxury Giveaway For the Chat</t>
  </si>
  <si>
    <t>2025-03-05 01:23 (UTC)</t>
  </si>
  <si>
    <t>Valentino Orlandi Camera Bag #2</t>
  </si>
  <si>
    <t>hiddengrails</t>
  </si>
  <si>
    <t>2025-03-04 09:16 (UTC)</t>
  </si>
  <si>
    <t>theboyzzz</t>
  </si>
  <si>
    <t>mUncHi cRuncHy #22</t>
  </si>
  <si>
    <t>PLEASE BID RESPONSIBLY - NO CANCELLATIONS</t>
  </si>
  <si>
    <t>mUncHi cRuncHy #20</t>
  </si>
  <si>
    <t>Gilda Paris Large Quilted Bag #4</t>
  </si>
  <si>
    <t>Gilda Paris Large Quilted Bag #2</t>
  </si>
  <si>
    <t>Badgley Mischka Large Crossbody Bag #2</t>
  </si>
  <si>
    <t>Badgley Mischka Quilted  Large Crossbody Bag with Thin Strap (BM-4176 Taupe)</t>
  </si>
  <si>
    <t>2025-03-01 05:33 (UTC)</t>
  </si>
  <si>
    <t>Valentino Orlandi Camera Bag #1</t>
  </si>
  <si>
    <t>â€œVâ€ Logo CAMERA Bag with front pocket and half chain strap(V-2000 Black)</t>
  </si>
  <si>
    <t>2025-03-01 05:24 (UTC)</t>
  </si>
  <si>
    <t>Badgley Mischka Nylon Backpack #1</t>
  </si>
  <si>
    <t>Badgley Mischka Nylon Backpack with Detachable Fanny Pack (BMB-200 Black)</t>
  </si>
  <si>
    <t>2025-03-01 05:23 (UTC)</t>
  </si>
  <si>
    <t>dealmania</t>
  </si>
  <si>
    <t>Please bid responsibly, no cancellations or exchanges.</t>
  </si>
  <si>
    <t>ashleygutlux</t>
  </si>
  <si>
    <t>Chanel No5 Novelty Tote #4</t>
  </si>
  <si>
    <t>Please read show notes for products and descriptions on novelty/VIP items. Please bid responsible no cancellations or refunds.</t>
  </si>
  <si>
    <t>2025-03-01 04:16 (UTC)</t>
  </si>
  <si>
    <t>Unlisted Bags, Totes, &amp; Duffels #4</t>
  </si>
  <si>
    <t>Please listen and watch live show for product, descriptions, and callouts. Please bid responsibly no cancellations or refunds</t>
  </si>
  <si>
    <t>LOUIS VUITTON LOCK AND KEY #4</t>
  </si>
  <si>
    <t>Lv Lock and key</t>
  </si>
  <si>
    <t>2025-03-01 03:05 (UTC)</t>
  </si>
  <si>
    <t>Condition: Great+ Date Code: CA1015 November 2005 in Spain</t>
  </si>
  <si>
    <t xml:space="preserve">Vintage long leather wallet With burgundy trim </t>
  </si>
  <si>
    <t>Authentic YSL "Y"  Vintage Cosmetic Pouch Converted Gold Chain Strap Black Crossbody         â€¢ Canvas body 
        â€¢""Y"" Design circa 2000's
        â€¢ Logo Detail on zipper pull
        â€¢ Zip Closure at Top
        â€¢ Detachable Strap
        â€¢ all season</t>
  </si>
  <si>
    <t>Goal earnings</t>
  </si>
  <si>
    <t>Floor Earnings</t>
  </si>
  <si>
    <t>Sell price</t>
  </si>
  <si>
    <t>Tory Burch Black Crossbody</t>
  </si>
  <si>
    <t>MCM Black Cloth Logo Backpack</t>
  </si>
  <si>
    <t>Pink Chloe Wallet with Lock</t>
  </si>
  <si>
    <t>List Price</t>
  </si>
  <si>
    <t>Morroccan Oil Makeup Bag</t>
  </si>
  <si>
    <t>Steve Madden Travel Set - Pink</t>
  </si>
  <si>
    <t>YSL Neon Yellow Crossbody</t>
  </si>
  <si>
    <t>Cream and Brown Purse with Black Bangle strap</t>
  </si>
  <si>
    <t>Purchase Price</t>
  </si>
  <si>
    <t>Percent Profit</t>
  </si>
  <si>
    <t>Quantity Sold</t>
  </si>
  <si>
    <t>Gross Amount Earned</t>
  </si>
  <si>
    <t>Net Profit/Loss</t>
  </si>
  <si>
    <t>Item Inventory #</t>
  </si>
  <si>
    <t>Louis Vuitton Damier Ebene Long Wallet with Double Snap</t>
  </si>
  <si>
    <t xml:space="preserve">Chanel Black Caviar Mini Wallet </t>
  </si>
  <si>
    <t>Missing Holo</t>
  </si>
  <si>
    <t>Louis Vuitton Cream Vernis Mini Zippy Wallet</t>
  </si>
  <si>
    <t>PALACE x MCDONALDS TEE SHOWN ON SCREEN ðŸ”âš¡ #10</t>
  </si>
  <si>
    <t>Louis Vuitton Monogram MM Wallet</t>
  </si>
  <si>
    <t>Gucci Flora Perfume</t>
  </si>
  <si>
    <t>Jo Malone Peony Blush Suede Fragrance</t>
  </si>
  <si>
    <t>Louis Vuitton Torpedo Blue Key Chain Pochette</t>
  </si>
  <si>
    <t xml:space="preserve">Louis Vuitton Damier Ebene Sarah Wallet </t>
  </si>
  <si>
    <t>Gucci Canvas Long Wallet with Cherry Detail</t>
  </si>
  <si>
    <t>Louis Vuitton White Murakami Sarah Wallet</t>
  </si>
  <si>
    <t>Excellent Condition</t>
  </si>
  <si>
    <t>Louis Vuitton Black Vernis Wallet</t>
  </si>
  <si>
    <t>Good Condition</t>
  </si>
  <si>
    <t>Louis Vuitton Burgundy Roxbury Purse</t>
  </si>
  <si>
    <t>Louis Vuitton Black Murakami Long Wallet</t>
  </si>
  <si>
    <t>Personal</t>
  </si>
  <si>
    <t xml:space="preserve">Louis Vuitton 2015 Christmas Animation Evasion Wallet </t>
  </si>
  <si>
    <t>Rare - Excellent condition</t>
  </si>
  <si>
    <t>MCM Sunglasses with Case</t>
  </si>
  <si>
    <t>Michael Kors Primrose Jet Setter Bag</t>
  </si>
  <si>
    <t>MCM Boston</t>
  </si>
  <si>
    <t>Louis Vuitton Damier Azur Sarah Wallet</t>
  </si>
  <si>
    <t>Dior GWP Dioriviera Tote Bag</t>
  </si>
  <si>
    <t>Gorgeous, spacious, &amp; goes great with every outfit Gucci Limited Edition Museum Tote - NWT</t>
  </si>
  <si>
    <t>Chanel Beauty Precision Tote in Terry GWP</t>
  </si>
  <si>
    <t>Personal Lv Boetie Shoulder Bag Monogram MM</t>
  </si>
  <si>
    <t>Chanel Beauty Gold CC Key Ring - GWP</t>
  </si>
  <si>
    <t>Miu Miu Blue Wallet GWP</t>
  </si>
  <si>
    <t>Notes</t>
  </si>
  <si>
    <t>Shrink</t>
  </si>
  <si>
    <t xml:space="preserve">Eeyore Travel Bag </t>
  </si>
  <si>
    <t>Disney x Primark Minnie Mouse Backpack in Black</t>
  </si>
  <si>
    <t>Disney x Primark Mickey Mouse Backpack in Cream and Tan</t>
  </si>
  <si>
    <t>Disneyland Tumbler</t>
  </si>
  <si>
    <t>Disney x Primark Large Mickey Mouse Tote with Disney Pin</t>
  </si>
  <si>
    <t>For use in modeling bags</t>
  </si>
  <si>
    <t>Prada Brown Zippy Wallet</t>
  </si>
  <si>
    <t>Logo Double Zip Camera Bag with Adjustable Brand Strap(V-3003 Taupe)</t>
  </si>
  <si>
    <t>Louis Vuitton Monogram Key Cles</t>
  </si>
  <si>
    <t>Furla Wallet in Tan</t>
  </si>
  <si>
    <t>Fair Condition</t>
  </si>
  <si>
    <t>Louis Vuitton Monogram Canvas Long Wallet</t>
  </si>
  <si>
    <t>Personal bag purchase $87.11</t>
  </si>
  <si>
    <t>Louis Vuitton Painted Bellboy Wallet</t>
  </si>
  <si>
    <t>Valentino Orlandi Camera Bag #3 in Black with Gold Hardware</t>
  </si>
  <si>
    <t xml:space="preserve">Badgley Mischka Dumpling Handback in Burgundy </t>
  </si>
  <si>
    <t>Valentino Orlandi Camera Bag #2 in White with Gold Hardware</t>
  </si>
  <si>
    <t>Badgley Mischka Gilda Paris Waffle Quilted Handbag in Black with Gunmetal Hardware</t>
  </si>
  <si>
    <t>A9EGnESty3BxfjEVBXpzJA</t>
  </si>
  <si>
    <t>Need to Make</t>
  </si>
  <si>
    <t>total</t>
  </si>
  <si>
    <t>kRrqsfjc7NUUFkdiNxavcz</t>
  </si>
  <si>
    <t>morningswithjenn</t>
  </si>
  <si>
    <t>1- Premium Pullâœ¨ Win Bid, Pick 1 Numberâœ¨ #47</t>
  </si>
  <si>
    <t>ðŸ“¢ Read Show Notes | Bid responsibly | Bids are binding</t>
  </si>
  <si>
    <t>2025-03-21 15:43 (UTC)</t>
  </si>
  <si>
    <t>QzfVCBwyuFeMag8i7Tevnw</t>
  </si>
  <si>
    <t>2574. Louis Vuitton Damier Graphite Key Case (6)</t>
  </si>
  <si>
    <t>2025-03-21 01:03 (UTC)</t>
  </si>
  <si>
    <t>SnvspJbSZGZuzS98HK2Qug</t>
  </si>
  <si>
    <t>1391. Ferragamo Red Compact Wallet</t>
  </si>
  <si>
    <t>TzM9DArNLgF8VN9chCSjfm</t>
  </si>
  <si>
    <t>2855. Louis Vuitton Monogram Tresor Wallet</t>
  </si>
  <si>
    <t>EVPBu5wCggVwiMbzdokcAt</t>
  </si>
  <si>
    <t>Luxury Giveaway #17 2764. Louis Vuitton Monogram Key Case (4)</t>
  </si>
  <si>
    <t>2025-03-20 21:34 (UTC)</t>
  </si>
  <si>
    <t>7Qgby9v9bZq49ND3Wb8DP2</t>
  </si>
  <si>
    <t>2606. Louis Vuitton Epi Brown Elise Wallet</t>
  </si>
  <si>
    <t>BvSK9S5ymPSQZumnt8N7wL</t>
  </si>
  <si>
    <t>1293. Ferragamo Black Tri-Fold Wallet</t>
  </si>
  <si>
    <t>Valentino Orlandi Camera Bag #5</t>
  </si>
  <si>
    <t>â€œVâ€ Logo Double Zip Camera Bag with Adjustable Brand Strap(V-3028S Taupe)</t>
  </si>
  <si>
    <t>2025-03-20 07:05 (UTC)</t>
  </si>
  <si>
    <t>Condition: Good, Model Number: M61730, Date Code: CA0066,  June 2006 in Spain</t>
  </si>
  <si>
    <t>Condition: Good, Model Number: M63483, Date Code: MI0954,  May 1994 in France</t>
  </si>
  <si>
    <t>Red Chanel Lambskin 6 Ring Key Holder</t>
  </si>
  <si>
    <t>Nanotv</t>
  </si>
  <si>
    <t>Louis Vuitton Murakami Kisslock Wallet</t>
  </si>
  <si>
    <t xml:space="preserve">Black Chanel Lambskin Quilted Long Wallet Series 8 </t>
  </si>
  <si>
    <t>Green Leather Bee Wallet</t>
  </si>
  <si>
    <t>NA</t>
  </si>
  <si>
    <t>Prada Canapa in Denim</t>
  </si>
  <si>
    <t>Comes with COA</t>
  </si>
  <si>
    <t>Date Sold</t>
  </si>
  <si>
    <t xml:space="preserve">Personal </t>
  </si>
  <si>
    <t>Louis Vuitton Hampsted MM White Damier Azur</t>
  </si>
  <si>
    <t>Floor on Posh is $675</t>
  </si>
  <si>
    <t>Floor on Posh is $550</t>
  </si>
  <si>
    <t>Floor on Posh is $585</t>
  </si>
  <si>
    <t>Floor on Posh is $600</t>
  </si>
  <si>
    <t>Floor on Posh is $850</t>
  </si>
  <si>
    <t>Floor on Posh is $500</t>
  </si>
  <si>
    <t>Floor on Posh is $450</t>
  </si>
  <si>
    <t>marhag</t>
  </si>
  <si>
    <t>Louis Vuitton Alma</t>
  </si>
  <si>
    <t>Great Condition</t>
  </si>
  <si>
    <t>Louis Vuitton Brown Epi Wallet</t>
  </si>
  <si>
    <t>Louis Vuitton Batignolles</t>
  </si>
  <si>
    <t>Louis Vuitton Monogram Sac Tote</t>
  </si>
  <si>
    <t>MCM Black Leather Mini Backpack</t>
  </si>
  <si>
    <t>Vintage Burberry Clutch</t>
  </si>
  <si>
    <t>Great Condition - Comes with LV Packaging</t>
  </si>
  <si>
    <t>Louis Vuitton Small Agenda</t>
  </si>
  <si>
    <t>Louis Vuitton Monogram Short Bi-Fold Wallet</t>
  </si>
  <si>
    <t>Louis Vuitton Monogram Kisslock Wallet</t>
  </si>
  <si>
    <t>Louis Vuitton Tressor Monnaie Monogram Wallet</t>
  </si>
  <si>
    <t>Chanel Beauty VIP Moon Bag</t>
  </si>
  <si>
    <t>Louis Vuitton Monogram Sarah Wallet</t>
  </si>
  <si>
    <t>Louis Vuitton Monogram Batignolles</t>
  </si>
  <si>
    <t>Louis Vuitton Monogram ldylle Rhapsody MM</t>
  </si>
  <si>
    <t>Christian Dior Pink  Tote</t>
  </si>
  <si>
    <t>Tiffany Silver Necklace Cross</t>
  </si>
  <si>
    <t>Gucci Blue Double GG Tri-Fold Wallet</t>
  </si>
  <si>
    <t>Gucci Brown Long Wallet</t>
  </si>
  <si>
    <t>Louis Vuitton Damier Ebene Tresor Wallet Date Code: GA0096 Model Number: N61736</t>
  </si>
  <si>
    <t>Ferragamo Black Tri-Fold Wallet</t>
  </si>
  <si>
    <t>LOUIS VUITTON EPI CONTINENTAL CLUTCH BIFOLD LONG WALLET</t>
  </si>
  <si>
    <t>Louis Vuitton Monogram Tresor Wallet</t>
  </si>
  <si>
    <t>Christian Dior Gold Rhinestone Necklace</t>
  </si>
  <si>
    <t>Givenchy Gold Necklace</t>
  </si>
  <si>
    <t>Tiffany Silver Necklace Pablo Picasso Heart</t>
  </si>
  <si>
    <t>Ferragamo Red Compact Wallet</t>
  </si>
  <si>
    <t>Prada Black Key Case (6)</t>
  </si>
  <si>
    <t>Gucci Maroon Tie</t>
  </si>
  <si>
    <t>Loewe Green Playing Card</t>
  </si>
  <si>
    <t>BOTTEGA VENETA INTERCCIATO LAMPSKIN</t>
  </si>
  <si>
    <t>Louis Vuitton Damier Graphite Key Case (6)</t>
  </si>
  <si>
    <t>Ferragamo Yellow Tie</t>
  </si>
  <si>
    <t>Louis Vuitton Epi Brown Elise Wallet</t>
  </si>
  <si>
    <t>Nina Ricci Burgundy Leather Trimmed Fold Over Wallet</t>
  </si>
  <si>
    <t>babybirkin</t>
  </si>
  <si>
    <t>luxwithus</t>
  </si>
  <si>
    <t>Christian Dior Lock and Key GWP</t>
  </si>
  <si>
    <t>Louis Vuitton Damier Ebene Geronimo</t>
  </si>
  <si>
    <t>Chanel Beauty Phone Ring GWP - Gold</t>
  </si>
  <si>
    <t>YSL Mirror GWP - Black and Gold</t>
  </si>
  <si>
    <t>Gucci Interlocking G Bag in Patent Raspberry Color with Silver Hardware</t>
  </si>
  <si>
    <t>N/A</t>
  </si>
  <si>
    <t xml:space="preserve">Michael Kors Passport Holder </t>
  </si>
  <si>
    <t>Like New</t>
  </si>
  <si>
    <t>Received in a FabFitFun Box</t>
  </si>
  <si>
    <t>Comps</t>
  </si>
  <si>
    <t>Range - Likely list on low end with a bid down price. List at $170</t>
  </si>
  <si>
    <t xml:space="preserve">Range - Need to list around $100 with a bid down price. </t>
  </si>
  <si>
    <t xml:space="preserve">Vary - $50 - $200. List at $175. </t>
  </si>
  <si>
    <t xml:space="preserve">Range from $225 - $430. List at $350 for bid down price. </t>
  </si>
  <si>
    <t xml:space="preserve">Comps range from $25 to $300. Avg sale price around $80. List for $165 for bid down price. </t>
  </si>
  <si>
    <t xml:space="preserve">Range from $50 to $300. List at $200 for bid down price. </t>
  </si>
  <si>
    <t>Louis Vuitton Monogram Key Case (4)</t>
  </si>
  <si>
    <t xml:space="preserve">Comps range from $25 to $100. </t>
  </si>
  <si>
    <t>Badgley Mischka Quilted Cross-Body in Plum with Gold Hardware</t>
  </si>
  <si>
    <t xml:space="preserve">Range from $200 - $1200. List at $500. </t>
  </si>
  <si>
    <t xml:space="preserve">Range from $50 to $565. Need to get a box for this wallet and list at $550 for bid down price. </t>
  </si>
  <si>
    <t xml:space="preserve">List prices between $750 - $1200. Sold on average around $800. List for $1100 for bid down price. Be sure to show with added chain and a bag charm. </t>
  </si>
  <si>
    <t xml:space="preserve">List prices $550 - $3,000. Sold $575 to $800. List at $950 for bid down price. Be sure to show with bag charm. </t>
  </si>
  <si>
    <t>Big range on comps - $125 - $800. List prices are between $600 and $1200. List for $850 and bid down.</t>
  </si>
  <si>
    <t>Prada Brown Long Wallet Brown with Swirl detail</t>
  </si>
  <si>
    <t xml:space="preserve">List price is $600 - $1500. Sold price range is $600 to $1200. List at $1200 for bid down price. </t>
  </si>
  <si>
    <t xml:space="preserve">List price is $100-325. Sale price is $60 - $300. List at $200 for bid down price. </t>
  </si>
  <si>
    <t xml:space="preserve">Floor on Posh is $110. </t>
  </si>
  <si>
    <t xml:space="preserve">Not many comps available. List at $350 for bid down price. </t>
  </si>
  <si>
    <t>Floor on Posh is $210</t>
  </si>
  <si>
    <t xml:space="preserve">List at $125. 2 in stock. </t>
  </si>
  <si>
    <t xml:space="preserve">List at $100 for bid down price. </t>
  </si>
  <si>
    <t>Floor on Posh is $75</t>
  </si>
  <si>
    <t xml:space="preserve">No direct comps. List at $899 for bid down price. </t>
  </si>
  <si>
    <t>Floor on Posh is $415</t>
  </si>
  <si>
    <t>Floor on Posh is $616</t>
  </si>
  <si>
    <t>Floor on Posh is $404</t>
  </si>
  <si>
    <t>Floor on Posh is $400</t>
  </si>
  <si>
    <t>Floor on Posh is $380</t>
  </si>
  <si>
    <t>Floor on Posh is $360</t>
  </si>
  <si>
    <t>Floor on Posh is $350</t>
  </si>
  <si>
    <t>Floor on Posh is $340</t>
  </si>
  <si>
    <t>Floor on Posh is $320</t>
  </si>
  <si>
    <t>Floor on Posh is $305</t>
  </si>
  <si>
    <t>Floor on Posh is $290</t>
  </si>
  <si>
    <t>Floor on Posh is $220</t>
  </si>
  <si>
    <t>Floor on Posh is $200</t>
  </si>
  <si>
    <t>Floor on Posh is $180</t>
  </si>
  <si>
    <t>Floor on Posh is $170</t>
  </si>
  <si>
    <t>Floor on Posh is $160</t>
  </si>
  <si>
    <t>Floor on Posh is $650</t>
  </si>
  <si>
    <t>Badgley Mischka Quilted Envelope Crossbody in Plum</t>
  </si>
  <si>
    <t>Badgley Mischka Quilted Envelope Crossbody in Grey</t>
  </si>
  <si>
    <t>Badgley Mischka Quilted Envelope Crossbody in Pink</t>
  </si>
  <si>
    <t>Givenchy Blue Necklace</t>
  </si>
  <si>
    <t>Christian Dior Gold Rhinestone Heart Necklace</t>
  </si>
  <si>
    <t>Givenchy Rose Gold Necklace</t>
  </si>
  <si>
    <t>yavuz_theposher</t>
  </si>
  <si>
    <t>Gucci GG Marmont Leather Blush Pink</t>
  </si>
  <si>
    <t>Louis Vuitton Porte Mannaie Zippy Long Wallet</t>
  </si>
  <si>
    <t>Gucci Micro Ssima GG Logo Leather 6 Key Rings Key Case</t>
  </si>
  <si>
    <t>Prada Logo Plate Saffiano Trifold Wallet in Black</t>
  </si>
  <si>
    <t>List at $350, sells at $275</t>
  </si>
  <si>
    <t>List at $300, sell for above $150</t>
  </si>
  <si>
    <t>List for $500, sell for above $300</t>
  </si>
  <si>
    <t>List for $450, sell for $300</t>
  </si>
  <si>
    <t>Celine Brown Long Wallet</t>
  </si>
  <si>
    <t>quylityluxury</t>
  </si>
  <si>
    <t>Louis Vuitton Monogram Sac Bandoliere Crossbody Vintage</t>
  </si>
  <si>
    <t>Fair Condition - zipper has been replaced</t>
  </si>
  <si>
    <t>Louis Vuitton Monogram Marceau GM - Vintage</t>
  </si>
  <si>
    <t>List at $400, sell at $250</t>
  </si>
  <si>
    <t>List at $180, sell at $110</t>
  </si>
  <si>
    <t>List for $300, sell for $200</t>
  </si>
  <si>
    <t>List at $350, sell at $250</t>
  </si>
  <si>
    <t>List at $850, sell at $500</t>
  </si>
  <si>
    <t>List at $65, sell at $50</t>
  </si>
  <si>
    <t>List at $250, sell at $175</t>
  </si>
  <si>
    <t>Rare Louis Vuitton Monogram Flower Lock Long Wallet</t>
  </si>
  <si>
    <t>Christian Louboutin Panettone Pink Rainbow Stud Wallet</t>
  </si>
  <si>
    <t>List at $500, sell at $400</t>
  </si>
  <si>
    <t>shopwithkim</t>
  </si>
  <si>
    <t>blazendary</t>
  </si>
  <si>
    <t>Versace Jeans Couture Pink Crossbody</t>
  </si>
  <si>
    <t>List at $225, Sell at $150</t>
  </si>
  <si>
    <t>Gucci Signature Calfskin Leather Gold Logo Print Bifold Wallet</t>
  </si>
  <si>
    <t>List at $400, sell at $225</t>
  </si>
  <si>
    <t xml:space="preserve">Dior Trotter Rasta Saddle Wallet </t>
  </si>
  <si>
    <t>List at $325, sell at $180</t>
  </si>
  <si>
    <t>Poshmark Floor</t>
  </si>
  <si>
    <t>Poshmark Goal</t>
  </si>
  <si>
    <t>Louis Vuitton Monogram Key Chain Pouchette</t>
  </si>
  <si>
    <t>MCM Beige Visetos Backpack</t>
  </si>
  <si>
    <t>isaacsluxury</t>
  </si>
  <si>
    <t>Louis Vuitton Tresor Wallet</t>
  </si>
  <si>
    <t>Dior Phone Ring Novelty - Star</t>
  </si>
  <si>
    <t xml:space="preserve">Fendi Monster Crossbody </t>
  </si>
  <si>
    <t>Like New Condition</t>
  </si>
  <si>
    <t>Bulgari Black long wallet with Pink Interior</t>
  </si>
  <si>
    <t>Full Inclusion - Excellent Condition</t>
  </si>
  <si>
    <t>Burberry Cream Long Wallet</t>
  </si>
  <si>
    <t>Excellent Condition (9.7/10)</t>
  </si>
  <si>
    <t>Chanel Red Caviar Wallet</t>
  </si>
  <si>
    <t>Great Condition - Full Inclusion</t>
  </si>
  <si>
    <t>Pink Ferragamo Long Wallet with Gold Hardware</t>
  </si>
  <si>
    <t>Champagne Ferragamo Long Bow Wallet with Gold Hardware</t>
  </si>
  <si>
    <t>Louis Vuitton Vernis Long Wallet in Caramel Gold Colorway</t>
  </si>
  <si>
    <t>Rare Vintage Coach Poppy Collection Pink Shoulder Bag</t>
  </si>
  <si>
    <t>Louis Vuitton Matte Vernis Double Snap Wallet</t>
  </si>
  <si>
    <t>PM Goal</t>
  </si>
  <si>
    <t>PM Floor</t>
  </si>
  <si>
    <t>Donation to the Joy Committee for Christmas Gifts for Less Fortunate Kids</t>
  </si>
  <si>
    <t xml:space="preserve">Rates between $125 and $200. List at $225 for bid down price. </t>
  </si>
  <si>
    <t xml:space="preserve">Range from $60-$265. List at $225 for bid down price. </t>
  </si>
  <si>
    <t>Gucci Guccisma Cream Wallet with Heart Logo</t>
  </si>
  <si>
    <t xml:space="preserve">Comps $200, list at $300 for bid down price. </t>
  </si>
  <si>
    <t>Range $200-$300, list at $350-375 for bid down price</t>
  </si>
  <si>
    <t>List at $350 for bid down price.</t>
  </si>
  <si>
    <t>List at $250 for bid down price</t>
  </si>
  <si>
    <t>List at $1000, sell for $650-750</t>
  </si>
  <si>
    <t>List at $125, sell for $90</t>
  </si>
  <si>
    <t>Louis Vuitton Damier Graphite Portefeuille Vasco</t>
  </si>
  <si>
    <t>List at $480, sell at $375</t>
  </si>
  <si>
    <t>DKNY Neon Yellow Crossbody</t>
  </si>
  <si>
    <t>Furla Cream and Brown Purse with Black Bangle strap</t>
  </si>
  <si>
    <t xml:space="preserve">Bottega Veneta Orange Compact Wallet </t>
  </si>
  <si>
    <t>Very Good Condition</t>
  </si>
  <si>
    <t>Burberry Leather Box Sneakers Knight 42.5EU (9.5M) $790 Retail</t>
  </si>
  <si>
    <t>Chanel Black Leather Coco Mark Bifold Wallet</t>
  </si>
  <si>
    <t>Gucci Black and Gold4-Slot Cardholder NWT Retail $330</t>
  </si>
  <si>
    <t>Gucci Guccisma Navy Bifold Wallet with Full Inclusion</t>
  </si>
  <si>
    <t>Louis Vuitton Black Epi Long Wallet with COA and LV Card</t>
  </si>
  <si>
    <t>Louis Vuitton Damier Ebene International Wallet</t>
  </si>
  <si>
    <t>Bulgari Pink Long Wallet with Silver Hardware</t>
  </si>
  <si>
    <t xml:space="preserve">Ferragamo Fully Embossed Black Leather Long Wallet </t>
  </si>
  <si>
    <t xml:space="preserve">Very few comps. List at $275 for bid down price. </t>
  </si>
  <si>
    <t>Big range in comps - List at $350 for bid down price.</t>
  </si>
  <si>
    <t>List for $170, sell for $140</t>
  </si>
  <si>
    <t>List at $350 for bid down price. Sell at $199</t>
  </si>
  <si>
    <t xml:space="preserve">List at $180, sell at $140. </t>
  </si>
  <si>
    <t>List at $200, sell whenever</t>
  </si>
  <si>
    <t>List at $225, sell at $165</t>
  </si>
  <si>
    <t>List at $150, sell at $100.</t>
  </si>
  <si>
    <t>Louis Vuitton Monogram Portefeiulle Elise Trifold Wallet Brown</t>
  </si>
  <si>
    <t>Louis Vuitton Monogram Portefeiulle Sarah Long Wallet</t>
  </si>
  <si>
    <t>Gucci Guccisma Pink Leather Top Handle Bag</t>
  </si>
  <si>
    <t>Chanel Cambone Bifold Pink Interior Comes with Box</t>
  </si>
  <si>
    <t>Dior Long Wallet - White</t>
  </si>
  <si>
    <t>Gucci Guccisma Chocolate Long Wallet with Charm</t>
  </si>
  <si>
    <t>List at $300, sell for above $190</t>
  </si>
  <si>
    <t>List at $300</t>
  </si>
  <si>
    <t>List for $550</t>
  </si>
  <si>
    <t>List for $400</t>
  </si>
  <si>
    <t>List for $225</t>
  </si>
  <si>
    <t>List for $750</t>
  </si>
  <si>
    <t>Louis Vuitton Tresor Monnaie Monogram Wallet (CA0094)</t>
  </si>
  <si>
    <t>Louis Vuitton Monogram Kisslock Wallet (CA1919)</t>
  </si>
  <si>
    <t>Gucci Bloom Canvas Wallet</t>
  </si>
  <si>
    <t>Miu Miu Red Zippy Wallet</t>
  </si>
  <si>
    <t>L 0.35 H 14.96 W 0.47</t>
  </si>
  <si>
    <t>L 3.94 H 7.48 W 0.79</t>
  </si>
  <si>
    <t>Givenchy Gold Rhinestone Heart Necklace</t>
  </si>
  <si>
    <t>L 0.6 H 18.5 W 0.57</t>
  </si>
  <si>
    <t>Christian Dior Gold Necklace</t>
  </si>
  <si>
    <t>L 0.79 H 16.54 W 0.59</t>
  </si>
  <si>
    <t>Christian Dior Gold Bracelet</t>
  </si>
  <si>
    <t>Givenchy Gold Bracelet</t>
  </si>
  <si>
    <t>Givenchy Gold Rhinestone Necklace w Black G</t>
  </si>
  <si>
    <t>Givenchy Logo Gold Necklace</t>
  </si>
  <si>
    <t>Givenchy Gold G Necklace</t>
  </si>
  <si>
    <t>YSL Gold Necklace</t>
  </si>
  <si>
    <t>L 0.2 H 6.5 W 0.2</t>
  </si>
  <si>
    <t>H 7.48</t>
  </si>
  <si>
    <t>L 0.67 H 15.75 W 0.55</t>
  </si>
  <si>
    <t>L 0.47 H 16.14 W 0.39</t>
  </si>
  <si>
    <t>L 0.59 H 16.14 W 0.47</t>
  </si>
  <si>
    <t>L 0.79 H 17.72 W 0.51</t>
  </si>
  <si>
    <t>L 0.2 H 6.89 W 0.12</t>
  </si>
  <si>
    <t>Givenchy Gold Rhinestone Lock Necklace</t>
  </si>
  <si>
    <t>Christian Dior Silver Dice Necklace</t>
  </si>
  <si>
    <t>Givenchy Gold G Clover Necklace</t>
  </si>
  <si>
    <t>Christian Dior Gold Chain Necklace with Rhinestones</t>
  </si>
  <si>
    <t>Christian Dior Gold Rhinestone Logo Necklace</t>
  </si>
  <si>
    <t>Christian Dior Gold Rhinestone Teardrop Necklace</t>
  </si>
  <si>
    <t>Givenchy Gold Logo Bracelet</t>
  </si>
  <si>
    <t>Givenchy Gold Fluer de Lys Necklace</t>
  </si>
  <si>
    <t>Christian Dior Gold and Black Logo Necklace with Rhinestones</t>
  </si>
  <si>
    <t>Starluxeboutique</t>
  </si>
  <si>
    <t>Louis Vuitton Monogram Long Wallet</t>
  </si>
  <si>
    <t>Loewe Yellow Handbag</t>
  </si>
  <si>
    <t>Valentino Black Shoulder Bag</t>
  </si>
  <si>
    <t>Givenchy Silver Necklace with Rhinestones</t>
  </si>
  <si>
    <t>luxefindstx</t>
  </si>
  <si>
    <t>Tiffany Silver Star Necklace</t>
  </si>
  <si>
    <t>Louis Vuitton Gold Keychain</t>
  </si>
  <si>
    <t>Louis Vuitton Mahina Solar PM in Powder Taupe</t>
  </si>
  <si>
    <t>Vintage White Dior Honeycomb Bag</t>
  </si>
  <si>
    <t>Chocolate Gucci Bamboo Bag</t>
  </si>
  <si>
    <t>Navy Ferragamo Wallet with Gold Hardware</t>
  </si>
  <si>
    <t>Salvatore Ferragamo Gancini Nylon Chain Evening Bag in Grey</t>
  </si>
  <si>
    <t>timelessluxe</t>
  </si>
  <si>
    <t>Givvy to the chat - expense</t>
  </si>
  <si>
    <t>Chanel Beige Icon Series Long Wallet</t>
  </si>
  <si>
    <t>Givenchy Gold Chain with Box</t>
  </si>
  <si>
    <t>Burberry Red Long Wallet</t>
  </si>
  <si>
    <t xml:space="preserve">Givenchy Gold Bracelet </t>
  </si>
  <si>
    <t>Christian Dior Gold Necklace with Black Enamel and Rhinestones</t>
  </si>
  <si>
    <t>Givenchy Gold Necklace - Givvy for Chat</t>
  </si>
  <si>
    <t>Celine Red Scarf</t>
  </si>
  <si>
    <t>MCM Cognac Mini Backpack</t>
  </si>
  <si>
    <t>Bought for Michael</t>
  </si>
  <si>
    <t>laceycl</t>
  </si>
  <si>
    <t>champagnecloset</t>
  </si>
  <si>
    <t>Louis Vuitton Damier Ebene Compact International Wallet</t>
  </si>
  <si>
    <t>Fendi Beige Selleria Long Wallet</t>
  </si>
  <si>
    <t>Givenchy Gold G Rhinestone Necklace</t>
  </si>
  <si>
    <t>Murakami White Key Cles</t>
  </si>
  <si>
    <t>Ferragamo Yellow Silk Scarf</t>
  </si>
  <si>
    <t>Bundle of LV Wallets</t>
  </si>
  <si>
    <t>Black MCM Crossbody</t>
  </si>
  <si>
    <t>Chanel Red Silk Scarf with jewels</t>
  </si>
  <si>
    <t>Chanel cloth tote</t>
  </si>
  <si>
    <t>Chanel mesh tote</t>
  </si>
  <si>
    <t>Project Louis Vuitton Neverfull</t>
  </si>
  <si>
    <t>Gucci Box</t>
  </si>
  <si>
    <t>Louis Vuitton Monogram Bag</t>
  </si>
  <si>
    <t>Louis Vuitton Monogram Speedy 30</t>
  </si>
  <si>
    <t>Fair Condition - Needs to go to cobbler</t>
  </si>
  <si>
    <t>Louis Vuitton Mini Lin Sarah Wallet</t>
  </si>
  <si>
    <t>Great condition</t>
  </si>
  <si>
    <t>theluxurycloset</t>
  </si>
  <si>
    <t>Louis Vuitton Monogram Salsa Crossbody</t>
  </si>
  <si>
    <t>Louis Vuitton Monogram Koala Wallet</t>
  </si>
  <si>
    <t>Louis Vuitton Keepall 45</t>
  </si>
  <si>
    <t>Louis Vuitton Taiga Briefcase</t>
  </si>
  <si>
    <t>Louis Vuitton Push Lock Wallet Koala</t>
  </si>
  <si>
    <t>designerbrandbag</t>
  </si>
  <si>
    <t xml:space="preserve">Gucci Pink Key Cles with Heart </t>
  </si>
  <si>
    <t>Very Good Condition - Repainted</t>
  </si>
  <si>
    <t>Sell at $400</t>
  </si>
  <si>
    <t xml:space="preserve">Louis Vuitton Accessory Pouchette </t>
  </si>
  <si>
    <t>Louis Vuitton Accessory Pouchette - Large</t>
  </si>
  <si>
    <t>jonesy_branded_luxury</t>
  </si>
  <si>
    <t>Celine shoulder bag</t>
  </si>
  <si>
    <t>Louis Vuitton Damier Ebene Columbine Tote</t>
  </si>
  <si>
    <t>MCM Black Boston</t>
  </si>
  <si>
    <t>Badgley Mischka Tweed Messenger Bag</t>
  </si>
  <si>
    <t>Bebe Malou Heart Crossbody</t>
  </si>
  <si>
    <t>Darwadi</t>
  </si>
  <si>
    <t>Louis Vuitton Monogram St Cloud Crossbody GM</t>
  </si>
  <si>
    <t>LV Monogram Long Wallet</t>
  </si>
  <si>
    <t>Givvy to the Chat</t>
  </si>
  <si>
    <t>LV Yellow Vernis Shoulder Bag</t>
  </si>
  <si>
    <t>Ferragamo Beige Handbag</t>
  </si>
  <si>
    <t>Balenciaga Red Zippy Wallet</t>
  </si>
  <si>
    <t>Christian Dior Gold Heart Logo Necklace</t>
  </si>
  <si>
    <t>Givenchy Gold Chain</t>
  </si>
  <si>
    <t>Louis Vuitton Damier Ebene Eugenie Long Wallet</t>
  </si>
  <si>
    <t>Louis Vuitton Damier Azul Studded Long Wallet</t>
  </si>
  <si>
    <t>Listed?</t>
  </si>
  <si>
    <t>Y</t>
  </si>
  <si>
    <t>N - Damaged</t>
  </si>
  <si>
    <t>N - Giveaway</t>
  </si>
  <si>
    <t>N</t>
  </si>
  <si>
    <t>Gucci Wallet - Patent Plum</t>
  </si>
  <si>
    <t>N - Keep</t>
  </si>
  <si>
    <t>N - keep</t>
  </si>
  <si>
    <t>flippingoodies</t>
  </si>
  <si>
    <t xml:space="preserve">Bottega Veneta Long Wallet Intreccia Braided Leather Dark Brown with Box </t>
  </si>
  <si>
    <t>Miu Miu Wallet</t>
  </si>
  <si>
    <t>MCM Boston Bag Small with Strap</t>
  </si>
  <si>
    <t>Louis Vuitton Black Epi Cardholder - full inclusion</t>
  </si>
  <si>
    <t>Loewe Black Cardholder - full inclusion</t>
  </si>
  <si>
    <t>Gucci Key Chain</t>
  </si>
  <si>
    <t>10 Gucci Dustbags</t>
  </si>
  <si>
    <t>N - Shrink</t>
  </si>
  <si>
    <t xml:space="preserve">LV Lock and Key </t>
  </si>
  <si>
    <t>Chanel Black Caviar Wallet - Full Inclusion</t>
  </si>
  <si>
    <t>Weber502</t>
  </si>
  <si>
    <t>Louis Vuitton Monogram Elise Wallet</t>
  </si>
  <si>
    <t>Miu Miu Red Crocodile Long Wallet</t>
  </si>
  <si>
    <t>Gucci Beige Marmont GG Long Wallet</t>
  </si>
  <si>
    <t>Louis Vuitton Two Tone Monogram and Red Sarah Wallet - Full Inclusion</t>
  </si>
  <si>
    <t>Gucci Trotter Clutch in Beige and Brown</t>
  </si>
  <si>
    <t>Ferragamo Navy Blue and Gold Studded Long Wallet</t>
  </si>
  <si>
    <t>a</t>
  </si>
  <si>
    <t>MCM Mini Boston Bag in Cognac</t>
  </si>
  <si>
    <t>Tory Burch Silver Crossbody</t>
  </si>
  <si>
    <t>Chloe Marcie in Burgundy - Large</t>
  </si>
  <si>
    <t>Courtney Everett</t>
  </si>
  <si>
    <t>Lilit_321</t>
  </si>
  <si>
    <t>See by Chloe Joan Shoulder Bag in Straw Beige/Gold</t>
  </si>
  <si>
    <t>Bag charm auction</t>
  </si>
  <si>
    <t>Road to 1K</t>
  </si>
  <si>
    <t>LV Monogram Key Cles</t>
  </si>
  <si>
    <t>Giveaways 5/2/25</t>
  </si>
  <si>
    <t>Prada Beige Compact Wallet</t>
  </si>
  <si>
    <t>Louis Vuitton Damier Ebene Neverful PM</t>
  </si>
  <si>
    <t>Gucci Beige Keychain</t>
  </si>
  <si>
    <t>Prada Muted Pink Tote Bag</t>
  </si>
  <si>
    <t>Louis Vuitton Viviene Charm</t>
  </si>
  <si>
    <t>Louis Vuitton Zebra Charm</t>
  </si>
  <si>
    <t>crysdea</t>
  </si>
  <si>
    <t>Chanel Beauty Box</t>
  </si>
  <si>
    <t>Saint Laurent YSL 2Way Pink Bag</t>
  </si>
  <si>
    <t>Louis Vuitton Damier Azul Sarah Wallet</t>
  </si>
  <si>
    <t>Sponsored ear pods for chat</t>
  </si>
  <si>
    <t>Tiffany Heart Necklace with Pouch</t>
  </si>
  <si>
    <t>Sponsored Stream</t>
  </si>
  <si>
    <t>Gucci Cherry Line Tote Bag</t>
  </si>
  <si>
    <t>Black MCM Double Flap Shoulder Bag</t>
  </si>
  <si>
    <t>chanielleluxuryny</t>
  </si>
  <si>
    <t>MCM Cognac Crossbody</t>
  </si>
  <si>
    <t>shopmichellejb</t>
  </si>
  <si>
    <t>MCM White Visetos Shoulderbag</t>
  </si>
  <si>
    <t>Louis Vuitton Damier Azul Kisslock Wallet</t>
  </si>
  <si>
    <t>Gucci Navy Monogram GG Wallet</t>
  </si>
  <si>
    <t>Gucci "Cowboy Showdown" Chocolate Wallet with Heavy Hardware</t>
  </si>
  <si>
    <t>Chanel Gold Quilted Goatskin Wallet with COA</t>
  </si>
  <si>
    <t>Gucci Champagne GG Wallet</t>
  </si>
  <si>
    <t>shopbymichellejb</t>
  </si>
  <si>
    <t>lilikoi1</t>
  </si>
  <si>
    <t>Louis Vuitton Saint Cloud GM</t>
  </si>
  <si>
    <t>Louis Vuitton Damier Ebene Verona with COA</t>
  </si>
  <si>
    <t>Silver YSL Quilted Wallet</t>
  </si>
  <si>
    <t>Bottega Venetta Intrecciato Lambskin Black Bifold</t>
  </si>
  <si>
    <t>Giveaway</t>
  </si>
  <si>
    <t>Dior Pink Pouch Givvy</t>
  </si>
  <si>
    <t>circulaire</t>
  </si>
  <si>
    <t>Bottega Veneta Brick Red Intrecciato Zip Continental Wallet</t>
  </si>
  <si>
    <t>Coral Tory Burch</t>
  </si>
  <si>
    <t>Yardsale</t>
  </si>
  <si>
    <t>Silver and Gold Tory Burch</t>
  </si>
  <si>
    <t>Burberry Classic Print Pochette / Wristlet</t>
  </si>
  <si>
    <t>BCBG Irridescent Clutch</t>
  </si>
  <si>
    <t>Michael Kors Black and Gold Wristlet</t>
  </si>
  <si>
    <t>Louis Vuitton Monogram Eclipse - Comes with COA</t>
  </si>
  <si>
    <t>Gucci Soho Champagne Wallet</t>
  </si>
  <si>
    <t>Gucci Guccisma Wallet in Black</t>
  </si>
  <si>
    <t>Chanel Pink Long Zippy Wallet</t>
  </si>
  <si>
    <t>Dior Around the World Tote Bag</t>
  </si>
  <si>
    <t>Dior Fan</t>
  </si>
  <si>
    <t>Tiffany &amp; Co Notebook</t>
  </si>
  <si>
    <t>Louis Vuitton City Guide Tote</t>
  </si>
  <si>
    <t>Fendi Hobo Shoulder bag</t>
  </si>
  <si>
    <t>crisfashionstyle</t>
  </si>
  <si>
    <t>Prada Nylon Two Way Bag</t>
  </si>
  <si>
    <t>Louis Vuitton Damier Azul Koala</t>
  </si>
  <si>
    <t>LV Vintage Crossbody Raspail</t>
  </si>
  <si>
    <t>YSL Muse in Brown with Key</t>
  </si>
  <si>
    <t>Louis Vuitton Monogram Mini Lin ldylle Rhapsody MM</t>
  </si>
  <si>
    <t>Louis Vuitton Animation Painted Bellboy Wallet</t>
  </si>
  <si>
    <t>Bottega Inrecciato Chain Shoulder Bag</t>
  </si>
  <si>
    <t>Good condition</t>
  </si>
  <si>
    <t>Givenchy Gold Layered Necklace</t>
  </si>
  <si>
    <t>Versace Small Brown Bag</t>
  </si>
  <si>
    <t>MCM Tan Visetos</t>
  </si>
  <si>
    <t>Dior Gold Circle Logo Necklace</t>
  </si>
  <si>
    <t>Christian Dior Gold Rhinestone CD Necklace</t>
  </si>
  <si>
    <t>Gucci Medium Pelham Raffia Bag</t>
  </si>
  <si>
    <t>arttefinaluxury</t>
  </si>
  <si>
    <t>Gray Burberry Bag</t>
  </si>
  <si>
    <t>Chloe Red Drew</t>
  </si>
  <si>
    <t>Chanel Black Cosmetic Bag</t>
  </si>
  <si>
    <t>Louis Vuitton Red Vernis Key Chain Coin Pouch - Full Inclusion</t>
  </si>
  <si>
    <t>Louis Vuitton Monogram Men's Cardholder - Full Inclusion</t>
  </si>
  <si>
    <t>Blue YSL Long Zippy Wallet</t>
  </si>
  <si>
    <t>Gucci Red Patent Leather Wallet with Heart Logo</t>
  </si>
  <si>
    <t>Louis Vuitton Red Epi Key Cles</t>
  </si>
  <si>
    <t>Louis Vuitton Red Epi Long Zippy Wallet - Full Inclusion</t>
  </si>
  <si>
    <t>Louis Vuitton Damier Ebene Card Holder</t>
  </si>
  <si>
    <t>Louis Vuitton Papillion Size 12</t>
  </si>
  <si>
    <t>Louis Vuitton Pochette Twin</t>
  </si>
  <si>
    <t>Louis Vuitton Chantilly Crossbody Bag</t>
  </si>
  <si>
    <t>Louis Vuitton Monogram Tresor Wallet (CA0096)</t>
  </si>
  <si>
    <t>Louis Vuitton Tresor Wallet (RA1915)</t>
  </si>
  <si>
    <t>YSL Leather 2Way Bag in Pink</t>
  </si>
  <si>
    <t>Dior Black Leather Chain Shoulder Bag</t>
  </si>
  <si>
    <t>MCM Cognac Hobo Shoulder Bag</t>
  </si>
  <si>
    <t>MCM Beige Hobo Shoulder Bag</t>
  </si>
  <si>
    <t>MCM Coral Crossbody</t>
  </si>
  <si>
    <t>Louis Vuitton St Cloud Crossbody</t>
  </si>
  <si>
    <t>MCM Burgundy Crossbody with Gold Hardware</t>
  </si>
  <si>
    <t>Louis Vuitton Caramel Vernis Shoulder Bag</t>
  </si>
  <si>
    <t>Louis Vuitton Taiga Messenger Bag</t>
  </si>
  <si>
    <t>Tiffany Elsa Perreti Heart Necklace</t>
  </si>
  <si>
    <t>Louis Vuitton Monogram Sarah Wallet with Fushia Interior</t>
  </si>
  <si>
    <t>luxe_off</t>
  </si>
  <si>
    <t>Gucci Pink Butterfly Long Wallet</t>
  </si>
  <si>
    <t>Louis Vuitton Compact Lock and Key Wallet - Limited Edition</t>
  </si>
  <si>
    <t>Black Tory Burch Rounded Crossbody with Gold Hardware</t>
  </si>
  <si>
    <t>Camel Tory Burch Rounded Crossbody with Gold Hardware with Dust Bag</t>
  </si>
  <si>
    <t>Marc Jacobs Navy Chain Flap Crossbody</t>
  </si>
  <si>
    <t>New Never Worn</t>
  </si>
  <si>
    <t>Tan Tory Burch Crossbody with Gold Hardware</t>
  </si>
  <si>
    <t>Camel Tory Burch Crossbody with Gold Hardware</t>
  </si>
  <si>
    <t>Black Tory Burch Two Way Top Handle Crossbody Bag (Said sell for $300)</t>
  </si>
  <si>
    <t>MCM Black and Snake Skin Limited Edition Crossbody (Said sell for $300)</t>
  </si>
  <si>
    <t>servinmyaunty</t>
  </si>
  <si>
    <t>Prada Milano 00's Agento Nylon Bag in Light Blue</t>
  </si>
  <si>
    <t>Chloe Small Gray Marcie Satchel</t>
  </si>
  <si>
    <t>ambervandenberg</t>
  </si>
  <si>
    <t>Hand Painted Baby Pink Chloe Marcie</t>
  </si>
  <si>
    <t>sophiej714</t>
  </si>
  <si>
    <t>Salvatore Ferragamo Gancini Denim x Leather Tote Bag</t>
  </si>
  <si>
    <t>Louis Vuitton Damier Ebene Wallet - Hand Painted with Palm Beach</t>
  </si>
  <si>
    <t>k-saatee-luxury</t>
  </si>
  <si>
    <t>Louis Vuitton Cream Vernis Key Cles / Coin Pouch</t>
  </si>
  <si>
    <t>Louis Vuitton Brown Epi Bracelet</t>
  </si>
  <si>
    <t>Like new full inclusion with COA</t>
  </si>
  <si>
    <t>Red Tory Burch Flap bag with Braided Red and Gold Chain</t>
  </si>
  <si>
    <t>Blue MCM 2Way Bag with Silver Hardware</t>
  </si>
  <si>
    <t>Grey MCM Crocodile Embossed Tote with Gunmetal Hardware</t>
  </si>
  <si>
    <t>Grey MCM Hobo Tote with Silver Hardware</t>
  </si>
  <si>
    <t>Chloe GWP Crossbody Bag</t>
  </si>
  <si>
    <t>Blue MCM Boston Bag</t>
  </si>
  <si>
    <t>Good - Condition</t>
  </si>
  <si>
    <t>Marc Jacobs Light Brown 2Way Bag</t>
  </si>
  <si>
    <t>Louis Vuitton Red Vernis Top Handle Bag</t>
  </si>
  <si>
    <t>Louis Vuitton Tivoli Top Handle Bag</t>
  </si>
  <si>
    <t xml:space="preserve">Blue MCM 2Way Bag </t>
  </si>
  <si>
    <t>Louis Vuitton Yellow Epi Continental Long Wallet</t>
  </si>
  <si>
    <t>Gucci Soho Long Flap Crossbody</t>
  </si>
  <si>
    <t>Sponsor JBLs</t>
  </si>
  <si>
    <t>Christian Dior Heart Necklace</t>
  </si>
  <si>
    <t>Hermes Brown Bracelet</t>
  </si>
  <si>
    <t>Louis Vuitton Bucket Pouchette</t>
  </si>
  <si>
    <t>Kate Spade Tan Tote</t>
  </si>
  <si>
    <t>boltluxury</t>
  </si>
  <si>
    <t>haleymjayy</t>
  </si>
  <si>
    <t>Chloe Pink Bow Wallet</t>
  </si>
  <si>
    <t>Chloe Hot Pink Wallet</t>
  </si>
  <si>
    <t>Giveaway brooch</t>
  </si>
  <si>
    <t>Giveaway Earbuds</t>
  </si>
  <si>
    <t>Fendi Petit 2Way Shoulder Handbag Multicolor</t>
  </si>
  <si>
    <t>Miu Miu Grey and White Shoulderbag</t>
  </si>
  <si>
    <t>MCM Beige Reversable Tote</t>
  </si>
  <si>
    <t>Red and White Tory Burch Crossbody</t>
  </si>
  <si>
    <t>Grey Blue Prada Nylon Tote (Sell $420 to $450)</t>
  </si>
  <si>
    <t>Burberry Baguette Style Tote</t>
  </si>
  <si>
    <t>Hermes Hot Pink Second Bag</t>
  </si>
  <si>
    <t>Buyee</t>
  </si>
  <si>
    <t>Gucci Cherry Line Boston</t>
  </si>
  <si>
    <t>Gucci Bamboo Tote with Tassle</t>
  </si>
  <si>
    <t>Prada Tote</t>
  </si>
  <si>
    <t>Chloe Marcie in Pink</t>
  </si>
  <si>
    <t>Gucci Bucket Bag in Black</t>
  </si>
  <si>
    <t>Chanel Black and White Tote</t>
  </si>
  <si>
    <t>Louis Vuitton Mini Camile 2Way</t>
  </si>
  <si>
    <t>Louis Vuitton Bordeaux Crossbody</t>
  </si>
  <si>
    <t>Louis Vuitton Looping GM</t>
  </si>
  <si>
    <t>Ajneluna</t>
  </si>
  <si>
    <t xml:space="preserve">Pink MCM Wallet </t>
  </si>
  <si>
    <t>Vintage Coach Hobo with Orange Detail</t>
  </si>
  <si>
    <t>MCM Cognac Bucket Bag</t>
  </si>
  <si>
    <t xml:space="preserve">MCM Hobo Shoulder Bag in Cream </t>
  </si>
  <si>
    <t>Limited Edition Silver MCM Tote with Pink Sky Interior</t>
  </si>
  <si>
    <t>LuxLux</t>
  </si>
  <si>
    <t>Chloe Paddington Champagne</t>
  </si>
  <si>
    <t xml:space="preserve">Louis Vuitton Looping GM </t>
  </si>
  <si>
    <t>Jimmy Choo Purple Wallet</t>
  </si>
  <si>
    <t>AshleyJordan</t>
  </si>
  <si>
    <t>LV Luggage Tag</t>
  </si>
  <si>
    <t>laceluxx</t>
  </si>
  <si>
    <t>Giveaway Costs</t>
  </si>
  <si>
    <t>Wen</t>
  </si>
  <si>
    <t>Prada Envelope Crossbody in Red</t>
  </si>
  <si>
    <t>Fendi Cloth Backpack</t>
  </si>
  <si>
    <t>Vestiaire</t>
  </si>
  <si>
    <t>Labubu and clothes</t>
  </si>
  <si>
    <t>Display</t>
  </si>
  <si>
    <t>Giveaway cost</t>
  </si>
  <si>
    <t>Gucci Web Cherry Line Interlocking Crossbody</t>
  </si>
  <si>
    <t>Louis Vuitton Monogram Noe Shoulder Bag</t>
  </si>
  <si>
    <t>NeonLuxury</t>
  </si>
  <si>
    <t>Show Promotion</t>
  </si>
  <si>
    <t>StyledbyBrittany</t>
  </si>
  <si>
    <t>Vintage Coach Wallet in Blue</t>
  </si>
  <si>
    <t>Black Logo Coach Wristlet</t>
  </si>
  <si>
    <t>Fendi Leather MIA Bag</t>
  </si>
  <si>
    <t>Coach Tan Shoulder Bag</t>
  </si>
  <si>
    <t>Rerun promotion</t>
  </si>
  <si>
    <t>Coach Signature Wristlet</t>
  </si>
  <si>
    <t>Coach Purple Wristlet</t>
  </si>
  <si>
    <t>Ringabag</t>
  </si>
  <si>
    <t>Prada Grey Grained Leather Tote</t>
  </si>
  <si>
    <t>Burberry Maroon Backpack with Black and Gold Hardware</t>
  </si>
  <si>
    <t>Excellent Condition - Comes with COA</t>
  </si>
  <si>
    <t>Black Gucci Soho Crossbody</t>
  </si>
  <si>
    <t>Blue MCM 2Way Shoulder Bag with Gold Hardware</t>
  </si>
  <si>
    <t>Orange MCM Two Way with Gold Hardware</t>
  </si>
  <si>
    <t xml:space="preserve">Gucci Pug Bag </t>
  </si>
  <si>
    <t>Fair Condition - Comes with COA</t>
  </si>
  <si>
    <t>Large Cream MCM Hobo</t>
  </si>
  <si>
    <t>Large MCM Cognac Backpack</t>
  </si>
  <si>
    <t>Large Lavender MCM Two Way with Silver Hardware</t>
  </si>
  <si>
    <t xml:space="preserve">Purple MCM Crossbody with Chunky Gold Chain and Tassle </t>
  </si>
  <si>
    <t>cece_wong</t>
  </si>
  <si>
    <t>Chloe Drew in Muted Pink with Gold Hardware</t>
  </si>
  <si>
    <t>Sent to RR</t>
  </si>
  <si>
    <t>Needs to go to cobbler</t>
  </si>
  <si>
    <t>Blue MCM 2Way Bag</t>
  </si>
  <si>
    <t xml:space="preserve">Prada Canapa in Denim </t>
  </si>
  <si>
    <t>Chloe Beige Bag</t>
  </si>
  <si>
    <t xml:space="preserve">Gucci 348715 Denim Hawaii Limited Denim Tote Bag Shoulder Bag Blue </t>
  </si>
  <si>
    <t>Shipping for Givvys</t>
  </si>
  <si>
    <t>Promotion</t>
  </si>
  <si>
    <t>Red Gucci Shoulder Bag</t>
  </si>
  <si>
    <t>Prada White Nylon Chain Tote Bag</t>
  </si>
  <si>
    <t>Louis Vuitton Noe in Blue Epi</t>
  </si>
  <si>
    <t>Ferragamo Brown Top Handle Bag</t>
  </si>
  <si>
    <t>Louis Vuitton Gamble Bracelet</t>
  </si>
  <si>
    <t>Blue Suede Coach Shoulder Bag</t>
  </si>
  <si>
    <t>See by Chloe Beige Leather and Suede Crossbody</t>
  </si>
  <si>
    <t>phdshopper</t>
  </si>
  <si>
    <t>YSL Hot Pink Kate Crossbody</t>
  </si>
  <si>
    <t>Kirin Vintage</t>
  </si>
  <si>
    <t>Burberry Pink Leather Crossbody</t>
  </si>
  <si>
    <t>Kim B</t>
  </si>
  <si>
    <t>MCM Black Bucket Shoulder Bag</t>
  </si>
  <si>
    <t>Giveaway costs 1</t>
  </si>
  <si>
    <t>Add spend</t>
  </si>
  <si>
    <t>ouiluxury</t>
  </si>
  <si>
    <t>Louis Vuitton Stephen Sprouse Graffiti Key Ring &amp; Bijoux Sac Graffiti Bag Charm</t>
  </si>
  <si>
    <t>Chanel Zippy Wallet</t>
  </si>
  <si>
    <t>theluxurylabelnashville</t>
  </si>
  <si>
    <t>Hermes Perwinkle Cuff Bracelet</t>
  </si>
  <si>
    <t>MCM Brown Shoulder Bag with Gold Chain</t>
  </si>
  <si>
    <t>Wallet Giveaway</t>
  </si>
  <si>
    <t>mmkollection</t>
  </si>
  <si>
    <t>Gucci Red Soho Leather Disco Crossbody</t>
  </si>
  <si>
    <t>Louis Vuitton Monogram Gold Key Chain</t>
  </si>
  <si>
    <t>Giveaway Ferragamo Black Zippy Wallet</t>
  </si>
  <si>
    <t>Celine Madame Shoulder Bag</t>
  </si>
  <si>
    <t>Goldenboutique</t>
  </si>
  <si>
    <t>Black Ferragamo Hobo</t>
  </si>
  <si>
    <t>Winning Black Bag</t>
  </si>
  <si>
    <t>MCM Small Saddle Bag Style Shoulder Bag Cognac with Orange Lining Baguette</t>
  </si>
  <si>
    <t>Black 2Way MCM Large Bag with Gold Hardware</t>
  </si>
  <si>
    <t>Promotion Spend - 5/31/25 Show</t>
  </si>
  <si>
    <t>MCM Cream Wallet with Pink and Purple Accents</t>
  </si>
  <si>
    <t>Giveaway Spend - Shipping 5/30/25 Show</t>
  </si>
  <si>
    <t>Road to 1K - 5/30/25 Show</t>
  </si>
  <si>
    <t>Giveaway Spend - Product 5/30/25 Show</t>
  </si>
  <si>
    <t>Road to 1K -6/1/25 Show</t>
  </si>
  <si>
    <t>Auction bag charms</t>
  </si>
  <si>
    <t>Giveaway Spend - 6/1/25</t>
  </si>
  <si>
    <t>Promotion Spend - 6/1/25</t>
  </si>
  <si>
    <t>causeimb</t>
  </si>
  <si>
    <t>the-luxury-closet</t>
  </si>
  <si>
    <t>Prada Tessuto Stencil Hobo Nylon Light Blue Bag</t>
  </si>
  <si>
    <t>Michael Kors Tassel Hobo - Light Brown</t>
  </si>
  <si>
    <t>Louis Vuitton Monogram Compigne 28</t>
  </si>
  <si>
    <t>YSLBlack Bifold wallet with box</t>
  </si>
  <si>
    <t>Gucci Slouchy Hobo Bag with Charm</t>
  </si>
  <si>
    <t>Black Coach Shoulder Bag</t>
  </si>
  <si>
    <t>Givenchy Shoulder Bag with Gold Detail</t>
  </si>
  <si>
    <t>Louis Vuitton Monogram Reporter PM</t>
  </si>
  <si>
    <t>Chloe Paddington in Brown</t>
  </si>
  <si>
    <t>Gucci GG Canvas Accessory Mini Handbag</t>
  </si>
  <si>
    <t>Gucci GG Sherry Line Tote Bag</t>
  </si>
  <si>
    <t>Louis Vuitton Monogram Denim Neo Cabii MM 2Way Handbag (TH4009)</t>
  </si>
  <si>
    <t>Gucci GG Supreme Sherry Line Tote Bag</t>
  </si>
  <si>
    <t>Juicy Coutour Barrel Bag</t>
  </si>
  <si>
    <t>Black Tory Burch Crossbody with Tassel</t>
  </si>
  <si>
    <t>Camel Tory Burch Crossbody Fold-over with Zipper Tassel</t>
  </si>
  <si>
    <t>Grey MCM Micro Wallet</t>
  </si>
  <si>
    <t>Black Tory Burch Crossbody with Tassel and braided strap</t>
  </si>
  <si>
    <t>Green Vernis Pouchette</t>
  </si>
  <si>
    <t>reclaimedluxe</t>
  </si>
  <si>
    <t>Givvy</t>
  </si>
  <si>
    <t>Burberry White Blanket</t>
  </si>
  <si>
    <t>Promotion Givvy</t>
  </si>
  <si>
    <t>Purple MCM Wallet</t>
  </si>
  <si>
    <t>Black Snakeskin Metro City with Gold Hardware and Braided Strap</t>
  </si>
  <si>
    <t>Hermes Gold H Bracelet</t>
  </si>
  <si>
    <t>cost of giveaways - 6/4/25</t>
  </si>
  <si>
    <t>Cost of Promo - 6/4/25</t>
  </si>
  <si>
    <t>Coach Agenda</t>
  </si>
  <si>
    <t>Giveaway Spend - 6/5 Show P2</t>
  </si>
  <si>
    <t>Promotion Spend 6/5 Show P2</t>
  </si>
  <si>
    <t>Run of a Bag Charm</t>
  </si>
  <si>
    <t>Longchamp</t>
  </si>
  <si>
    <t>Giveaway Spend - 6/8/25</t>
  </si>
  <si>
    <t>Promotion 6/8 Show</t>
  </si>
  <si>
    <t>Louis Vuitton Mahina Monogram Black Leather Hobo Bag</t>
  </si>
  <si>
    <t>Louis Vuitton Damier Azur Key Cles</t>
  </si>
  <si>
    <t>Julia</t>
  </si>
  <si>
    <t>White and Grey Fendi Spy Bag</t>
  </si>
  <si>
    <t>Louis Vuitton Damier Azur Neverfull MM</t>
  </si>
  <si>
    <t>Gucci Bum Bag</t>
  </si>
  <si>
    <t>Rachelbar</t>
  </si>
  <si>
    <t>Prada Leather Tote Bag in Blue</t>
  </si>
  <si>
    <t>Black Tory Burch Foldover Bag with Silver Hardware and Braided Edging</t>
  </si>
  <si>
    <t>Limited Edition Purple MCM Shoulderbag with Silver Hardware</t>
  </si>
  <si>
    <t>Coach Brown Logo Tote</t>
  </si>
  <si>
    <t>Coach Brown and Rainbow Logo Tote</t>
  </si>
  <si>
    <t>Black MCM Tote Bag with Gold Hardware</t>
  </si>
  <si>
    <t>Black MCM Crossbody with Gold Hardware</t>
  </si>
  <si>
    <t>Black MCM Vernis Visetos Shoulderbag</t>
  </si>
  <si>
    <t>Black MCM Visetos Bucket Bag with Silver Hardware and MCM Charm</t>
  </si>
  <si>
    <t>Black MCM Mini Bucket Bag with Silver Hardware</t>
  </si>
  <si>
    <t>Mini Limited Edition MCM Backpack with Detachable Front Pocket in Yellow</t>
  </si>
  <si>
    <t>Black Quilted MCM Backpack</t>
  </si>
  <si>
    <t>Giveaway Shipping</t>
  </si>
  <si>
    <t>Road to 1K sales</t>
  </si>
  <si>
    <t>Days Held</t>
  </si>
  <si>
    <t>Tory Burch Geometric Colorful Second Bag</t>
  </si>
  <si>
    <t>Michael Kors Blush Pink Hobo</t>
  </si>
  <si>
    <t>BrooklynDeals</t>
  </si>
  <si>
    <t>Black Coach Bum Bag</t>
  </si>
  <si>
    <t>Giveaway Spend</t>
  </si>
  <si>
    <t>Badgley Mischka Crossbody</t>
  </si>
  <si>
    <t>Promo Spend</t>
  </si>
  <si>
    <t>Bag Auction</t>
  </si>
  <si>
    <t>Purple MCM Bag</t>
  </si>
  <si>
    <t>Black Tory Burch Crossbody</t>
  </si>
  <si>
    <t>Orange MCM Crossbody</t>
  </si>
  <si>
    <t>Black MCM Tote Bag with Silver Lion</t>
  </si>
  <si>
    <t>COA for Gucci Hobo</t>
  </si>
  <si>
    <t>Louis Vuitton Monogram Montsouris MM </t>
  </si>
  <si>
    <t>ekproductions_808</t>
  </si>
  <si>
    <t>Tips</t>
  </si>
  <si>
    <t>Coach Poppy Wallet</t>
  </si>
  <si>
    <t>Coach Poppy Card Holder</t>
  </si>
  <si>
    <t>Coach Black Logo Wallet</t>
  </si>
  <si>
    <t>Ronnie1397</t>
  </si>
  <si>
    <t>bill_rose29</t>
  </si>
  <si>
    <t>Orange MCM Shoulder Bag with Gold Hardware</t>
  </si>
  <si>
    <t>Louis Vuitton Cigarette Case</t>
  </si>
  <si>
    <t>Louis Vuitton Green Agenda MM</t>
  </si>
  <si>
    <t>Tory Burch Blue Flowers Crossbody with Gold Hardware</t>
  </si>
  <si>
    <t>Tory Burch Camel Crossbody with Tan Strap</t>
  </si>
  <si>
    <t>Louis Vuitton Yellow Epi Coin Pouch</t>
  </si>
  <si>
    <t>Louis Vuitton Mini Wallet</t>
  </si>
  <si>
    <t>Louis Vuitton Blue Epi Agenda</t>
  </si>
  <si>
    <t>EG Auctions</t>
  </si>
  <si>
    <t xml:space="preserve">Louis Vuitton Monogram Poche Toilette 25 </t>
  </si>
  <si>
    <t>Chloe Keri Leather Bordeaux Tote Bag</t>
  </si>
  <si>
    <t xml:space="preserve">Blue YSL Micro Wallet </t>
  </si>
  <si>
    <t>helicopterhelicopter</t>
  </si>
  <si>
    <t>Promotion Cost</t>
  </si>
  <si>
    <t>Janette</t>
  </si>
  <si>
    <t>Christian Louboutin Dark Denim Sweet Cherity Bag</t>
  </si>
  <si>
    <t>love20010</t>
  </si>
  <si>
    <t>Louis Vuitton Monogram Galleria PM</t>
  </si>
  <si>
    <t xml:space="preserve">Good Condition </t>
  </si>
  <si>
    <t>Gucci Logo PVC Cosmetic Pouch/Clutch</t>
  </si>
  <si>
    <t>Louis Vuitton Epi Bijoux Sac Fluer de Key Ring Bag Charm</t>
  </si>
  <si>
    <t xml:space="preserve">Chanel Camellia CC Logo Gold Tone Earrings </t>
  </si>
  <si>
    <t>Chanel Satin Chain Shoulder Bag in Coral</t>
  </si>
  <si>
    <t>Bag Charm Auction</t>
  </si>
  <si>
    <t>Giveaway Cost</t>
  </si>
  <si>
    <t>Promo Cost</t>
  </si>
  <si>
    <t>Black Dior Monogram Bag with Stitch and Braiding Detail</t>
  </si>
  <si>
    <t>Gucci GG Canvas Abbey D Ring Shoulder Bag</t>
  </si>
  <si>
    <t>Black Gucci GG Canvas Abey Shoulder Bag</t>
  </si>
  <si>
    <t>Bagsbyjoey</t>
  </si>
  <si>
    <t>Cyrill</t>
  </si>
  <si>
    <t>MarineVintage</t>
  </si>
  <si>
    <t>Mas</t>
  </si>
  <si>
    <t>Fendi Logo Crossbody Vintage</t>
  </si>
  <si>
    <t>Ebay</t>
  </si>
  <si>
    <t>Louis Vuitton Galleria PM Shoulder Bag</t>
  </si>
  <si>
    <t>Camille - Vestiare</t>
  </si>
  <si>
    <t>Gucci Abbey in Black</t>
  </si>
  <si>
    <t>eszgrail</t>
  </si>
  <si>
    <t>Celine Fluo Pink Drummed Leather Mini Luggage Tote Bag</t>
  </si>
  <si>
    <t xml:space="preserve">Balenciaga Grey Wallet with Box </t>
  </si>
  <si>
    <t>raquel88</t>
  </si>
  <si>
    <t>Black Ferragamo Square Bag</t>
  </si>
  <si>
    <t>See by Chloe Maroon Crossbody</t>
  </si>
  <si>
    <t>Green MCM Handbag with Contrast Stitching</t>
  </si>
  <si>
    <t>Black MCM Hobo Bag with Long Strap and pull closure</t>
  </si>
  <si>
    <t xml:space="preserve">Louis Vuitton Neverfull </t>
  </si>
  <si>
    <t>ellendavis214</t>
  </si>
  <si>
    <t>skygirl48579</t>
  </si>
  <si>
    <t>Louis Vuitton Artsy MM Monogram Canvas Handbag</t>
  </si>
  <si>
    <t>Denim Gucci Soho Tote Bag</t>
  </si>
  <si>
    <t>Burberry Black Check Bifold Wallet</t>
  </si>
  <si>
    <t>Louis Vuitton International Wallet</t>
  </si>
  <si>
    <t>Gifted</t>
  </si>
  <si>
    <t>Coach Lemon Wristlet</t>
  </si>
  <si>
    <t>Kate Spade Hot Pink Bag</t>
  </si>
  <si>
    <t>Mine</t>
  </si>
  <si>
    <t>Valentino Orlandi Black Bag</t>
  </si>
  <si>
    <t>abrih98</t>
  </si>
  <si>
    <t>White Valentino Orlandi</t>
  </si>
  <si>
    <t>havekiss</t>
  </si>
  <si>
    <t>Tan Valentino Orlandi</t>
  </si>
  <si>
    <t>Nicole</t>
  </si>
  <si>
    <t>Burberry Bifold Blue</t>
  </si>
  <si>
    <t>Ferragamo Wallet</t>
  </si>
  <si>
    <t>Cherries</t>
  </si>
  <si>
    <t>Mercari</t>
  </si>
  <si>
    <t>Celine Leather Hobo Bag</t>
  </si>
  <si>
    <t>Poshmark</t>
  </si>
  <si>
    <t>Gucci Continental Wallet in Beige</t>
  </si>
  <si>
    <t>Fendi Blue Denim Mine Spy Hobo</t>
  </si>
  <si>
    <t>Lot of LV Key Holders, Wallets, and Phone cases</t>
  </si>
  <si>
    <t>Quylityluxury</t>
  </si>
  <si>
    <t>Louis Vuitton Monogram Eclipse Coin Card Holder Holiday Animation</t>
  </si>
  <si>
    <t>NEW MCM Pink Crossbody</t>
  </si>
  <si>
    <t>Bottega Venetta Zip Around Wallet in Cream</t>
  </si>
  <si>
    <t>luxebylexis</t>
  </si>
  <si>
    <t>Tory Burch Black Top Handle</t>
  </si>
  <si>
    <t>Kate Spade Cognac Crescent Crossbody</t>
  </si>
  <si>
    <t>Michael Kors Braided Top Handle Bag</t>
  </si>
  <si>
    <t>BRAND NEW with Tags</t>
  </si>
  <si>
    <t>Beige Valentino Orlandi Crossbody with Gold Hardware</t>
  </si>
  <si>
    <t>Louis Vuitton Monogram Alma</t>
  </si>
  <si>
    <t>Louis Vuitton Sac Plat</t>
  </si>
  <si>
    <t>thekikicollection</t>
  </si>
  <si>
    <t>Louis Vuitton Green Epi Long Wallet</t>
  </si>
  <si>
    <t>Louis Vuitton Red Epi Mini Wallet</t>
  </si>
  <si>
    <t>Gucci Key Holder</t>
  </si>
  <si>
    <t>With Whatnot Fee</t>
  </si>
  <si>
    <t>Louis Vuitton Murakami Judy MM</t>
  </si>
  <si>
    <t>Louis Vuitton Black Murakami Judy GM wo strap</t>
  </si>
  <si>
    <t>Louis Vuitton Damier Sauvage Crossbody</t>
  </si>
  <si>
    <t>arkollab</t>
  </si>
  <si>
    <t>Louis Vuitton Speedy</t>
  </si>
  <si>
    <t>coolkicks</t>
  </si>
  <si>
    <t>Promo</t>
  </si>
  <si>
    <t>For Giveaways</t>
  </si>
  <si>
    <t>Louis Vuitton Monogram Artsy</t>
  </si>
  <si>
    <t>Chloe Paddington in Cream</t>
  </si>
  <si>
    <t>Louis Vuitton Sarah Long Wallet</t>
  </si>
  <si>
    <t>Louis Vuitton Damier Ebene Bloomsbury</t>
  </si>
  <si>
    <t>Sponsor Airpods for the Chat</t>
  </si>
  <si>
    <t>Chanel Travel Line Bag</t>
  </si>
  <si>
    <t>Gucci GG Supreme Apple Small Padlock Bag</t>
  </si>
  <si>
    <t>Dior Blue Kisslock Clutch</t>
  </si>
  <si>
    <t>Louis Vuitton Black Epi Wallet</t>
  </si>
  <si>
    <t>hobby_shop_luxury</t>
  </si>
  <si>
    <t xml:space="preserve">Black crossbody </t>
  </si>
  <si>
    <t>kikiscollection</t>
  </si>
  <si>
    <t>Christian Dior VIP Makeup Pouch</t>
  </si>
  <si>
    <t>Versace GWP Tote Bag</t>
  </si>
  <si>
    <t>theshoegameco</t>
  </si>
  <si>
    <t>Buy me an Energy Drink</t>
  </si>
  <si>
    <t>Project Louis Auction</t>
  </si>
  <si>
    <t>Denim Shein Bag</t>
  </si>
  <si>
    <t>Promotion Spend</t>
  </si>
  <si>
    <t>Michael Kors Blue Jean Bag</t>
  </si>
  <si>
    <t>Michael Kors Black Snakeskin Wallet</t>
  </si>
  <si>
    <t>Kate Spade Clover Bag</t>
  </si>
  <si>
    <t>LV Cup</t>
  </si>
  <si>
    <t>murielcol</t>
  </si>
  <si>
    <t>Bright Pink MCM Wallet</t>
  </si>
  <si>
    <t>Project Gucci Bag</t>
  </si>
  <si>
    <t>Project</t>
  </si>
  <si>
    <t xml:space="preserve">Tory Bag </t>
  </si>
  <si>
    <t>Donation</t>
  </si>
  <si>
    <t>Michael Kors Metallic Blue Bag with Guitar Strap</t>
  </si>
  <si>
    <t>Bright Pink Fendi Bag</t>
  </si>
  <si>
    <t>Gucci Bamboo Mini Backpack</t>
  </si>
  <si>
    <t>Light Pink Balenciaga Bag</t>
  </si>
  <si>
    <t>topluxxe</t>
  </si>
  <si>
    <t>Louis Vuitton Alma Painted Red</t>
  </si>
  <si>
    <t>Promo Giveaway</t>
  </si>
  <si>
    <t>Christian Dior Red Wallet</t>
  </si>
  <si>
    <t>Balenciaga Sunglasses</t>
  </si>
  <si>
    <t>Excellent Condition - no box</t>
  </si>
  <si>
    <t>Chanel Matlasse Caviar Skin Double Flap Wallet on Chain</t>
  </si>
  <si>
    <t>Chloe Blue Jean Paddington</t>
  </si>
  <si>
    <t>Depop</t>
  </si>
  <si>
    <t>Louis Vuitton Damier Azur Speedy 30</t>
  </si>
  <si>
    <t>Jimmy Choo Tan Two Way Bag</t>
  </si>
  <si>
    <t>Celine Gold Bittersweet Hobo Bag</t>
  </si>
  <si>
    <t>Trenbe</t>
  </si>
  <si>
    <t>Louis Vuitton Galleria MM Shoulder Bag</t>
  </si>
  <si>
    <t>Gucci Gacquard Scarf Shoulder Bag</t>
  </si>
  <si>
    <t>A Condition</t>
  </si>
  <si>
    <t>Celine Bittersweet Black Leather Hobo Shoulder Bag</t>
  </si>
  <si>
    <t>Gucci GG Jacquard Shoulder Bag</t>
  </si>
  <si>
    <t>Louis Vuitton Odeon PM Shoulder Bag</t>
  </si>
  <si>
    <t>slay4you</t>
  </si>
  <si>
    <t xml:space="preserve">Louis Vuitton Monogram Papillon GM </t>
  </si>
  <si>
    <t>Gucci GG Canvas Medium Bella Flap Bag Rose Gold</t>
  </si>
  <si>
    <t>Celine Triomphe Bittersweet Printed Canvas Hobo</t>
  </si>
  <si>
    <t>Furla Bag in Cream</t>
  </si>
  <si>
    <t>Louis Vuitton Murakami Judy MM White</t>
  </si>
  <si>
    <t>leveluxbag</t>
  </si>
  <si>
    <t>Marc Jacobs Sun Glasses</t>
  </si>
  <si>
    <t>Coach Wristlet</t>
  </si>
  <si>
    <t>New</t>
  </si>
  <si>
    <t>Shein Bags</t>
  </si>
  <si>
    <t>MK Baby Blue</t>
  </si>
  <si>
    <t>Project LV Auction</t>
  </si>
  <si>
    <t>LV Lock Auction</t>
  </si>
  <si>
    <t>Black Fendi Crescent Bag</t>
  </si>
  <si>
    <t>Fendi Tote Bag</t>
  </si>
  <si>
    <t>Bebe New Navy Tote with Tassels</t>
  </si>
  <si>
    <t>Juicy Pink Shoulder Bag</t>
  </si>
  <si>
    <t>Michael Kors Jetsetter Metalic Rose Bag</t>
  </si>
  <si>
    <t>Louis Vuitton Bordeaux 29 Crossbody</t>
  </si>
  <si>
    <t>Gold MCM Shoulder Bag</t>
  </si>
  <si>
    <t>pinkprincess70</t>
  </si>
  <si>
    <t>Christian Dior Gray Handbag</t>
  </si>
  <si>
    <t>sunniker</t>
  </si>
  <si>
    <t>Dunhill Scarf</t>
  </si>
  <si>
    <t>carlishops</t>
  </si>
  <si>
    <t>Black Bottega Wallet</t>
  </si>
  <si>
    <t>MCM Red Top Handle Bag</t>
  </si>
  <si>
    <t xml:space="preserve">Good </t>
  </si>
  <si>
    <t>Mickey and Friends</t>
  </si>
  <si>
    <t>NWOT</t>
  </si>
  <si>
    <t>Louis Vuitton Monogram Pouchette Passport Trifold Wallet</t>
  </si>
  <si>
    <t>Butterfly Crossbody</t>
  </si>
  <si>
    <t>Njbutler</t>
  </si>
  <si>
    <t>Coach</t>
  </si>
  <si>
    <t>Chanel GWP Silver Bag</t>
  </si>
  <si>
    <t xml:space="preserve">Excellent Cond </t>
  </si>
  <si>
    <t>Gucci Red Cherry Mini Wallet - Full Inclusion</t>
  </si>
  <si>
    <t>Red Gucci Long Wallet Two Tone Hardware</t>
  </si>
  <si>
    <t>Grey Prada 2 Way Bag</t>
  </si>
  <si>
    <t>Wallet Bundle</t>
  </si>
  <si>
    <t>Labubu's</t>
  </si>
  <si>
    <t>Brown Coach Bag</t>
  </si>
  <si>
    <t>Cream Coach Bag</t>
  </si>
  <si>
    <t>Silver Coach Bag</t>
  </si>
  <si>
    <t>Burgundy Fendi Spy Bag</t>
  </si>
  <si>
    <t>COA</t>
  </si>
  <si>
    <t>Louis Vuitton Vintage Garment Bag</t>
  </si>
  <si>
    <t>(Date and Price Est) Red Vernis Top Handle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</si>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</sst>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8" fontId="0" fillId="0" borderId="0" xfId="0" applyNumberFormat="1"/>
    <xf numFmtId="44" fontId="0" fillId="0" borderId="0" xfId="2" applyFont="1"/>
    <xf numFmtId="0" fontId="3" fillId="0" borderId="0" xfId="0" applyFont="1"/>
    <xf numFmtId="44" fontId="3" fillId="0" borderId="0" xfId="2" applyFont="1"/>
    <xf numFmtId="43" fontId="3" fillId="0" borderId="0" xfId="1" applyFont="1"/>
    <xf numFmtId="43" fontId="0" fillId="0" borderId="0" xfId="1" applyFont="1"/>
    <xf numFmtId="44" fontId="0" fillId="0" borderId="0" xfId="0" applyNumberFormat="1"/>
    <xf numFmtId="9" fontId="3" fillId="0" borderId="0" xfId="3" applyFont="1"/>
    <xf numFmtId="9" fontId="0" fillId="0" borderId="0" xfId="3" applyFont="1"/>
    <xf numFmtId="14" fontId="3" fillId="0" borderId="0" xfId="0" applyNumberFormat="1" applyFont="1"/>
    <xf numFmtId="14" fontId="0" fillId="0" borderId="0" xfId="0" applyNumberFormat="1"/>
    <xf numFmtId="14" fontId="0" fillId="0" borderId="0" xfId="3" applyNumberFormat="1" applyFont="1"/>
    <xf numFmtId="14" fontId="3" fillId="0" borderId="0" xfId="3" applyNumberFormat="1" applyFont="1"/>
    <xf numFmtId="0" fontId="0" fillId="2" borderId="0" xfId="0" applyFill="1"/>
    <xf numFmtId="0" fontId="4" fillId="0" borderId="0" xfId="0" applyFont="1"/>
    <xf numFmtId="14" fontId="4" fillId="0" borderId="0" xfId="0" applyNumberFormat="1" applyFont="1"/>
    <xf numFmtId="44" fontId="4" fillId="0" borderId="0" xfId="2" applyFont="1"/>
    <xf numFmtId="8" fontId="4" fillId="0" borderId="0" xfId="0" applyNumberFormat="1" applyFont="1"/>
    <xf numFmtId="44" fontId="4" fillId="0" borderId="0" xfId="0" applyNumberFormat="1" applyFont="1"/>
    <xf numFmtId="43" fontId="4" fillId="0" borderId="0" xfId="1" applyFont="1"/>
    <xf numFmtId="9" fontId="4" fillId="0" borderId="0" xfId="3" applyFont="1"/>
    <xf numFmtId="14" fontId="4" fillId="0" borderId="0" xfId="3" applyNumberFormat="1" applyFont="1"/>
    <xf numFmtId="164" fontId="3" fillId="0" borderId="0" xfId="1" applyNumberFormat="1" applyFont="1"/>
    <xf numFmtId="164" fontId="0" fillId="0" borderId="0" xfId="1" applyNumberFormat="1" applyFont="1"/>
    <xf numFmtId="164" fontId="4" fillId="0" borderId="0" xfId="1" applyNumberFormat="1" applyFont="1"/>
    <xf numFmtId="164" fontId="0" fillId="2" borderId="0" xfId="1" applyNumberFormat="1" applyFont="1" applyFill="1"/>
    <xf numFmtId="14" fontId="0" fillId="2" borderId="0" xfId="0" applyNumberFormat="1" applyFill="1"/>
    <xf numFmtId="44" fontId="0" fillId="2" borderId="0" xfId="2" applyFont="1" applyFill="1"/>
    <xf numFmtId="44" fontId="0" fillId="2" borderId="0" xfId="0" applyNumberFormat="1" applyFill="1"/>
    <xf numFmtId="43" fontId="0" fillId="2" borderId="0" xfId="1" applyFont="1" applyFill="1"/>
    <xf numFmtId="9" fontId="0" fillId="2" borderId="0" xfId="3" applyFont="1" applyFill="1"/>
    <xf numFmtId="14" fontId="0" fillId="2" borderId="0" xfId="3" applyNumberFormat="1" applyFont="1" applyFill="1"/>
    <xf numFmtId="0" fontId="0" fillId="0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D92D-7ECA-6241-9E39-6410AB084CCF}">
  <sheetPr filterMode="1"/>
  <dimension ref="A1:X771"/>
  <sheetViews>
    <sheetView tabSelected="1" topLeftCell="F1" workbookViewId="0">
      <pane ySplit="1" topLeftCell="A5" activePane="bottomLeft" state="frozen"/>
      <selection pane="bottomLeft" activeCell="L30" sqref="L30"/>
    </sheetView>
  </sheetViews>
  <sheetFormatPr defaultColWidth="10.6640625" defaultRowHeight="15.5"/>
  <cols>
    <col min="1" max="1" width="5.6640625" customWidth="1"/>
    <col min="2" max="2" width="9.25" style="12" customWidth="1"/>
    <col min="3" max="3" width="0.58203125" customWidth="1"/>
    <col min="5" max="5" width="40.6640625" customWidth="1"/>
    <col min="6" max="6" width="7.83203125" customWidth="1"/>
    <col min="7" max="8" width="10.6640625" style="3" customWidth="1"/>
    <col min="9" max="9" width="10.6640625" customWidth="1"/>
    <col min="10" max="11" width="10.6640625" style="3" customWidth="1"/>
    <col min="12" max="12" width="5.6640625" style="25" customWidth="1"/>
    <col min="13" max="13" width="2.5" style="7" customWidth="1"/>
    <col min="14" max="14" width="3.5" style="3" customWidth="1"/>
    <col min="15" max="15" width="9.83203125" style="3" customWidth="1"/>
    <col min="16" max="16" width="8.83203125" style="3" customWidth="1"/>
    <col min="17" max="17" width="9.33203125" style="3" customWidth="1"/>
    <col min="18" max="18" width="16.58203125" style="10" bestFit="1" customWidth="1"/>
    <col min="19" max="20" width="9.5" style="13" customWidth="1"/>
    <col min="21" max="21" width="14.6640625" style="13" customWidth="1"/>
    <col min="22" max="22" width="12.6640625" style="13" customWidth="1"/>
    <col min="23" max="23" width="10.5" style="3" customWidth="1"/>
    <col min="24" max="24" width="21.83203125" customWidth="1"/>
  </cols>
  <sheetData>
    <row r="1" spans="1:24" s="4" customFormat="1" ht="18.5">
      <c r="A1" s="4" t="s">
        <v>211</v>
      </c>
      <c r="B1" s="11"/>
      <c r="C1" s="4" t="s">
        <v>2</v>
      </c>
      <c r="D1" s="4" t="s">
        <v>3</v>
      </c>
      <c r="E1" s="4" t="s">
        <v>4</v>
      </c>
      <c r="F1" s="4" t="s">
        <v>5</v>
      </c>
      <c r="G1" s="5" t="s">
        <v>206</v>
      </c>
      <c r="H1" s="5" t="s">
        <v>195</v>
      </c>
      <c r="I1" s="4" t="s">
        <v>196</v>
      </c>
      <c r="J1" s="5" t="s">
        <v>263</v>
      </c>
      <c r="K1" s="5" t="s">
        <v>1062</v>
      </c>
      <c r="L1" s="24" t="s">
        <v>208</v>
      </c>
      <c r="M1" s="6" t="s">
        <v>605</v>
      </c>
      <c r="N1" s="5" t="s">
        <v>201</v>
      </c>
      <c r="O1" s="5" t="s">
        <v>197</v>
      </c>
      <c r="P1" s="5" t="s">
        <v>209</v>
      </c>
      <c r="Q1" s="5" t="s">
        <v>210</v>
      </c>
      <c r="R1" s="9" t="s">
        <v>207</v>
      </c>
      <c r="S1" s="14" t="s">
        <v>297</v>
      </c>
      <c r="T1" s="14" t="s">
        <v>952</v>
      </c>
      <c r="U1" s="14" t="s">
        <v>355</v>
      </c>
      <c r="V1" s="14" t="s">
        <v>455</v>
      </c>
      <c r="W1" s="5" t="s">
        <v>456</v>
      </c>
      <c r="X1" s="4" t="s">
        <v>242</v>
      </c>
    </row>
    <row r="2" spans="1:24">
      <c r="A2">
        <v>1</v>
      </c>
      <c r="B2" s="12">
        <v>45734</v>
      </c>
      <c r="C2" t="s">
        <v>18</v>
      </c>
      <c r="D2" t="s">
        <v>19</v>
      </c>
      <c r="E2" t="s">
        <v>198</v>
      </c>
      <c r="F2" t="s">
        <v>20</v>
      </c>
      <c r="G2" s="3">
        <v>120.02</v>
      </c>
      <c r="H2" s="2">
        <f>G2*0.3</f>
        <v>36.006</v>
      </c>
      <c r="I2" s="8">
        <f>G2*0.15</f>
        <v>18.003</v>
      </c>
      <c r="J2" s="3">
        <f>G2+H2</f>
        <v>156.02600000000001</v>
      </c>
      <c r="K2" s="3">
        <f>J2*1.13</f>
        <v>176.30938</v>
      </c>
      <c r="L2" s="25">
        <v>0</v>
      </c>
      <c r="M2" s="7" t="s">
        <v>606</v>
      </c>
      <c r="N2" s="8">
        <v>210</v>
      </c>
      <c r="O2" s="3">
        <v>160</v>
      </c>
      <c r="P2" s="3">
        <v>141.65</v>
      </c>
      <c r="Q2" s="3">
        <f>P2-G2</f>
        <v>21.63000000000001</v>
      </c>
      <c r="R2" s="10">
        <f>Q2/O2</f>
        <v>0.13518750000000007</v>
      </c>
      <c r="S2" s="13">
        <v>45786</v>
      </c>
      <c r="T2" s="7">
        <f ca="1">IF(S2&lt;&gt;"",S2-B2,TODAY()-B2)</f>
        <v>52</v>
      </c>
      <c r="U2" s="10"/>
      <c r="V2" s="3">
        <f>IF((G2+H2)&lt;15,(G2+H2+2.95), ((G2+H2)*1.2))</f>
        <v>187.2312</v>
      </c>
      <c r="W2" s="3">
        <f>IF((G2+I2)&lt;15,(G2+I2+2.95), ((G2+I2)*1.2))</f>
        <v>165.6276</v>
      </c>
      <c r="X2" t="s">
        <v>393</v>
      </c>
    </row>
    <row r="3" spans="1:24" hidden="1">
      <c r="A3">
        <v>2</v>
      </c>
      <c r="B3" s="12">
        <v>45734</v>
      </c>
      <c r="C3" t="s">
        <v>18</v>
      </c>
      <c r="D3" t="s">
        <v>19</v>
      </c>
      <c r="E3" t="s">
        <v>199</v>
      </c>
      <c r="F3" t="s">
        <v>20</v>
      </c>
      <c r="G3" s="3">
        <v>108.04</v>
      </c>
      <c r="H3" s="3">
        <f>G3*0.3</f>
        <v>32.411999999999999</v>
      </c>
      <c r="I3" s="8">
        <f>G3*0.15</f>
        <v>16.206</v>
      </c>
      <c r="J3" s="3">
        <f>G3+H3</f>
        <v>140.452</v>
      </c>
      <c r="K3" s="3">
        <f>J3*1.13</f>
        <v>158.71075999999999</v>
      </c>
      <c r="L3" s="25">
        <v>1</v>
      </c>
      <c r="M3" s="7" t="s">
        <v>606</v>
      </c>
      <c r="N3" s="8">
        <v>275</v>
      </c>
      <c r="P3"/>
      <c r="Q3" s="3">
        <f>P3-G3</f>
        <v>-108.04</v>
      </c>
      <c r="R3" s="10" t="e">
        <f>Q3/O3</f>
        <v>#DIV/0!</v>
      </c>
      <c r="S3" s="10"/>
      <c r="T3" s="7">
        <f ca="1">IF(S3&lt;&gt;"",S3-B3,TODAY()-B3)</f>
        <v>132</v>
      </c>
      <c r="U3" s="10"/>
      <c r="V3" s="3">
        <f>IF((G3+H3)&lt;15,(G3+H3+2.95), ((G3+H3)*1.2))</f>
        <v>168.54239999999999</v>
      </c>
      <c r="W3" s="3">
        <f>IF((G3+I3)&lt;15,(G3+I3+2.95), ((G3+I3)*1.2))</f>
        <v>149.09520000000001</v>
      </c>
      <c r="X3" t="s">
        <v>395</v>
      </c>
    </row>
    <row r="4" spans="1:24" hidden="1">
      <c r="A4">
        <v>3</v>
      </c>
      <c r="B4" s="12">
        <v>45733</v>
      </c>
      <c r="C4" t="s">
        <v>18</v>
      </c>
      <c r="D4" t="s">
        <v>27</v>
      </c>
      <c r="E4" s="15" t="s">
        <v>200</v>
      </c>
      <c r="F4" t="s">
        <v>28</v>
      </c>
      <c r="G4" s="3">
        <v>77.44</v>
      </c>
      <c r="H4" s="3">
        <f>G4*0.3</f>
        <v>23.231999999999999</v>
      </c>
      <c r="I4" s="8">
        <f>G4*0.15</f>
        <v>11.616</v>
      </c>
      <c r="J4" s="3">
        <f>G4+H4</f>
        <v>100.672</v>
      </c>
      <c r="K4" s="3">
        <f>J4*1.13</f>
        <v>113.75935999999999</v>
      </c>
      <c r="L4" s="25">
        <v>1</v>
      </c>
      <c r="M4" s="7" t="s">
        <v>606</v>
      </c>
      <c r="N4" s="8">
        <v>225</v>
      </c>
      <c r="P4"/>
      <c r="Q4" s="3">
        <f>P4-G4</f>
        <v>-77.44</v>
      </c>
      <c r="R4" s="10" t="e">
        <f>Q4/O4</f>
        <v>#DIV/0!</v>
      </c>
      <c r="S4" s="10"/>
      <c r="T4" s="7">
        <f ca="1">IF(S4&lt;&gt;"",S4-B4,TODAY()-B4)</f>
        <v>133</v>
      </c>
      <c r="U4" s="10"/>
      <c r="V4" s="3">
        <f>IF((G4+H4)&lt;15,(G4+H4+2.95), ((G4+H4)*1.2))</f>
        <v>120.8064</v>
      </c>
      <c r="W4" s="3">
        <f>IF((G4+I4)&lt;15,(G4+I4+2.95), ((G4+I4)*1.2))</f>
        <v>106.8672</v>
      </c>
    </row>
    <row r="5" spans="1:24" hidden="1">
      <c r="A5">
        <v>4</v>
      </c>
      <c r="B5" s="12">
        <v>45733</v>
      </c>
      <c r="C5" t="s">
        <v>18</v>
      </c>
      <c r="D5" t="s">
        <v>31</v>
      </c>
      <c r="E5" t="s">
        <v>32</v>
      </c>
      <c r="F5" t="s">
        <v>33</v>
      </c>
      <c r="G5" s="3">
        <v>43.34</v>
      </c>
      <c r="H5" s="3">
        <f>G5*0.3</f>
        <v>13.002000000000001</v>
      </c>
      <c r="I5" s="8">
        <f>G5*0.15</f>
        <v>6.5010000000000003</v>
      </c>
      <c r="J5" s="3">
        <f>G5+H5</f>
        <v>56.342000000000006</v>
      </c>
      <c r="K5" s="3">
        <f>J5*1.13</f>
        <v>63.666460000000001</v>
      </c>
      <c r="L5" s="25">
        <v>1</v>
      </c>
      <c r="N5" s="8"/>
      <c r="P5"/>
      <c r="Q5" s="3">
        <f>P5-G5</f>
        <v>-43.34</v>
      </c>
      <c r="R5" s="10" t="e">
        <f>Q5/O5</f>
        <v>#DIV/0!</v>
      </c>
      <c r="S5" s="10"/>
      <c r="T5" s="7">
        <f ca="1">IF(S5&lt;&gt;"",S5-B5,TODAY()-B5)</f>
        <v>133</v>
      </c>
      <c r="U5" s="10"/>
      <c r="V5" s="3">
        <f>IF((G5+H5)&lt;15,(G5+H5+2.95), ((G5+H5)*1.2))</f>
        <v>67.610399999999998</v>
      </c>
      <c r="W5" s="3">
        <f>IF((G5+I5)&lt;15,(G5+I5+2.95), ((G5+I5)*1.2))</f>
        <v>59.809199999999997</v>
      </c>
    </row>
    <row r="6" spans="1:24">
      <c r="A6">
        <v>5</v>
      </c>
      <c r="B6" s="12">
        <v>45734</v>
      </c>
      <c r="C6" t="s">
        <v>18</v>
      </c>
      <c r="D6" t="s">
        <v>27</v>
      </c>
      <c r="E6" t="s">
        <v>581</v>
      </c>
      <c r="G6" s="3">
        <v>120.98</v>
      </c>
      <c r="H6" s="2">
        <f>G6*0.3</f>
        <v>36.293999999999997</v>
      </c>
      <c r="I6" s="8">
        <f>G6*0.15</f>
        <v>18.146999999999998</v>
      </c>
      <c r="J6" s="3">
        <f>G6+H6</f>
        <v>157.274</v>
      </c>
      <c r="K6" s="3">
        <f>J6*1.13</f>
        <v>177.71961999999999</v>
      </c>
      <c r="L6" s="25">
        <v>0</v>
      </c>
      <c r="N6" s="8">
        <v>350</v>
      </c>
      <c r="O6" s="3">
        <v>300</v>
      </c>
      <c r="P6" s="8">
        <v>240</v>
      </c>
      <c r="Q6" s="3">
        <f>P6-G6</f>
        <v>119.02</v>
      </c>
      <c r="R6" s="10">
        <f>Q6/O6</f>
        <v>0.39673333333333333</v>
      </c>
      <c r="S6" s="13">
        <v>45738</v>
      </c>
      <c r="T6" s="7">
        <f ca="1">IF(S6&lt;&gt;"",S6-B6,TODAY()-B6)</f>
        <v>4</v>
      </c>
      <c r="V6" s="3">
        <f>IF((G6+H6)&lt;15,(G6+H6+2.95), ((G6+H6)*1.2))</f>
        <v>188.72880000000001</v>
      </c>
      <c r="W6" s="3">
        <f>IF((G6+I6)&lt;15,(G6+I6+2.95), ((G6+I6)*1.2))</f>
        <v>166.95240000000001</v>
      </c>
    </row>
    <row r="7" spans="1:24">
      <c r="A7">
        <v>6</v>
      </c>
      <c r="B7" s="12">
        <v>45732</v>
      </c>
      <c r="C7" t="s">
        <v>18</v>
      </c>
      <c r="D7" t="s">
        <v>34</v>
      </c>
      <c r="E7" t="s">
        <v>202</v>
      </c>
      <c r="F7" t="s">
        <v>202</v>
      </c>
      <c r="G7" s="3">
        <v>28.11</v>
      </c>
      <c r="H7" s="3">
        <f>G7*0.3</f>
        <v>8.4329999999999998</v>
      </c>
      <c r="I7" s="8">
        <f>G7*0.15</f>
        <v>4.2164999999999999</v>
      </c>
      <c r="J7" s="3">
        <f>G7+H7</f>
        <v>36.542999999999999</v>
      </c>
      <c r="K7" s="3">
        <f>J7*1.13</f>
        <v>41.293589999999995</v>
      </c>
      <c r="L7" s="25">
        <v>0</v>
      </c>
      <c r="M7" s="7" t="s">
        <v>606</v>
      </c>
      <c r="N7" s="8">
        <v>50</v>
      </c>
      <c r="O7" s="3">
        <v>9</v>
      </c>
      <c r="P7" s="3">
        <v>7.7</v>
      </c>
      <c r="Q7" s="3">
        <f>P7-G7</f>
        <v>-20.41</v>
      </c>
      <c r="R7" s="10">
        <f>Q7/O7</f>
        <v>-2.2677777777777779</v>
      </c>
      <c r="S7" s="13">
        <v>45848</v>
      </c>
      <c r="T7" s="7">
        <f ca="1">IF(S7&lt;&gt;"",S7-B7,TODAY()-B7)</f>
        <v>116</v>
      </c>
      <c r="U7" s="10"/>
      <c r="V7" s="3">
        <f>IF((G7+H7)&lt;15,(G7+H7+2.95), ((G7+H7)*1.2))</f>
        <v>43.851599999999998</v>
      </c>
      <c r="W7" s="3">
        <f>IF((G7+I7)&lt;15,(G7+I7+2.95), ((G7+I7)*1.2))</f>
        <v>38.791799999999995</v>
      </c>
    </row>
    <row r="8" spans="1:24" hidden="1">
      <c r="A8">
        <v>8</v>
      </c>
      <c r="B8" s="12">
        <v>45732</v>
      </c>
      <c r="C8" t="s">
        <v>18</v>
      </c>
      <c r="D8" t="s">
        <v>37</v>
      </c>
      <c r="E8" t="s">
        <v>469</v>
      </c>
      <c r="G8" s="3">
        <v>107.81</v>
      </c>
      <c r="H8" s="2">
        <f>G8*0.3</f>
        <v>32.342999999999996</v>
      </c>
      <c r="I8" s="8">
        <f>G8*0.15</f>
        <v>16.171499999999998</v>
      </c>
      <c r="J8" s="3">
        <f>G8+H8</f>
        <v>140.15299999999999</v>
      </c>
      <c r="K8" s="3">
        <f>J8*1.13</f>
        <v>158.37288999999998</v>
      </c>
      <c r="L8" s="25">
        <v>0</v>
      </c>
      <c r="M8" s="7" t="s">
        <v>606</v>
      </c>
      <c r="N8" s="8">
        <v>165</v>
      </c>
      <c r="P8"/>
      <c r="Q8" s="3">
        <f>P8-G8</f>
        <v>-107.81</v>
      </c>
      <c r="R8" s="10" t="e">
        <f>Q8/O8</f>
        <v>#DIV/0!</v>
      </c>
      <c r="S8" s="10"/>
      <c r="T8" s="7">
        <f ca="1">IF(S8&lt;&gt;"",S8-B8,TODAY()-B8)</f>
        <v>134</v>
      </c>
      <c r="U8" s="10"/>
      <c r="V8" s="3">
        <f>IF((G8+H8)&lt;15,(G8+H8+2.95), ((G8+H8)*1.2))</f>
        <v>168.18359999999998</v>
      </c>
      <c r="W8" s="3">
        <f>IF((G8+I8)&lt;15,(G8+I8+2.95), ((G8+I8)*1.2))</f>
        <v>148.77779999999998</v>
      </c>
    </row>
    <row r="9" spans="1:24" hidden="1">
      <c r="A9">
        <v>9</v>
      </c>
      <c r="B9" s="12">
        <v>45732</v>
      </c>
      <c r="C9" t="s">
        <v>18</v>
      </c>
      <c r="D9" t="s">
        <v>37</v>
      </c>
      <c r="E9" t="s">
        <v>470</v>
      </c>
      <c r="G9" s="3">
        <v>134.18</v>
      </c>
      <c r="H9" s="2">
        <f>G9*0.3</f>
        <v>40.253999999999998</v>
      </c>
      <c r="I9" s="8">
        <f>G9*0.15</f>
        <v>20.126999999999999</v>
      </c>
      <c r="J9" s="3">
        <f>G9+H9</f>
        <v>174.434</v>
      </c>
      <c r="K9" s="3">
        <f>J9*1.13</f>
        <v>197.11041999999998</v>
      </c>
      <c r="L9" s="25">
        <v>0</v>
      </c>
      <c r="M9" s="7" t="s">
        <v>606</v>
      </c>
      <c r="N9" s="8">
        <v>160</v>
      </c>
      <c r="P9"/>
      <c r="Q9" s="3">
        <f>P9-G9</f>
        <v>-134.18</v>
      </c>
      <c r="R9" s="10" t="e">
        <f>Q9/O9</f>
        <v>#DIV/0!</v>
      </c>
      <c r="S9" s="10"/>
      <c r="T9" s="7">
        <f ca="1">IF(S9&lt;&gt;"",S9-B9,TODAY()-B9)</f>
        <v>134</v>
      </c>
      <c r="U9" s="10"/>
      <c r="V9" s="3">
        <f>IF((G9+H9)&lt;15,(G9+H9+2.95), ((G9+H9)*1.2))</f>
        <v>209.32079999999999</v>
      </c>
      <c r="W9" s="3">
        <f>IF((G9+I9)&lt;15,(G9+I9+2.95), ((G9+I9)*1.2))</f>
        <v>185.16840000000002</v>
      </c>
      <c r="X9" t="s">
        <v>392</v>
      </c>
    </row>
    <row r="10" spans="1:24">
      <c r="A10">
        <v>10</v>
      </c>
      <c r="B10" s="12">
        <v>45732</v>
      </c>
      <c r="C10" t="s">
        <v>18</v>
      </c>
      <c r="D10" t="s">
        <v>39</v>
      </c>
      <c r="E10" t="s">
        <v>40</v>
      </c>
      <c r="F10" t="s">
        <v>41</v>
      </c>
      <c r="G10" s="3">
        <v>30.72</v>
      </c>
      <c r="H10" s="3">
        <f>G10*0.3</f>
        <v>9.2159999999999993</v>
      </c>
      <c r="I10" s="8">
        <f>G10*0.15</f>
        <v>4.6079999999999997</v>
      </c>
      <c r="J10" s="3">
        <f>G10+H10</f>
        <v>39.936</v>
      </c>
      <c r="K10" s="3">
        <f>J10*1.13</f>
        <v>45.127679999999998</v>
      </c>
      <c r="L10" s="25">
        <v>0</v>
      </c>
      <c r="M10" s="7" t="s">
        <v>606</v>
      </c>
      <c r="N10" s="8">
        <v>60</v>
      </c>
      <c r="O10" s="3">
        <v>23</v>
      </c>
      <c r="P10" s="3">
        <v>20.079999999999998</v>
      </c>
      <c r="Q10" s="3">
        <f>P10-G10</f>
        <v>-10.64</v>
      </c>
      <c r="R10" s="10">
        <f>Q10/O10</f>
        <v>-0.46260869565217394</v>
      </c>
      <c r="S10" s="13">
        <v>45865</v>
      </c>
      <c r="T10" s="7">
        <f ca="1">IF(S10&lt;&gt;"",S10-B10,TODAY()-B10)</f>
        <v>133</v>
      </c>
      <c r="U10" s="10"/>
      <c r="V10" s="3">
        <f>IF((G10+H10)&lt;15,(G10+H10+2.95), ((G10+H10)*1.2))</f>
        <v>47.923200000000001</v>
      </c>
      <c r="W10" s="3">
        <f>IF((G10+I10)&lt;15,(G10+I10+2.95), ((G10+I10)*1.2))</f>
        <v>42.393599999999992</v>
      </c>
    </row>
    <row r="11" spans="1:24">
      <c r="A11">
        <v>12</v>
      </c>
      <c r="B11" s="12">
        <v>45732</v>
      </c>
      <c r="C11" t="s">
        <v>18</v>
      </c>
      <c r="D11" t="s">
        <v>48</v>
      </c>
      <c r="E11" t="s">
        <v>212</v>
      </c>
      <c r="F11" t="s">
        <v>49</v>
      </c>
      <c r="G11" s="3">
        <v>89.53</v>
      </c>
      <c r="H11" s="3">
        <f>G11*0.4</f>
        <v>35.812000000000005</v>
      </c>
      <c r="I11" s="8">
        <f>G11*0.15</f>
        <v>13.429499999999999</v>
      </c>
      <c r="J11" s="3">
        <f>G11+H11</f>
        <v>125.34200000000001</v>
      </c>
      <c r="K11" s="3">
        <f>J11*1.13</f>
        <v>141.63646</v>
      </c>
      <c r="L11" s="25">
        <v>0</v>
      </c>
      <c r="M11" s="7" t="s">
        <v>607</v>
      </c>
      <c r="N11" s="8"/>
      <c r="O11" s="3">
        <v>22</v>
      </c>
      <c r="P11" s="3">
        <v>20.03</v>
      </c>
      <c r="Q11" s="3">
        <f>P11-G11</f>
        <v>-69.5</v>
      </c>
      <c r="R11" s="10">
        <f>Q11/O11</f>
        <v>-3.1590909090909092</v>
      </c>
      <c r="S11" s="13">
        <v>45843</v>
      </c>
      <c r="T11" s="7">
        <f ca="1">IF(S11&lt;&gt;"",S11-B11,TODAY()-B11)</f>
        <v>111</v>
      </c>
      <c r="U11" s="10"/>
      <c r="V11" s="3">
        <f>IF((G11+H11)&lt;15,(G11+H11+2.95), ((G11+H11)*1.2))</f>
        <v>150.41040000000001</v>
      </c>
      <c r="W11" s="3">
        <f>IF((G11+I11)&lt;15,(G11+I11+2.95), ((G11+I11)*1.2))</f>
        <v>123.5514</v>
      </c>
    </row>
    <row r="12" spans="1:24">
      <c r="A12">
        <v>14</v>
      </c>
      <c r="B12" s="12">
        <v>45730</v>
      </c>
      <c r="C12" t="s">
        <v>18</v>
      </c>
      <c r="D12" t="s">
        <v>53</v>
      </c>
      <c r="E12" s="15" t="s">
        <v>213</v>
      </c>
      <c r="F12" t="s">
        <v>214</v>
      </c>
      <c r="G12" s="3">
        <v>74.849999999999994</v>
      </c>
      <c r="H12" s="3">
        <f>G12*0.4</f>
        <v>29.939999999999998</v>
      </c>
      <c r="I12" s="8">
        <f>G12*0.15</f>
        <v>11.227499999999999</v>
      </c>
      <c r="J12" s="3">
        <f>G12+H12</f>
        <v>104.78999999999999</v>
      </c>
      <c r="K12" s="3">
        <f>J12*1.13</f>
        <v>118.41269999999999</v>
      </c>
      <c r="L12" s="25">
        <v>0</v>
      </c>
      <c r="M12" s="7" t="s">
        <v>606</v>
      </c>
      <c r="N12" s="8">
        <v>200</v>
      </c>
      <c r="O12" s="3">
        <v>135</v>
      </c>
      <c r="P12" s="3">
        <v>108</v>
      </c>
      <c r="Q12" s="3">
        <f>P12-G12</f>
        <v>33.150000000000006</v>
      </c>
      <c r="R12" s="10">
        <f>Q12/O12</f>
        <v>0.24555555555555561</v>
      </c>
      <c r="S12" s="13">
        <v>45857</v>
      </c>
      <c r="T12" s="7">
        <f ca="1">IF(S12&lt;&gt;"",S12-B12,TODAY()-B12)</f>
        <v>127</v>
      </c>
      <c r="U12" s="10"/>
      <c r="V12" s="3">
        <f>IF((G12+H12)&lt;15,(G12+H12+2.95), ((G12+H12)*1.2))</f>
        <v>125.74799999999999</v>
      </c>
      <c r="W12" s="3">
        <f>IF((G12+I12)&lt;15,(G12+I12+2.95), ((G12+I12)*1.2))</f>
        <v>103.29299999999998</v>
      </c>
    </row>
    <row r="13" spans="1:24">
      <c r="A13">
        <v>15</v>
      </c>
      <c r="B13" s="12">
        <v>45730</v>
      </c>
      <c r="C13" t="s">
        <v>18</v>
      </c>
      <c r="D13" t="s">
        <v>55</v>
      </c>
      <c r="E13" t="s">
        <v>215</v>
      </c>
      <c r="F13" t="s">
        <v>56</v>
      </c>
      <c r="G13" s="3">
        <v>100.42</v>
      </c>
      <c r="H13" s="3">
        <f>G13*0.4</f>
        <v>40.168000000000006</v>
      </c>
      <c r="I13" s="8">
        <f>G13*0.15</f>
        <v>15.062999999999999</v>
      </c>
      <c r="J13" s="3">
        <f>G13+H13</f>
        <v>140.58800000000002</v>
      </c>
      <c r="K13" s="3">
        <f>J13*1.13</f>
        <v>158.86444</v>
      </c>
      <c r="L13" s="25">
        <v>0</v>
      </c>
      <c r="M13" s="7" t="s">
        <v>606</v>
      </c>
      <c r="N13" s="8">
        <v>225</v>
      </c>
      <c r="O13" s="3">
        <v>66</v>
      </c>
      <c r="P13" s="3">
        <v>60.79</v>
      </c>
      <c r="Q13" s="3">
        <f>P13-G13</f>
        <v>-39.630000000000003</v>
      </c>
      <c r="R13" s="10">
        <f>Q13/O13</f>
        <v>-0.60045454545454546</v>
      </c>
      <c r="S13" s="13">
        <v>45842</v>
      </c>
      <c r="T13" s="7">
        <f ca="1">IF(S13&lt;&gt;"",S13-B13,TODAY()-B13)</f>
        <v>112</v>
      </c>
      <c r="U13" s="10"/>
      <c r="V13" s="3">
        <f>IF((G13+H13)&lt;15,(G13+H13+2.95), ((G13+H13)*1.2))</f>
        <v>168.70560000000003</v>
      </c>
      <c r="W13" s="3">
        <f>IF((G13+I13)&lt;15,(G13+I13+2.95), ((G13+I13)*1.2))</f>
        <v>138.5796</v>
      </c>
    </row>
    <row r="14" spans="1:24" hidden="1">
      <c r="A14">
        <v>16</v>
      </c>
      <c r="B14" s="12">
        <v>45729</v>
      </c>
      <c r="C14" t="s">
        <v>18</v>
      </c>
      <c r="D14" t="s">
        <v>58</v>
      </c>
      <c r="E14" t="s">
        <v>216</v>
      </c>
      <c r="F14" t="s">
        <v>59</v>
      </c>
      <c r="G14" s="3">
        <v>20.47</v>
      </c>
      <c r="H14" s="3">
        <f>G14*0.4</f>
        <v>8.1880000000000006</v>
      </c>
      <c r="I14" s="8">
        <f>G14*0.15</f>
        <v>3.0704999999999996</v>
      </c>
      <c r="J14" s="3">
        <f>G14+H14</f>
        <v>28.658000000000001</v>
      </c>
      <c r="K14" s="3">
        <f>J14*1.13</f>
        <v>32.383539999999996</v>
      </c>
      <c r="L14" s="25">
        <v>1</v>
      </c>
      <c r="N14" s="8"/>
      <c r="P14"/>
      <c r="Q14" s="3">
        <f>P14-G14</f>
        <v>-20.47</v>
      </c>
      <c r="R14" s="10" t="e">
        <f>Q14/O14</f>
        <v>#DIV/0!</v>
      </c>
      <c r="S14" s="10"/>
      <c r="T14" s="7">
        <f ca="1">IF(S14&lt;&gt;"",S14-B14,TODAY()-B14)</f>
        <v>137</v>
      </c>
      <c r="U14" s="10"/>
      <c r="V14" s="3">
        <f>IF((G14+H14)&lt;15,(G14+H14+2.95), ((G14+H14)*1.2))</f>
        <v>34.389600000000002</v>
      </c>
      <c r="W14" s="3">
        <f>IF((G14+I14)&lt;15,(G14+I14+2.95), ((G14+I14)*1.2))</f>
        <v>28.248599999999996</v>
      </c>
    </row>
    <row r="15" spans="1:24" hidden="1">
      <c r="A15">
        <v>17</v>
      </c>
      <c r="B15" s="12">
        <v>45729</v>
      </c>
      <c r="C15" t="s">
        <v>18</v>
      </c>
      <c r="D15" t="s">
        <v>58</v>
      </c>
      <c r="E15" t="s">
        <v>217</v>
      </c>
      <c r="F15" t="s">
        <v>62</v>
      </c>
      <c r="G15" s="3">
        <v>38.340000000000003</v>
      </c>
      <c r="H15" s="3">
        <f>G15*0.4</f>
        <v>15.336000000000002</v>
      </c>
      <c r="I15" s="8">
        <f>G15*0.15</f>
        <v>5.7510000000000003</v>
      </c>
      <c r="J15" s="3">
        <f>G15+H15</f>
        <v>53.676000000000002</v>
      </c>
      <c r="K15" s="3">
        <f>J15*1.13</f>
        <v>60.653879999999994</v>
      </c>
      <c r="L15" s="25">
        <v>1</v>
      </c>
      <c r="N15" s="8">
        <v>225</v>
      </c>
      <c r="P15"/>
      <c r="Q15" s="3">
        <f>P15-G15</f>
        <v>-38.340000000000003</v>
      </c>
      <c r="R15" s="10" t="e">
        <f>Q15/O15</f>
        <v>#DIV/0!</v>
      </c>
      <c r="S15" s="10"/>
      <c r="T15" s="7">
        <f ca="1">IF(S15&lt;&gt;"",S15-B15,TODAY()-B15)</f>
        <v>137</v>
      </c>
      <c r="U15" s="10"/>
      <c r="V15" s="3">
        <f>IF((G15+H15)&lt;15,(G15+H15+2.95), ((G15+H15)*1.2))</f>
        <v>64.411199999999994</v>
      </c>
      <c r="W15" s="3">
        <f>IF((G15+I15)&lt;15,(G15+I15+2.95), ((G15+I15)*1.2))</f>
        <v>52.909199999999998</v>
      </c>
    </row>
    <row r="16" spans="1:24">
      <c r="A16">
        <v>22</v>
      </c>
      <c r="B16" s="12">
        <v>45727</v>
      </c>
      <c r="C16" t="s">
        <v>18</v>
      </c>
      <c r="D16" t="s">
        <v>48</v>
      </c>
      <c r="E16" t="s">
        <v>322</v>
      </c>
      <c r="F16" t="s">
        <v>192</v>
      </c>
      <c r="G16" s="3">
        <v>600.42999999999995</v>
      </c>
      <c r="H16" s="2">
        <f>G16*0.3</f>
        <v>180.12899999999999</v>
      </c>
      <c r="I16" s="8">
        <f>G16*0.15</f>
        <v>90.064499999999995</v>
      </c>
      <c r="J16" s="3">
        <f>G16+H16</f>
        <v>780.55899999999997</v>
      </c>
      <c r="K16" s="3">
        <f>J16*1.13</f>
        <v>882.03166999999985</v>
      </c>
      <c r="L16" s="25">
        <v>0</v>
      </c>
      <c r="M16" s="7" t="s">
        <v>606</v>
      </c>
      <c r="N16" s="8">
        <v>950</v>
      </c>
      <c r="O16" s="3">
        <v>715</v>
      </c>
      <c r="P16" s="3">
        <v>635.11</v>
      </c>
      <c r="Q16" s="3">
        <f>P16-G16</f>
        <v>34.680000000000064</v>
      </c>
      <c r="R16" s="10">
        <f>Q16/O16</f>
        <v>4.8503496503496592E-2</v>
      </c>
      <c r="S16" s="13">
        <v>45803</v>
      </c>
      <c r="T16" s="7">
        <f ca="1">IF(S16&lt;&gt;"",S16-B16,TODAY()-B16)</f>
        <v>76</v>
      </c>
      <c r="U16" s="10"/>
      <c r="V16" s="3">
        <f>IF((G16+H16)&lt;15,(G16+H16+2.95), ((G16+H16)*1.2))</f>
        <v>936.67079999999987</v>
      </c>
      <c r="X16" t="s">
        <v>304</v>
      </c>
    </row>
    <row r="17" spans="1:24" hidden="1">
      <c r="A17">
        <v>23</v>
      </c>
      <c r="B17" s="12">
        <v>45727</v>
      </c>
      <c r="C17" t="s">
        <v>18</v>
      </c>
      <c r="D17" t="s">
        <v>48</v>
      </c>
      <c r="E17" t="s">
        <v>696</v>
      </c>
      <c r="F17" t="s">
        <v>70</v>
      </c>
      <c r="G17" s="3">
        <v>415.28</v>
      </c>
      <c r="H17" s="3">
        <f>G17*0.4</f>
        <v>166.11199999999999</v>
      </c>
      <c r="I17" s="8">
        <f>G16*0.15</f>
        <v>90.064499999999995</v>
      </c>
      <c r="J17" s="3">
        <f>G17+H17</f>
        <v>581.39199999999994</v>
      </c>
      <c r="K17" s="3">
        <f>J17*1.13</f>
        <v>656.97295999999983</v>
      </c>
      <c r="L17" s="25">
        <v>1</v>
      </c>
      <c r="M17" s="7" t="s">
        <v>606</v>
      </c>
      <c r="N17" s="8">
        <v>800</v>
      </c>
      <c r="P17"/>
      <c r="Q17" s="3">
        <f>P17-G16</f>
        <v>-600.42999999999995</v>
      </c>
      <c r="R17" s="10" t="e">
        <f>Q17/O17</f>
        <v>#DIV/0!</v>
      </c>
      <c r="S17" s="10"/>
      <c r="T17" s="7">
        <f ca="1">IF(S17&lt;&gt;"",S17-B17,TODAY()-B17)</f>
        <v>139</v>
      </c>
      <c r="U17" s="10"/>
      <c r="V17" s="3">
        <f>IF((G17+H17)&lt;15,(G17+H17+2.95), ((G17+H17)*1.2))</f>
        <v>697.67039999999986</v>
      </c>
      <c r="X17" t="s">
        <v>303</v>
      </c>
    </row>
    <row r="18" spans="1:24" hidden="1">
      <c r="A18">
        <v>24</v>
      </c>
      <c r="B18" s="12">
        <v>45727</v>
      </c>
      <c r="C18" t="s">
        <v>18</v>
      </c>
      <c r="D18" t="s">
        <v>48</v>
      </c>
      <c r="E18" t="s">
        <v>324</v>
      </c>
      <c r="F18" t="s">
        <v>70</v>
      </c>
      <c r="G18" s="3">
        <v>404.39</v>
      </c>
      <c r="H18" s="3">
        <f>G18*0.4</f>
        <v>161.756</v>
      </c>
      <c r="I18" s="8">
        <f>G17*0.15</f>
        <v>62.291999999999994</v>
      </c>
      <c r="J18" s="3">
        <f>G18+H18</f>
        <v>566.14599999999996</v>
      </c>
      <c r="K18" s="3">
        <f>J18*1.13</f>
        <v>639.74497999999994</v>
      </c>
      <c r="L18" s="25">
        <v>1</v>
      </c>
      <c r="M18" s="7" t="s">
        <v>606</v>
      </c>
      <c r="N18" s="8">
        <v>600</v>
      </c>
      <c r="P18"/>
      <c r="Q18" s="3">
        <f>P18-G17</f>
        <v>-415.28</v>
      </c>
      <c r="R18" s="10" t="e">
        <f>Q18/O18</f>
        <v>#DIV/0!</v>
      </c>
      <c r="S18" s="10"/>
      <c r="T18" s="7">
        <f ca="1">IF(S18&lt;&gt;"",S18-B18,TODAY()-B18)</f>
        <v>139</v>
      </c>
      <c r="U18" s="10"/>
      <c r="V18" s="3">
        <f>IF((G18+H18)&lt;15,(G18+H18+2.95), ((G18+H18)*1.2))</f>
        <v>679.37519999999995</v>
      </c>
      <c r="X18" t="s">
        <v>302</v>
      </c>
    </row>
    <row r="19" spans="1:24">
      <c r="A19">
        <v>27</v>
      </c>
      <c r="B19" s="12">
        <v>45727</v>
      </c>
      <c r="C19" t="s">
        <v>18</v>
      </c>
      <c r="D19" t="s">
        <v>48</v>
      </c>
      <c r="E19" t="s">
        <v>336</v>
      </c>
      <c r="F19" t="s">
        <v>69</v>
      </c>
      <c r="G19" s="3">
        <v>64.48</v>
      </c>
      <c r="H19" s="2">
        <f>G18*0.3</f>
        <v>121.31699999999999</v>
      </c>
      <c r="I19" s="8">
        <f>G18*0.15</f>
        <v>60.658499999999997</v>
      </c>
      <c r="J19" s="3">
        <f>G19+H19</f>
        <v>185.797</v>
      </c>
      <c r="K19" s="3">
        <f>J19*1.13</f>
        <v>209.95060999999998</v>
      </c>
      <c r="L19" s="25">
        <v>0</v>
      </c>
      <c r="M19" s="7" t="s">
        <v>606</v>
      </c>
      <c r="N19" s="8">
        <v>300</v>
      </c>
      <c r="O19" s="3">
        <v>100</v>
      </c>
      <c r="P19" s="3">
        <v>88.45</v>
      </c>
      <c r="Q19" s="3">
        <f>P19-G19</f>
        <v>23.97</v>
      </c>
      <c r="R19" s="10">
        <f>Q19/O19</f>
        <v>0.2397</v>
      </c>
      <c r="S19" s="13">
        <v>45814</v>
      </c>
      <c r="T19" s="7">
        <f ca="1">IF(S19&lt;&gt;"",S19-B19,TODAY()-B19)</f>
        <v>87</v>
      </c>
      <c r="U19" s="10"/>
      <c r="V19" s="3">
        <f>IF((G19+H19)&lt;15,(G19+H19+2.95), ((G19+H19)*1.2))</f>
        <v>222.9564</v>
      </c>
      <c r="W19" s="3">
        <f>IF((G19+I19)&lt;15,(G19+I19+2.95), ((G19+I19)*1.2))</f>
        <v>150.16619999999998</v>
      </c>
    </row>
    <row r="20" spans="1:24" hidden="1">
      <c r="A20">
        <v>28</v>
      </c>
      <c r="B20" s="12">
        <v>45726</v>
      </c>
      <c r="C20" t="s">
        <v>18</v>
      </c>
      <c r="D20" t="s">
        <v>72</v>
      </c>
      <c r="E20" t="s">
        <v>73</v>
      </c>
      <c r="F20" t="s">
        <v>74</v>
      </c>
      <c r="G20" s="3">
        <v>29.55</v>
      </c>
      <c r="H20" s="3">
        <f>G20*0.4</f>
        <v>11.82</v>
      </c>
      <c r="I20" s="8">
        <f>G19*0.15</f>
        <v>9.6720000000000006</v>
      </c>
      <c r="J20" s="3">
        <f>G20+H20</f>
        <v>41.370000000000005</v>
      </c>
      <c r="K20" s="3">
        <f>J20*1.13</f>
        <v>46.748100000000001</v>
      </c>
      <c r="L20" s="25">
        <v>1</v>
      </c>
      <c r="N20" s="8">
        <v>75</v>
      </c>
      <c r="P20"/>
      <c r="Q20" s="3">
        <f>P20-G19</f>
        <v>-64.48</v>
      </c>
      <c r="R20" s="10" t="e">
        <f>Q20/O20</f>
        <v>#DIV/0!</v>
      </c>
      <c r="S20" s="10"/>
      <c r="T20" s="7">
        <f ca="1">IF(S20&lt;&gt;"",S20-B20,TODAY()-B20)</f>
        <v>140</v>
      </c>
      <c r="U20" s="10"/>
      <c r="V20" s="3">
        <f>IF((G20+H20)&lt;15,(G20+H20+2.95), ((G20+H20)*1.2))</f>
        <v>49.644000000000005</v>
      </c>
      <c r="W20" s="3">
        <f>IF((G20+I20)&lt;15,(G20+I20+2.95), ((G20+I20)*1.2))</f>
        <v>47.066400000000002</v>
      </c>
    </row>
    <row r="21" spans="1:24">
      <c r="A21">
        <v>29</v>
      </c>
      <c r="B21" s="12">
        <v>45726</v>
      </c>
      <c r="C21" t="s">
        <v>18</v>
      </c>
      <c r="D21" t="s">
        <v>72</v>
      </c>
      <c r="E21" t="s">
        <v>75</v>
      </c>
      <c r="F21" t="s">
        <v>74</v>
      </c>
      <c r="G21" s="3">
        <v>27.23</v>
      </c>
      <c r="H21" s="3">
        <f>G21*0.4</f>
        <v>10.892000000000001</v>
      </c>
      <c r="I21" s="8">
        <f>G21*0.15</f>
        <v>4.0845000000000002</v>
      </c>
      <c r="J21" s="3">
        <f>G21+H21</f>
        <v>38.122</v>
      </c>
      <c r="K21" s="3">
        <f>J21*1.13</f>
        <v>43.077859999999994</v>
      </c>
      <c r="L21" s="25">
        <v>0</v>
      </c>
      <c r="N21" s="8">
        <v>75</v>
      </c>
      <c r="O21" s="3">
        <v>0</v>
      </c>
      <c r="P21" s="3">
        <v>0</v>
      </c>
      <c r="Q21" s="3">
        <f>P21-G21</f>
        <v>-27.23</v>
      </c>
      <c r="R21" s="10" t="e">
        <f>Q21/O21</f>
        <v>#DIV/0!</v>
      </c>
      <c r="S21" s="13">
        <v>45835</v>
      </c>
      <c r="T21" s="7">
        <f ca="1">IF(S21&lt;&gt;"",S21-B21,TODAY()-B21)</f>
        <v>109</v>
      </c>
      <c r="U21" s="10"/>
      <c r="V21" s="3">
        <f>IF((G21+H21)&lt;15,(G21+H21+2.95), ((G21+H21)*1.2))</f>
        <v>45.746400000000001</v>
      </c>
      <c r="W21" s="3">
        <f>IF((G21+I21)&lt;15,(G21+I21+2.95), ((G21+I21)*1.2))</f>
        <v>37.577400000000004</v>
      </c>
    </row>
    <row r="22" spans="1:24" hidden="1">
      <c r="A22">
        <v>30</v>
      </c>
      <c r="B22" s="12">
        <v>45725</v>
      </c>
      <c r="C22" t="s">
        <v>18</v>
      </c>
      <c r="D22" t="s">
        <v>72</v>
      </c>
      <c r="E22" t="s">
        <v>76</v>
      </c>
      <c r="F22" t="s">
        <v>77</v>
      </c>
      <c r="G22" s="3">
        <v>57.79</v>
      </c>
      <c r="H22" s="3">
        <f>G22*0.4</f>
        <v>23.116</v>
      </c>
      <c r="I22" s="8">
        <f>G22*0.15</f>
        <v>8.6684999999999999</v>
      </c>
      <c r="J22" s="3">
        <f>G22+H22</f>
        <v>80.906000000000006</v>
      </c>
      <c r="K22" s="3">
        <f>J22*1.13</f>
        <v>91.423779999999994</v>
      </c>
      <c r="L22" s="25">
        <v>1</v>
      </c>
      <c r="N22" s="8">
        <v>85</v>
      </c>
      <c r="P22"/>
      <c r="Q22" s="3">
        <f>P22-G22</f>
        <v>-57.79</v>
      </c>
      <c r="R22" s="10" t="e">
        <f>Q22/O22</f>
        <v>#DIV/0!</v>
      </c>
      <c r="S22" s="10"/>
      <c r="T22" s="7">
        <f ca="1">IF(S22&lt;&gt;"",S22-B22,TODAY()-B22)</f>
        <v>141</v>
      </c>
      <c r="U22" s="10"/>
      <c r="V22" s="3">
        <f>IF((G22+H22)&lt;15,(G22+H22+2.95), ((G22+H22)*1.2))</f>
        <v>97.08720000000001</v>
      </c>
      <c r="W22" s="3">
        <f>IF((G22+I22)&lt;15,(G22+I22+2.95), ((G22+I22)*1.2))</f>
        <v>79.750199999999992</v>
      </c>
    </row>
    <row r="23" spans="1:24">
      <c r="A23">
        <v>33</v>
      </c>
      <c r="B23" s="12">
        <v>45725</v>
      </c>
      <c r="C23" t="s">
        <v>18</v>
      </c>
      <c r="D23" t="s">
        <v>55</v>
      </c>
      <c r="E23" t="s">
        <v>227</v>
      </c>
      <c r="F23" t="s">
        <v>226</v>
      </c>
      <c r="G23" s="3">
        <v>281.19</v>
      </c>
      <c r="H23" s="2">
        <f>G23*0.3</f>
        <v>84.356999999999999</v>
      </c>
      <c r="I23" s="8">
        <f>G23*0.15</f>
        <v>42.1785</v>
      </c>
      <c r="J23" s="3">
        <f>G23+H23</f>
        <v>365.54700000000003</v>
      </c>
      <c r="K23" s="3">
        <f>J23*1.13</f>
        <v>413.06810999999999</v>
      </c>
      <c r="L23" s="25">
        <v>0</v>
      </c>
      <c r="N23" s="8">
        <v>603</v>
      </c>
      <c r="O23" s="3">
        <v>374</v>
      </c>
      <c r="P23" s="3">
        <v>336</v>
      </c>
      <c r="Q23" s="3">
        <f>P23-G23</f>
        <v>54.81</v>
      </c>
      <c r="R23" s="10">
        <f>Q23/O23</f>
        <v>0.14655080213903743</v>
      </c>
      <c r="S23" s="13">
        <v>45741</v>
      </c>
      <c r="T23" s="7">
        <f ca="1">IF(S23&lt;&gt;"",S23-B23,TODAY()-B23)</f>
        <v>16</v>
      </c>
      <c r="U23" s="10"/>
      <c r="V23" s="3">
        <f>IF((G23+H23)&lt;15,(G23+H23+2.95), ((G23+H23)*1.2))</f>
        <v>438.65640000000002</v>
      </c>
      <c r="X23" t="s">
        <v>382</v>
      </c>
    </row>
    <row r="24" spans="1:24">
      <c r="A24">
        <v>34</v>
      </c>
      <c r="B24" s="12">
        <v>45725</v>
      </c>
      <c r="C24" t="s">
        <v>18</v>
      </c>
      <c r="D24" t="s">
        <v>78</v>
      </c>
      <c r="E24" t="s">
        <v>220</v>
      </c>
      <c r="F24" t="s">
        <v>79</v>
      </c>
      <c r="G24" s="3">
        <v>103.76</v>
      </c>
      <c r="H24" s="2">
        <f>G24*0.3</f>
        <v>31.128</v>
      </c>
      <c r="I24" s="8">
        <f>G24*0.15</f>
        <v>15.564</v>
      </c>
      <c r="J24" s="3">
        <f>G24+H24</f>
        <v>134.88800000000001</v>
      </c>
      <c r="K24" s="3">
        <f>J24*1.13</f>
        <v>152.42344</v>
      </c>
      <c r="L24" s="25">
        <v>0</v>
      </c>
      <c r="N24" s="8">
        <v>300</v>
      </c>
      <c r="O24" s="3">
        <v>215</v>
      </c>
      <c r="P24" s="3">
        <v>190.57</v>
      </c>
      <c r="Q24" s="3">
        <f>P24-G24</f>
        <v>86.809999999999988</v>
      </c>
      <c r="R24" s="10">
        <f>Q24/O24</f>
        <v>0.40376744186046504</v>
      </c>
      <c r="S24" s="13">
        <v>45766</v>
      </c>
      <c r="T24" s="7">
        <f ca="1">IF(S24&lt;&gt;"",S24-B24,TODAY()-B24)</f>
        <v>41</v>
      </c>
      <c r="U24" s="10"/>
      <c r="V24" s="3">
        <f>IF((G24+H24)&lt;15,(G24+H24+2.95), ((G24+H24)*1.2))</f>
        <v>161.8656</v>
      </c>
      <c r="W24" s="3">
        <f>IF((G24+I24)&lt;15,(G24+I24+2.95), ((G24+I24)*1.2))</f>
        <v>143.18880000000001</v>
      </c>
    </row>
    <row r="25" spans="1:24">
      <c r="A25">
        <v>35</v>
      </c>
      <c r="B25" s="12">
        <v>45725</v>
      </c>
      <c r="C25" t="s">
        <v>18</v>
      </c>
      <c r="D25" t="s">
        <v>78</v>
      </c>
      <c r="E25" s="15" t="s">
        <v>221</v>
      </c>
      <c r="G25" s="3">
        <v>90.16</v>
      </c>
      <c r="H25" s="2">
        <f>G25*0.3</f>
        <v>27.047999999999998</v>
      </c>
      <c r="I25" s="8">
        <f>G25*0.15</f>
        <v>13.523999999999999</v>
      </c>
      <c r="J25" s="3">
        <f>G25+H25</f>
        <v>117.208</v>
      </c>
      <c r="K25" s="3">
        <f>J25*1.13</f>
        <v>132.44503999999998</v>
      </c>
      <c r="L25" s="25">
        <v>0</v>
      </c>
      <c r="M25" s="7" t="s">
        <v>606</v>
      </c>
      <c r="N25" s="8">
        <v>200</v>
      </c>
      <c r="O25" s="3">
        <v>73</v>
      </c>
      <c r="P25" s="3">
        <v>64.55</v>
      </c>
      <c r="Q25" s="3">
        <f>P25-G25</f>
        <v>-25.61</v>
      </c>
      <c r="R25" s="10">
        <f>Q25/O25</f>
        <v>-0.3508219178082192</v>
      </c>
      <c r="S25" s="13">
        <v>45793</v>
      </c>
      <c r="T25" s="7">
        <f ca="1">IF(S25&lt;&gt;"",S25-B25,TODAY()-B25)</f>
        <v>68</v>
      </c>
      <c r="U25" s="10" t="s">
        <v>298</v>
      </c>
      <c r="V25" s="3">
        <f>IF((G25+H25)&lt;15,(G25+H25+2.95), ((G25+H25)*1.2))</f>
        <v>140.64959999999999</v>
      </c>
      <c r="W25" s="3">
        <f>IF((G25+I25)&lt;15,(G25+I25+2.95), ((G25+I25)*1.2))</f>
        <v>124.42079999999999</v>
      </c>
    </row>
    <row r="26" spans="1:24" hidden="1">
      <c r="A26">
        <v>37</v>
      </c>
      <c r="B26" s="12">
        <v>45725</v>
      </c>
      <c r="C26" t="s">
        <v>18</v>
      </c>
      <c r="D26" t="s">
        <v>58</v>
      </c>
      <c r="E26" t="s">
        <v>222</v>
      </c>
      <c r="F26" t="s">
        <v>62</v>
      </c>
      <c r="G26" s="3">
        <v>304.57</v>
      </c>
      <c r="H26" s="3">
        <f>G26*0.4</f>
        <v>121.828</v>
      </c>
      <c r="I26" s="8">
        <f>G26*0.15</f>
        <v>45.685499999999998</v>
      </c>
      <c r="J26" s="3">
        <f>G26+H26</f>
        <v>426.39800000000002</v>
      </c>
      <c r="K26" s="3">
        <f>J26*1.13</f>
        <v>481.82973999999996</v>
      </c>
      <c r="L26" s="25">
        <v>1</v>
      </c>
      <c r="M26" s="7" t="s">
        <v>606</v>
      </c>
      <c r="N26" s="8">
        <v>650</v>
      </c>
      <c r="P26"/>
      <c r="Q26" s="3">
        <f>P26-G26</f>
        <v>-304.57</v>
      </c>
      <c r="R26" s="10" t="e">
        <f>Q26/O26</f>
        <v>#DIV/0!</v>
      </c>
      <c r="S26" s="10"/>
      <c r="T26" s="7">
        <f ca="1">IF(S26&lt;&gt;"",S26-B26,TODAY()-B26)</f>
        <v>141</v>
      </c>
      <c r="U26" s="10"/>
      <c r="V26" s="3">
        <f>IF((G26+H26)&lt;15,(G26+H26+2.95), ((G26+H26)*1.2))</f>
        <v>511.67759999999998</v>
      </c>
      <c r="X26" t="s">
        <v>305</v>
      </c>
    </row>
    <row r="27" spans="1:24" hidden="1">
      <c r="A27">
        <v>38</v>
      </c>
      <c r="B27" s="12">
        <v>45725</v>
      </c>
      <c r="C27" t="s">
        <v>18</v>
      </c>
      <c r="D27" t="s">
        <v>58</v>
      </c>
      <c r="E27" t="s">
        <v>697</v>
      </c>
      <c r="G27" s="3">
        <f>601.95/2</f>
        <v>300.97500000000002</v>
      </c>
      <c r="H27" s="3">
        <f>G27*0.4</f>
        <v>120.39000000000001</v>
      </c>
      <c r="I27" s="8">
        <f>G27*0.15</f>
        <v>45.146250000000002</v>
      </c>
      <c r="J27" s="3">
        <f>G27+H27</f>
        <v>421.36500000000001</v>
      </c>
      <c r="K27" s="3">
        <f>J27*1.13</f>
        <v>476.14244999999994</v>
      </c>
      <c r="L27" s="25">
        <v>1</v>
      </c>
      <c r="M27" s="7" t="s">
        <v>606</v>
      </c>
      <c r="N27" s="8">
        <v>480</v>
      </c>
      <c r="P27"/>
      <c r="Q27" s="3">
        <f>P27-G27</f>
        <v>-300.97500000000002</v>
      </c>
      <c r="R27" s="10" t="e">
        <f>Q27/O27</f>
        <v>#DIV/0!</v>
      </c>
      <c r="S27" s="10"/>
      <c r="T27" s="7">
        <f ca="1">IF(S27&lt;&gt;"",S27-B27,TODAY()-B27)</f>
        <v>141</v>
      </c>
      <c r="U27" s="10"/>
      <c r="V27" s="3">
        <f>IF((G27+H27)&lt;15,(G27+H27+2.95), ((G27+H27)*1.2))</f>
        <v>505.63799999999998</v>
      </c>
      <c r="X27" t="s">
        <v>306</v>
      </c>
    </row>
    <row r="28" spans="1:24">
      <c r="A28">
        <v>39</v>
      </c>
      <c r="B28" s="12">
        <v>45725</v>
      </c>
      <c r="C28" t="s">
        <v>18</v>
      </c>
      <c r="D28" t="s">
        <v>58</v>
      </c>
      <c r="E28" t="s">
        <v>84</v>
      </c>
      <c r="F28" t="s">
        <v>85</v>
      </c>
      <c r="G28" s="3">
        <v>152.46</v>
      </c>
      <c r="H28" s="2">
        <f>G28*0.3</f>
        <v>45.738</v>
      </c>
      <c r="I28" s="8">
        <f>G28*0.15</f>
        <v>22.869</v>
      </c>
      <c r="J28" s="3">
        <f>G28+H28</f>
        <v>198.19800000000001</v>
      </c>
      <c r="K28" s="3">
        <f>J28*1.13</f>
        <v>223.96374</v>
      </c>
      <c r="L28" s="25">
        <v>0</v>
      </c>
      <c r="M28" s="7" t="s">
        <v>606</v>
      </c>
      <c r="N28" s="8">
        <v>335</v>
      </c>
      <c r="O28" s="3">
        <v>225</v>
      </c>
      <c r="P28" s="3">
        <v>171.73</v>
      </c>
      <c r="Q28" s="3">
        <f>P28-G28</f>
        <v>19.269999999999982</v>
      </c>
      <c r="R28" s="10">
        <f>Q28/O28</f>
        <v>8.564444444444437E-2</v>
      </c>
      <c r="S28" s="13">
        <v>45800</v>
      </c>
      <c r="T28" s="7">
        <f ca="1">IF(S28&lt;&gt;"",S28-B28,TODAY()-B28)</f>
        <v>75</v>
      </c>
      <c r="U28" s="10"/>
      <c r="V28" s="3">
        <f>IF((G28+H28)&lt;15,(G28+H28+2.95), ((G28+H28)*1.2))</f>
        <v>237.83760000000001</v>
      </c>
      <c r="W28" s="3">
        <f>IF((G28+I28)&lt;15,(G28+I28+2.95), ((G28+I28)*1.2))</f>
        <v>210.3948</v>
      </c>
      <c r="X28" t="s">
        <v>391</v>
      </c>
    </row>
    <row r="29" spans="1:24">
      <c r="A29">
        <v>40</v>
      </c>
      <c r="B29" s="12">
        <v>45725</v>
      </c>
      <c r="C29" t="s">
        <v>18</v>
      </c>
      <c r="D29" t="s">
        <v>58</v>
      </c>
      <c r="E29" t="s">
        <v>223</v>
      </c>
      <c r="F29" t="s">
        <v>224</v>
      </c>
      <c r="G29" s="3">
        <v>243.94</v>
      </c>
      <c r="H29" s="2">
        <f>G29*0.3</f>
        <v>73.182000000000002</v>
      </c>
      <c r="I29" s="8">
        <f>G29*0.15</f>
        <v>36.591000000000001</v>
      </c>
      <c r="J29" s="3">
        <f>G29+H29</f>
        <v>317.12200000000001</v>
      </c>
      <c r="K29" s="3">
        <f>J29*1.13</f>
        <v>358.34785999999997</v>
      </c>
      <c r="L29" s="25">
        <v>0</v>
      </c>
      <c r="N29" s="3">
        <v>470</v>
      </c>
      <c r="O29" s="3">
        <v>312.5</v>
      </c>
      <c r="P29" s="3">
        <v>277</v>
      </c>
      <c r="Q29" s="3">
        <f>P29-G29</f>
        <v>33.06</v>
      </c>
      <c r="R29" s="10">
        <f>Q29/O29</f>
        <v>0.10579200000000001</v>
      </c>
      <c r="S29" s="13">
        <v>45766</v>
      </c>
      <c r="T29" s="7">
        <f ca="1">IF(S29&lt;&gt;"",S29-B29,TODAY()-B29)</f>
        <v>41</v>
      </c>
      <c r="U29" s="10"/>
      <c r="V29" s="3">
        <f>IF((G29+H29)&lt;15,(G29+H29+2.95), ((G29+H29)*1.2))</f>
        <v>380.54640000000001</v>
      </c>
      <c r="X29" t="s">
        <v>386</v>
      </c>
    </row>
    <row r="30" spans="1:24">
      <c r="A30">
        <v>41</v>
      </c>
      <c r="B30" s="12">
        <v>45725</v>
      </c>
      <c r="C30" t="s">
        <v>18</v>
      </c>
      <c r="D30" t="s">
        <v>58</v>
      </c>
      <c r="E30" t="s">
        <v>225</v>
      </c>
      <c r="F30" t="s">
        <v>226</v>
      </c>
      <c r="G30" s="3">
        <v>112.17</v>
      </c>
      <c r="H30" s="3">
        <f>G30*0.4</f>
        <v>44.868000000000002</v>
      </c>
      <c r="I30" s="8">
        <f>G30*0.15</f>
        <v>16.825499999999998</v>
      </c>
      <c r="J30" s="3">
        <f>G30+H30</f>
        <v>157.03800000000001</v>
      </c>
      <c r="K30" s="3">
        <f>J30*1.13</f>
        <v>177.45293999999998</v>
      </c>
      <c r="L30" s="25">
        <v>0</v>
      </c>
      <c r="M30" s="7" t="s">
        <v>606</v>
      </c>
      <c r="N30" s="8">
        <v>280</v>
      </c>
      <c r="O30" s="3">
        <v>165</v>
      </c>
      <c r="P30" s="3">
        <v>146.37</v>
      </c>
      <c r="Q30" s="3">
        <f>P30-G30</f>
        <v>34.200000000000003</v>
      </c>
      <c r="R30" s="10">
        <f>Q30/O30</f>
        <v>0.2072727272727273</v>
      </c>
      <c r="S30" s="13">
        <v>45855</v>
      </c>
      <c r="T30" s="7">
        <f ca="1">IF(S30&lt;&gt;"",S30-B30,TODAY()-B30)</f>
        <v>130</v>
      </c>
      <c r="U30" s="10"/>
      <c r="V30" s="3">
        <f>IF((G30+H30)&lt;15,(G30+H30+2.95), ((G30+H30)*1.2))</f>
        <v>188.44560000000001</v>
      </c>
      <c r="W30" s="3">
        <f>IF((G30+I30)&lt;15,(G30+I30+2.95), ((G30+I30)*1.2))</f>
        <v>154.79459999999997</v>
      </c>
      <c r="X30" t="s">
        <v>394</v>
      </c>
    </row>
    <row r="31" spans="1:24" hidden="1">
      <c r="A31">
        <v>42</v>
      </c>
      <c r="B31" s="12">
        <v>45725</v>
      </c>
      <c r="C31" t="s">
        <v>18</v>
      </c>
      <c r="D31" t="s">
        <v>58</v>
      </c>
      <c r="E31" t="s">
        <v>84</v>
      </c>
      <c r="F31" t="s">
        <v>224</v>
      </c>
      <c r="G31" s="3">
        <v>197.34</v>
      </c>
      <c r="H31" s="3">
        <f>G31*0.4</f>
        <v>78.936000000000007</v>
      </c>
      <c r="I31" s="8">
        <f>G31*0.15</f>
        <v>29.600999999999999</v>
      </c>
      <c r="J31" s="3">
        <f>G31+H31</f>
        <v>276.27600000000001</v>
      </c>
      <c r="K31" s="3">
        <f>J31*1.13</f>
        <v>312.19187999999997</v>
      </c>
      <c r="L31" s="25">
        <v>1</v>
      </c>
      <c r="M31" s="7" t="s">
        <v>606</v>
      </c>
      <c r="N31" s="8">
        <v>350</v>
      </c>
      <c r="P31"/>
      <c r="Q31" s="3">
        <f>P31-G31</f>
        <v>-197.34</v>
      </c>
      <c r="R31" s="10" t="e">
        <f>Q31/O31</f>
        <v>#DIV/0!</v>
      </c>
      <c r="S31" s="10"/>
      <c r="T31" s="7">
        <f ca="1">IF(S31&lt;&gt;"",S31-B31,TODAY()-B31)</f>
        <v>141</v>
      </c>
      <c r="U31" s="10"/>
      <c r="V31" s="3">
        <f>IF((G31+H31)&lt;15,(G31+H31+2.95), ((G31+H31)*1.2))</f>
        <v>331.53120000000001</v>
      </c>
      <c r="W31" s="3">
        <f>IF((G31+I31)&lt;15,(G31+I31+2.95), ((G31+I31)*1.2))</f>
        <v>272.32920000000001</v>
      </c>
      <c r="X31" t="s">
        <v>390</v>
      </c>
    </row>
    <row r="32" spans="1:24">
      <c r="A32">
        <v>44</v>
      </c>
      <c r="B32" s="12">
        <v>45725</v>
      </c>
      <c r="C32" t="s">
        <v>18</v>
      </c>
      <c r="D32" t="s">
        <v>39</v>
      </c>
      <c r="E32" t="s">
        <v>93</v>
      </c>
      <c r="F32" t="s">
        <v>94</v>
      </c>
      <c r="G32" s="3">
        <v>28.31</v>
      </c>
      <c r="H32" s="2">
        <f>G32*0.3</f>
        <v>8.4929999999999986</v>
      </c>
      <c r="I32" s="8">
        <f>G32*0.15</f>
        <v>4.2464999999999993</v>
      </c>
      <c r="J32" s="3">
        <f>G32+H32</f>
        <v>36.802999999999997</v>
      </c>
      <c r="K32" s="3">
        <f>J32*1.13</f>
        <v>41.587389999999992</v>
      </c>
      <c r="L32" s="25">
        <v>0</v>
      </c>
      <c r="N32" s="8">
        <v>60</v>
      </c>
      <c r="O32" s="3">
        <v>40</v>
      </c>
      <c r="P32" s="3">
        <v>35.18</v>
      </c>
      <c r="Q32" s="3">
        <f>P32-G32</f>
        <v>6.870000000000001</v>
      </c>
      <c r="R32" s="10">
        <f>Q32/O32</f>
        <v>0.17175000000000001</v>
      </c>
      <c r="S32" s="10"/>
      <c r="T32" s="7">
        <f ca="1">IF(S32&lt;&gt;"",S32-B32,TODAY()-B32)</f>
        <v>141</v>
      </c>
      <c r="U32" s="10"/>
      <c r="V32" s="3">
        <f>IF((G32+H32)&lt;15,(G32+H32+2.95), ((G32+H32)*1.2))</f>
        <v>44.163599999999995</v>
      </c>
      <c r="W32" s="3">
        <f>IF((G32+I32)&lt;15,(G32+I32+2.95), ((G32+I32)*1.2))</f>
        <v>39.067799999999998</v>
      </c>
    </row>
    <row r="33" spans="1:24">
      <c r="A33">
        <v>47</v>
      </c>
      <c r="B33" s="12">
        <v>45725</v>
      </c>
      <c r="C33" t="s">
        <v>18</v>
      </c>
      <c r="D33" t="s">
        <v>99</v>
      </c>
      <c r="E33" t="s">
        <v>228</v>
      </c>
      <c r="F33" t="s">
        <v>226</v>
      </c>
      <c r="G33" s="3">
        <v>234.98</v>
      </c>
      <c r="H33" s="2">
        <f>G33*0.3</f>
        <v>70.494</v>
      </c>
      <c r="I33" s="8">
        <f>G33*0.15</f>
        <v>35.247</v>
      </c>
      <c r="J33" s="3">
        <f>G33+H33</f>
        <v>305.47399999999999</v>
      </c>
      <c r="K33" s="3">
        <f>J33*1.13</f>
        <v>345.18561999999997</v>
      </c>
      <c r="L33" s="25">
        <v>0</v>
      </c>
      <c r="N33" s="8">
        <v>365</v>
      </c>
      <c r="O33" s="3">
        <v>312.5</v>
      </c>
      <c r="P33" s="3">
        <v>277</v>
      </c>
      <c r="Q33" s="3">
        <f>P33-G33</f>
        <v>42.02000000000001</v>
      </c>
      <c r="R33" s="10">
        <f>Q33/O33</f>
        <v>0.13446400000000003</v>
      </c>
      <c r="S33" s="13">
        <v>45766</v>
      </c>
      <c r="T33" s="7">
        <f ca="1">IF(S33&lt;&gt;"",S33-B33,TODAY()-B33)</f>
        <v>41</v>
      </c>
      <c r="U33" s="10"/>
      <c r="V33" s="3">
        <f>IF((G33+H33)&lt;15,(G33+H33+2.95), ((G33+H33)*1.2))</f>
        <v>366.56879999999995</v>
      </c>
      <c r="X33" t="s">
        <v>387</v>
      </c>
    </row>
    <row r="34" spans="1:24" hidden="1">
      <c r="A34">
        <v>49</v>
      </c>
      <c r="B34" s="12">
        <v>45725</v>
      </c>
      <c r="C34" t="s">
        <v>18</v>
      </c>
      <c r="D34" t="s">
        <v>101</v>
      </c>
      <c r="E34" t="s">
        <v>230</v>
      </c>
      <c r="F34" t="s">
        <v>231</v>
      </c>
      <c r="G34" s="3">
        <v>404.12</v>
      </c>
      <c r="H34" s="3">
        <f>G34*0.4</f>
        <v>161.64800000000002</v>
      </c>
      <c r="I34" s="8">
        <f>G34*0.15</f>
        <v>60.617999999999995</v>
      </c>
      <c r="J34" s="3">
        <f>G34+H34</f>
        <v>565.76800000000003</v>
      </c>
      <c r="K34" s="3">
        <f>J34*1.13</f>
        <v>639.31783999999993</v>
      </c>
      <c r="L34" s="25">
        <v>1</v>
      </c>
      <c r="M34" s="7" t="s">
        <v>606</v>
      </c>
      <c r="N34" s="8">
        <v>580</v>
      </c>
      <c r="Q34" s="3">
        <f>P34-G34</f>
        <v>-404.12</v>
      </c>
      <c r="R34" s="10" t="e">
        <f>Q34/O34</f>
        <v>#DIV/0!</v>
      </c>
      <c r="T34" s="7">
        <f ca="1">IF(S34&lt;&gt;"",S34-B34,TODAY()-B34)</f>
        <v>141</v>
      </c>
      <c r="U34" s="10"/>
      <c r="V34" s="3">
        <f>IF((G34+H34)&lt;15,(G34+H34+2.95), ((G34+H34)*1.2))</f>
        <v>678.92160000000001</v>
      </c>
      <c r="X34" t="s">
        <v>302</v>
      </c>
    </row>
    <row r="35" spans="1:24">
      <c r="A35">
        <v>50</v>
      </c>
      <c r="B35" s="12">
        <v>45724</v>
      </c>
      <c r="C35" t="s">
        <v>18</v>
      </c>
      <c r="D35" t="s">
        <v>103</v>
      </c>
      <c r="E35" t="s">
        <v>232</v>
      </c>
      <c r="F35" t="s">
        <v>104</v>
      </c>
      <c r="G35" s="3">
        <v>51.41</v>
      </c>
      <c r="H35" s="2">
        <f>G35*0.3</f>
        <v>15.422999999999998</v>
      </c>
      <c r="I35" s="8">
        <f>G35*0.15</f>
        <v>7.7114999999999991</v>
      </c>
      <c r="J35" s="3">
        <f>G35+H35</f>
        <v>66.832999999999998</v>
      </c>
      <c r="K35" s="3">
        <f>J35*1.13</f>
        <v>75.521289999999993</v>
      </c>
      <c r="L35" s="25">
        <v>0</v>
      </c>
      <c r="N35" s="8">
        <v>120</v>
      </c>
      <c r="O35" s="3">
        <v>126.65</v>
      </c>
      <c r="P35" s="3">
        <v>111.99</v>
      </c>
      <c r="Q35" s="3">
        <f>P35-G35</f>
        <v>60.58</v>
      </c>
      <c r="R35" s="10">
        <f>Q35/O35</f>
        <v>0.47832609553888666</v>
      </c>
      <c r="S35" s="13">
        <v>45766</v>
      </c>
      <c r="T35" s="7">
        <f ca="1">IF(S35&lt;&gt;"",S35-B35,TODAY()-B35)</f>
        <v>42</v>
      </c>
      <c r="U35" s="10"/>
      <c r="V35" s="3">
        <f>IF((G35+H35)&lt;15,(G35+H35+2.95), ((G35+H35)*1.2))</f>
        <v>80.19959999999999</v>
      </c>
      <c r="W35" s="3">
        <f>IF((G35+I35)&lt;15,(G35+I35+2.95), ((G35+I35)*1.2))</f>
        <v>70.945799999999991</v>
      </c>
    </row>
    <row r="36" spans="1:24">
      <c r="A36">
        <v>52</v>
      </c>
      <c r="B36" s="12">
        <v>45724</v>
      </c>
      <c r="C36" t="s">
        <v>18</v>
      </c>
      <c r="D36" t="s">
        <v>99</v>
      </c>
      <c r="E36" t="s">
        <v>767</v>
      </c>
      <c r="F36" t="s">
        <v>107</v>
      </c>
      <c r="G36" s="3">
        <v>97.79</v>
      </c>
      <c r="H36" s="2">
        <f>G36*0.3</f>
        <v>29.337</v>
      </c>
      <c r="I36" s="8">
        <f>G36*0.15</f>
        <v>14.6685</v>
      </c>
      <c r="J36" s="3">
        <f>G36+H36</f>
        <v>127.12700000000001</v>
      </c>
      <c r="K36" s="3">
        <f>J36*1.13</f>
        <v>143.65351000000001</v>
      </c>
      <c r="L36" s="25">
        <v>0</v>
      </c>
      <c r="M36" s="7" t="s">
        <v>606</v>
      </c>
      <c r="N36" s="8">
        <v>200</v>
      </c>
      <c r="O36" s="3">
        <v>65</v>
      </c>
      <c r="P36" s="3">
        <v>57.19</v>
      </c>
      <c r="Q36" s="3">
        <f>P36-G36</f>
        <v>-40.600000000000009</v>
      </c>
      <c r="R36" s="10">
        <f>Q36/O36</f>
        <v>-0.62461538461538479</v>
      </c>
      <c r="S36" s="13">
        <v>45798</v>
      </c>
      <c r="T36" s="7">
        <f ca="1">IF(S36&lt;&gt;"",S36-B36,TODAY()-B36)</f>
        <v>74</v>
      </c>
      <c r="U36" s="10"/>
      <c r="V36" s="3">
        <f>IF((G36+H36)&lt;15,(G36+H36+2.95), ((G36+H36)*1.2))</f>
        <v>152.55240000000001</v>
      </c>
      <c r="W36" s="3">
        <f>IF((G36+I36)&lt;15,(G36+I36+2.95), ((G36+I36)*1.2))</f>
        <v>134.9502</v>
      </c>
    </row>
    <row r="37" spans="1:24" hidden="1">
      <c r="A37">
        <v>53</v>
      </c>
      <c r="B37" s="12">
        <v>45724</v>
      </c>
      <c r="C37" t="s">
        <v>18</v>
      </c>
      <c r="D37" t="s">
        <v>53</v>
      </c>
      <c r="E37" t="s">
        <v>234</v>
      </c>
      <c r="F37" t="s">
        <v>224</v>
      </c>
      <c r="G37" s="3">
        <v>261.05</v>
      </c>
      <c r="H37" s="3">
        <f>G37*0.4</f>
        <v>104.42000000000002</v>
      </c>
      <c r="I37" s="8">
        <f>G37*0.15</f>
        <v>39.157499999999999</v>
      </c>
      <c r="J37" s="3">
        <f>G37+H37</f>
        <v>365.47</v>
      </c>
      <c r="K37" s="3">
        <f>J37*1.13</f>
        <v>412.98109999999997</v>
      </c>
      <c r="L37" s="25">
        <v>1</v>
      </c>
      <c r="M37" s="7" t="s">
        <v>606</v>
      </c>
      <c r="N37" s="8">
        <v>450</v>
      </c>
      <c r="P37"/>
      <c r="Q37" s="3">
        <f>P37-G37</f>
        <v>-261.05</v>
      </c>
      <c r="R37" s="10" t="e">
        <f>Q37/O37</f>
        <v>#DIV/0!</v>
      </c>
      <c r="S37" s="10"/>
      <c r="T37" s="7">
        <f ca="1">IF(S37&lt;&gt;"",S37-B37,TODAY()-B37)</f>
        <v>142</v>
      </c>
      <c r="U37" s="10"/>
      <c r="V37" s="3">
        <f>IF((G37+H37)&lt;15,(G37+H37+2.95), ((G37+H37)*1.2))</f>
        <v>438.56400000000002</v>
      </c>
      <c r="X37" t="s">
        <v>384</v>
      </c>
    </row>
    <row r="38" spans="1:24">
      <c r="A38">
        <v>54</v>
      </c>
      <c r="B38" s="12">
        <v>45724</v>
      </c>
      <c r="C38" t="s">
        <v>18</v>
      </c>
      <c r="D38" t="s">
        <v>55</v>
      </c>
      <c r="E38" t="s">
        <v>235</v>
      </c>
      <c r="F38" t="s">
        <v>226</v>
      </c>
      <c r="G38" s="3">
        <v>147.96</v>
      </c>
      <c r="H38" s="2">
        <f>G38*0.3</f>
        <v>44.387999999999998</v>
      </c>
      <c r="I38" s="8">
        <f>G38*0.15</f>
        <v>22.193999999999999</v>
      </c>
      <c r="J38" s="3">
        <f>G38+H38</f>
        <v>192.34800000000001</v>
      </c>
      <c r="K38" s="3">
        <f>J38*1.13</f>
        <v>217.35324</v>
      </c>
      <c r="L38" s="25">
        <v>0</v>
      </c>
      <c r="M38" s="7" t="s">
        <v>606</v>
      </c>
      <c r="N38" s="8">
        <v>195</v>
      </c>
      <c r="O38" s="3">
        <v>225</v>
      </c>
      <c r="P38" s="3">
        <v>171.73</v>
      </c>
      <c r="Q38" s="3">
        <f>P38-G38</f>
        <v>23.769999999999982</v>
      </c>
      <c r="R38" s="10">
        <f>Q38/O38</f>
        <v>0.10564444444444436</v>
      </c>
      <c r="S38" s="13">
        <v>45828</v>
      </c>
      <c r="T38" s="7">
        <f ca="1">IF(S38&lt;&gt;"",S38-B38,TODAY()-B38)</f>
        <v>104</v>
      </c>
      <c r="U38" s="10"/>
      <c r="V38" s="3">
        <f>IF((G38+H38)&lt;15,(G38+H38+2.95), ((G38+H38)*1.2))</f>
        <v>230.8176</v>
      </c>
      <c r="W38" s="3">
        <f>IF((G38+I38)&lt;15,(G38+I38+2.95), ((G38+I38)*1.2))</f>
        <v>204.1848</v>
      </c>
      <c r="X38" t="s">
        <v>391</v>
      </c>
    </row>
    <row r="39" spans="1:24">
      <c r="A39">
        <v>56</v>
      </c>
      <c r="B39" s="12">
        <v>45723</v>
      </c>
      <c r="C39" t="s">
        <v>18</v>
      </c>
      <c r="D39" t="s">
        <v>99</v>
      </c>
      <c r="E39" t="s">
        <v>339</v>
      </c>
      <c r="F39" t="s">
        <v>107</v>
      </c>
      <c r="G39" s="3">
        <v>53.14</v>
      </c>
      <c r="H39" s="2">
        <f>G39*0.3</f>
        <v>15.942</v>
      </c>
      <c r="I39" s="8">
        <f>G39*0.15</f>
        <v>7.9710000000000001</v>
      </c>
      <c r="J39" s="3">
        <f>G39+H39</f>
        <v>69.081999999999994</v>
      </c>
      <c r="K39" s="3">
        <f>J39*1.13</f>
        <v>78.06265999999998</v>
      </c>
      <c r="L39" s="25">
        <v>0</v>
      </c>
      <c r="N39" s="8">
        <v>180</v>
      </c>
      <c r="O39" s="3">
        <v>111</v>
      </c>
      <c r="P39" s="3">
        <v>88.8</v>
      </c>
      <c r="Q39" s="3">
        <f>P39-G39</f>
        <v>35.659999999999997</v>
      </c>
      <c r="R39" s="10">
        <f>Q39/O39</f>
        <v>0.32126126126126126</v>
      </c>
      <c r="S39" s="13">
        <v>45740</v>
      </c>
      <c r="T39" s="7">
        <f ca="1">IF(S39&lt;&gt;"",S39-B39,TODAY()-B39)</f>
        <v>17</v>
      </c>
      <c r="V39" s="3">
        <f>IF((G39+H39)&lt;15,(G39+H39+2.95), ((G39+H39)*1.2))</f>
        <v>82.898399999999995</v>
      </c>
      <c r="W39" s="3">
        <f>IF((G39+I39)&lt;15,(G39+I39+2.95), ((G39+I39)*1.2))</f>
        <v>73.333200000000005</v>
      </c>
    </row>
    <row r="40" spans="1:24" hidden="1">
      <c r="A40">
        <v>59</v>
      </c>
      <c r="B40" s="12">
        <v>45723</v>
      </c>
      <c r="C40" t="s">
        <v>18</v>
      </c>
      <c r="D40" t="s">
        <v>112</v>
      </c>
      <c r="E40" t="s">
        <v>236</v>
      </c>
      <c r="F40" t="s">
        <v>46</v>
      </c>
      <c r="G40" s="3">
        <v>105.76</v>
      </c>
      <c r="H40" s="3">
        <f>G40*0.4</f>
        <v>42.304000000000002</v>
      </c>
      <c r="I40" s="8">
        <f>G40*0.15</f>
        <v>15.864000000000001</v>
      </c>
      <c r="J40" s="3">
        <f>G40+H40</f>
        <v>148.06400000000002</v>
      </c>
      <c r="K40" s="3">
        <f>J40*1.13</f>
        <v>167.31232</v>
      </c>
      <c r="L40" s="25">
        <v>1</v>
      </c>
      <c r="N40" s="8">
        <v>210</v>
      </c>
      <c r="P40"/>
      <c r="Q40" s="3">
        <f>P40-G40</f>
        <v>-105.76</v>
      </c>
      <c r="R40" s="10" t="e">
        <f>Q40/O40</f>
        <v>#DIV/0!</v>
      </c>
      <c r="S40" s="10"/>
      <c r="T40" s="7">
        <f ca="1">IF(S40&lt;&gt;"",S40-B40,TODAY()-B40)</f>
        <v>143</v>
      </c>
      <c r="U40" s="10"/>
      <c r="V40" s="3">
        <f>IF((G40+H40)&lt;15,(G40+H40+2.95), ((G40+H40)*1.2))</f>
        <v>177.67680000000001</v>
      </c>
      <c r="W40" s="3">
        <f>IF((G40+I40)&lt;15,(G40+I40+2.95), ((G40+I40)*1.2))</f>
        <v>145.94880000000001</v>
      </c>
    </row>
    <row r="41" spans="1:24" hidden="1">
      <c r="A41">
        <v>60</v>
      </c>
      <c r="B41" s="12">
        <v>45723</v>
      </c>
      <c r="C41" t="s">
        <v>18</v>
      </c>
      <c r="D41" t="s">
        <v>112</v>
      </c>
      <c r="E41" t="s">
        <v>114</v>
      </c>
      <c r="F41" t="s">
        <v>237</v>
      </c>
      <c r="G41" s="3">
        <v>57.81</v>
      </c>
      <c r="H41" s="3">
        <f>G41*0.4</f>
        <v>23.124000000000002</v>
      </c>
      <c r="I41" s="8">
        <f>G41*0.15</f>
        <v>8.6715</v>
      </c>
      <c r="J41" s="3">
        <f>G41+H41</f>
        <v>80.933999999999997</v>
      </c>
      <c r="K41" s="3">
        <f>J41*1.13</f>
        <v>91.455419999999989</v>
      </c>
      <c r="L41" s="25">
        <v>1</v>
      </c>
      <c r="N41" s="8">
        <v>130</v>
      </c>
      <c r="P41"/>
      <c r="Q41" s="3">
        <f>P41-G41</f>
        <v>-57.81</v>
      </c>
      <c r="R41" s="10" t="e">
        <f>Q41/O41</f>
        <v>#DIV/0!</v>
      </c>
      <c r="S41" s="10"/>
      <c r="T41" s="7">
        <f ca="1">IF(S41&lt;&gt;"",S41-B41,TODAY()-B41)</f>
        <v>143</v>
      </c>
      <c r="U41" s="10"/>
      <c r="V41" s="3">
        <f>IF((G41+H41)&lt;15,(G41+H41+2.95), ((G41+H41)*1.2))</f>
        <v>97.120799999999988</v>
      </c>
      <c r="W41" s="3">
        <f>IF((G41+I41)&lt;15,(G41+I41+2.95), ((G41+I41)*1.2))</f>
        <v>79.777799999999999</v>
      </c>
    </row>
    <row r="42" spans="1:24">
      <c r="A42">
        <v>61</v>
      </c>
      <c r="B42" s="12">
        <v>45723</v>
      </c>
      <c r="C42" t="s">
        <v>18</v>
      </c>
      <c r="D42" t="s">
        <v>116</v>
      </c>
      <c r="E42" t="s">
        <v>117</v>
      </c>
      <c r="F42" t="s">
        <v>194</v>
      </c>
      <c r="G42" s="3">
        <v>31.58</v>
      </c>
      <c r="H42" s="2">
        <f>G42*0.3</f>
        <v>9.4739999999999984</v>
      </c>
      <c r="I42" s="8">
        <f>G42*0.15</f>
        <v>4.7369999999999992</v>
      </c>
      <c r="J42" s="3">
        <f>G42+H42</f>
        <v>41.053999999999995</v>
      </c>
      <c r="K42" s="3">
        <f>J42*1.13</f>
        <v>46.39101999999999</v>
      </c>
      <c r="L42" s="25">
        <v>0</v>
      </c>
      <c r="N42" s="8">
        <v>70</v>
      </c>
      <c r="O42" s="3">
        <v>50</v>
      </c>
      <c r="P42" s="3">
        <v>40</v>
      </c>
      <c r="Q42" s="3">
        <f>P42-G42</f>
        <v>8.4200000000000017</v>
      </c>
      <c r="R42" s="10">
        <f>Q42/O42</f>
        <v>0.16840000000000002</v>
      </c>
      <c r="S42" s="10"/>
      <c r="T42" s="7">
        <f ca="1">IF(S42&lt;&gt;"",S42-B42,TODAY()-B42)</f>
        <v>143</v>
      </c>
      <c r="U42" s="10"/>
      <c r="V42" s="3">
        <f>IF((G42+H42)&lt;15,(G42+H42+2.95), ((G42+H42)*1.2))</f>
        <v>49.264799999999994</v>
      </c>
      <c r="W42" s="3">
        <f>IF((G42+I42)&lt;15,(G42+I42+2.95), ((G42+I42)*1.2))</f>
        <v>43.580399999999997</v>
      </c>
    </row>
    <row r="43" spans="1:24" hidden="1">
      <c r="A43">
        <v>63</v>
      </c>
      <c r="B43" s="12">
        <v>45723</v>
      </c>
      <c r="C43" t="s">
        <v>18</v>
      </c>
      <c r="D43" t="s">
        <v>122</v>
      </c>
      <c r="E43" t="s">
        <v>123</v>
      </c>
      <c r="F43" t="s">
        <v>124</v>
      </c>
      <c r="G43" s="3">
        <v>222.39</v>
      </c>
      <c r="H43" s="3">
        <f>G43*0.4</f>
        <v>88.956000000000003</v>
      </c>
      <c r="I43" s="8">
        <f>G43*0.15</f>
        <v>33.358499999999999</v>
      </c>
      <c r="J43" s="3">
        <f>G43+H43</f>
        <v>311.346</v>
      </c>
      <c r="K43" s="3">
        <f>J43*1.13</f>
        <v>351.82097999999996</v>
      </c>
      <c r="L43" s="25">
        <v>1</v>
      </c>
      <c r="M43" s="7" t="s">
        <v>606</v>
      </c>
      <c r="N43" s="8">
        <v>340</v>
      </c>
      <c r="P43"/>
      <c r="Q43" s="3">
        <f>P43-G43</f>
        <v>-222.39</v>
      </c>
      <c r="R43" s="10" t="e">
        <f>Q43/O43</f>
        <v>#DIV/0!</v>
      </c>
      <c r="S43" s="10"/>
      <c r="T43" s="7">
        <f ca="1">IF(S43&lt;&gt;"",S43-B43,TODAY()-B43)</f>
        <v>143</v>
      </c>
      <c r="U43" s="10"/>
      <c r="V43" s="3">
        <f>IF((G43+H43)&lt;15,(G43+H43+2.95), ((G43+H43)*1.2))</f>
        <v>373.61520000000002</v>
      </c>
      <c r="W43" s="3">
        <f>IF((G43+I43)&lt;15,(G43+I43+2.95), ((G43+I43)*1.2))</f>
        <v>306.89819999999997</v>
      </c>
      <c r="X43" t="s">
        <v>845</v>
      </c>
    </row>
    <row r="44" spans="1:24">
      <c r="A44">
        <v>64</v>
      </c>
      <c r="B44" s="12">
        <v>45723</v>
      </c>
      <c r="C44" t="s">
        <v>18</v>
      </c>
      <c r="D44" t="s">
        <v>126</v>
      </c>
      <c r="E44" t="s">
        <v>238</v>
      </c>
      <c r="F44" t="s">
        <v>46</v>
      </c>
      <c r="G44" s="3">
        <v>91.71</v>
      </c>
      <c r="H44" s="2">
        <f>G44*0.3</f>
        <v>27.512999999999998</v>
      </c>
      <c r="I44" s="8">
        <f>G44*0.15</f>
        <v>13.756499999999999</v>
      </c>
      <c r="J44" s="3">
        <f>G44+H44</f>
        <v>119.22299999999998</v>
      </c>
      <c r="K44" s="3">
        <f>J44*1.13</f>
        <v>134.72198999999998</v>
      </c>
      <c r="L44" s="25">
        <v>0</v>
      </c>
      <c r="N44" s="8">
        <v>200</v>
      </c>
      <c r="O44" s="3">
        <v>155</v>
      </c>
      <c r="P44" s="3">
        <v>124</v>
      </c>
      <c r="Q44" s="3">
        <f>P44-G44</f>
        <v>32.290000000000006</v>
      </c>
      <c r="R44" s="10">
        <f>Q44/O44</f>
        <v>0.20832258064516132</v>
      </c>
      <c r="S44" s="13">
        <v>45738</v>
      </c>
      <c r="T44" s="7">
        <f ca="1">IF(S44&lt;&gt;"",S44-B44,TODAY()-B44)</f>
        <v>15</v>
      </c>
      <c r="V44" s="3">
        <f>IF((G44+H44)&lt;15,(G44+H44+2.95), ((G44+H44)*1.2))</f>
        <v>143.06759999999997</v>
      </c>
      <c r="W44" s="3">
        <f>IF((G44+I44)&lt;15,(G44+I44+2.95), ((G44+I44)*1.2))</f>
        <v>126.5598</v>
      </c>
    </row>
    <row r="45" spans="1:24">
      <c r="A45">
        <v>70</v>
      </c>
      <c r="B45" s="12">
        <v>45722</v>
      </c>
      <c r="C45" t="s">
        <v>18</v>
      </c>
      <c r="D45" t="s">
        <v>137</v>
      </c>
      <c r="E45" t="s">
        <v>244</v>
      </c>
      <c r="F45" t="s">
        <v>46</v>
      </c>
      <c r="G45" s="3">
        <v>43.56</v>
      </c>
      <c r="H45" s="2">
        <f>G45*0.3</f>
        <v>13.068</v>
      </c>
      <c r="I45" s="8">
        <f>G45*0.15</f>
        <v>6.5339999999999998</v>
      </c>
      <c r="J45" s="3">
        <f>G45+H45</f>
        <v>56.628</v>
      </c>
      <c r="K45" s="3">
        <f>J45*1.13</f>
        <v>63.989639999999994</v>
      </c>
      <c r="L45" s="25">
        <v>0</v>
      </c>
      <c r="M45" s="7" t="s">
        <v>606</v>
      </c>
      <c r="N45" s="8">
        <v>80</v>
      </c>
      <c r="O45" s="3">
        <v>36.5</v>
      </c>
      <c r="P45">
        <v>34.450000000000003</v>
      </c>
      <c r="Q45" s="3">
        <f>P45-G45</f>
        <v>-9.11</v>
      </c>
      <c r="R45" s="10">
        <f>Q45/O45</f>
        <v>-0.24958904109589039</v>
      </c>
      <c r="S45" s="13">
        <v>45779</v>
      </c>
      <c r="T45" s="7">
        <f ca="1">IF(S45&lt;&gt;"",S45-B45,TODAY()-B45)</f>
        <v>57</v>
      </c>
      <c r="U45" s="10"/>
      <c r="V45" s="3">
        <f>IF((G45+H45)&lt;15,(G45+H45+2.95), ((G45+H45)*1.2))</f>
        <v>67.953599999999994</v>
      </c>
      <c r="W45" s="3">
        <f>IF((G45+I45)&lt;15,(G45+I45+2.95), ((G45+I45)*1.2))</f>
        <v>60.1128</v>
      </c>
    </row>
    <row r="46" spans="1:24" hidden="1">
      <c r="A46">
        <v>71</v>
      </c>
      <c r="B46" s="12">
        <v>45722</v>
      </c>
      <c r="C46" t="s">
        <v>18</v>
      </c>
      <c r="D46" t="s">
        <v>137</v>
      </c>
      <c r="E46" t="s">
        <v>245</v>
      </c>
      <c r="F46" t="s">
        <v>46</v>
      </c>
      <c r="G46" s="3">
        <v>39.200000000000003</v>
      </c>
      <c r="H46" s="3">
        <f>G46*0.4</f>
        <v>15.680000000000001</v>
      </c>
      <c r="I46" s="8">
        <f>G46*0.15</f>
        <v>5.88</v>
      </c>
      <c r="J46" s="3">
        <f>G46+H46</f>
        <v>54.88</v>
      </c>
      <c r="K46" s="3">
        <f>J46*1.13</f>
        <v>62.014399999999995</v>
      </c>
      <c r="L46" s="25">
        <v>1</v>
      </c>
      <c r="M46" s="7" t="s">
        <v>606</v>
      </c>
      <c r="N46" s="8">
        <v>80</v>
      </c>
      <c r="P46"/>
      <c r="Q46" s="3">
        <f>P46-G46</f>
        <v>-39.200000000000003</v>
      </c>
      <c r="R46" s="10" t="e">
        <f>Q46/O46</f>
        <v>#DIV/0!</v>
      </c>
      <c r="S46" s="10"/>
      <c r="T46" s="7">
        <f ca="1">IF(S46&lt;&gt;"",S46-B46,TODAY()-B46)</f>
        <v>144</v>
      </c>
      <c r="U46" s="10"/>
      <c r="V46" s="3">
        <f>IF((G46+H46)&lt;15,(G46+H46+2.95), ((G46+H46)*1.2))</f>
        <v>65.855999999999995</v>
      </c>
      <c r="W46" s="3">
        <f>IF((G46+I46)&lt;15,(G46+I46+2.95), ((G46+I46)*1.2))</f>
        <v>54.096000000000004</v>
      </c>
    </row>
    <row r="47" spans="1:24" hidden="1">
      <c r="A47">
        <v>72</v>
      </c>
      <c r="B47" s="12">
        <v>45722</v>
      </c>
      <c r="C47" t="s">
        <v>18</v>
      </c>
      <c r="D47" t="s">
        <v>137</v>
      </c>
      <c r="E47" t="s">
        <v>246</v>
      </c>
      <c r="F47" t="s">
        <v>46</v>
      </c>
      <c r="G47" s="3">
        <v>50.09</v>
      </c>
      <c r="H47" s="3">
        <f>G47*0.4</f>
        <v>20.036000000000001</v>
      </c>
      <c r="I47" s="8">
        <f>G47*0.15</f>
        <v>7.5135000000000005</v>
      </c>
      <c r="J47" s="3">
        <f>G47+H47</f>
        <v>70.126000000000005</v>
      </c>
      <c r="K47" s="3">
        <f>J47*1.13</f>
        <v>79.242379999999997</v>
      </c>
      <c r="L47" s="25">
        <v>1</v>
      </c>
      <c r="M47" s="7" t="s">
        <v>606</v>
      </c>
      <c r="N47" s="8">
        <v>80</v>
      </c>
      <c r="P47"/>
      <c r="Q47" s="3">
        <f>P47-G47</f>
        <v>-50.09</v>
      </c>
      <c r="R47" s="10" t="e">
        <f>Q47/O47</f>
        <v>#DIV/0!</v>
      </c>
      <c r="S47" s="10"/>
      <c r="T47" s="7">
        <f ca="1">IF(S47&lt;&gt;"",S47-B47,TODAY()-B47)</f>
        <v>144</v>
      </c>
      <c r="U47" s="10"/>
      <c r="V47" s="3">
        <f>IF((G47+H47)&lt;15,(G47+H47+2.95), ((G47+H47)*1.2))</f>
        <v>84.151200000000003</v>
      </c>
      <c r="W47" s="3">
        <f>IF((G47+I47)&lt;15,(G47+I47+2.95), ((G47+I47)*1.2))</f>
        <v>69.124200000000002</v>
      </c>
    </row>
    <row r="48" spans="1:24" hidden="1">
      <c r="A48">
        <v>73</v>
      </c>
      <c r="B48" s="12">
        <v>45722</v>
      </c>
      <c r="C48" t="s">
        <v>18</v>
      </c>
      <c r="D48" t="s">
        <v>137</v>
      </c>
      <c r="E48" t="s">
        <v>247</v>
      </c>
      <c r="F48" t="s">
        <v>46</v>
      </c>
      <c r="G48" s="3">
        <v>43.89</v>
      </c>
      <c r="H48" s="2">
        <f>G48*0.3</f>
        <v>13.167</v>
      </c>
      <c r="I48" s="8">
        <f>G48*0.15</f>
        <v>6.5834999999999999</v>
      </c>
      <c r="J48" s="3">
        <f>G48+H48</f>
        <v>57.057000000000002</v>
      </c>
      <c r="K48" s="3">
        <f>J48*1.13</f>
        <v>64.474409999999992</v>
      </c>
      <c r="L48" s="25">
        <v>0</v>
      </c>
      <c r="M48" s="7" t="s">
        <v>606</v>
      </c>
      <c r="N48" s="8">
        <v>20</v>
      </c>
      <c r="P48"/>
      <c r="Q48" s="3">
        <f>P48-G48</f>
        <v>-43.89</v>
      </c>
      <c r="R48" s="10" t="e">
        <f>Q48/O48</f>
        <v>#DIV/0!</v>
      </c>
      <c r="S48" s="10"/>
      <c r="T48" s="7">
        <f ca="1">IF(S48&lt;&gt;"",S48-B48,TODAY()-B48)</f>
        <v>144</v>
      </c>
      <c r="U48" s="10"/>
      <c r="V48" s="3">
        <f>IF((G48+H48)&lt;15,(G48+H48+2.95), ((G48+H48)*1.2))</f>
        <v>68.468400000000003</v>
      </c>
      <c r="W48" s="3">
        <f>IF((G48+I48)&lt;15,(G48+I48+2.95), ((G48+I48)*1.2))</f>
        <v>60.568199999999997</v>
      </c>
    </row>
    <row r="49" spans="1:24" hidden="1">
      <c r="A49">
        <v>74</v>
      </c>
      <c r="B49" s="12">
        <v>45722</v>
      </c>
      <c r="C49" t="s">
        <v>18</v>
      </c>
      <c r="D49" t="s">
        <v>137</v>
      </c>
      <c r="E49" t="s">
        <v>248</v>
      </c>
      <c r="F49" t="s">
        <v>46</v>
      </c>
      <c r="G49" s="3">
        <v>52.17</v>
      </c>
      <c r="H49" s="3">
        <f>G49*0.4</f>
        <v>20.868000000000002</v>
      </c>
      <c r="I49" s="8">
        <f>G49*0.15</f>
        <v>7.8254999999999999</v>
      </c>
      <c r="J49" s="3">
        <f>G49+H49</f>
        <v>73.038000000000011</v>
      </c>
      <c r="K49" s="3">
        <f>J49*1.13</f>
        <v>82.532940000000011</v>
      </c>
      <c r="L49" s="25">
        <v>1</v>
      </c>
      <c r="M49" s="7" t="s">
        <v>606</v>
      </c>
      <c r="N49" s="8">
        <v>80</v>
      </c>
      <c r="P49"/>
      <c r="Q49" s="3">
        <f>P49-G49</f>
        <v>-52.17</v>
      </c>
      <c r="R49" s="10" t="e">
        <f>Q49/O49</f>
        <v>#DIV/0!</v>
      </c>
      <c r="S49" s="10"/>
      <c r="T49" s="7">
        <f ca="1">IF(S49&lt;&gt;"",S49-B49,TODAY()-B49)</f>
        <v>144</v>
      </c>
      <c r="U49" s="10"/>
      <c r="V49" s="3">
        <f>IF((G49+H49)&lt;15,(G49+H49+2.95), ((G49+H49)*1.2))</f>
        <v>87.645600000000016</v>
      </c>
      <c r="W49" s="3">
        <f>IF((G49+I49)&lt;15,(G49+I49+2.95), ((G49+I49)*1.2))</f>
        <v>71.994599999999991</v>
      </c>
    </row>
    <row r="50" spans="1:24">
      <c r="A50">
        <v>80</v>
      </c>
      <c r="B50" s="12">
        <v>45722</v>
      </c>
      <c r="C50" t="s">
        <v>18</v>
      </c>
      <c r="D50" t="s">
        <v>151</v>
      </c>
      <c r="E50" t="s">
        <v>252</v>
      </c>
      <c r="F50" t="s">
        <v>226</v>
      </c>
      <c r="G50" s="3">
        <v>85.17</v>
      </c>
      <c r="H50" s="2">
        <f>G50*0.3</f>
        <v>25.550999999999998</v>
      </c>
      <c r="I50" s="8">
        <f>G50*0.15</f>
        <v>12.775499999999999</v>
      </c>
      <c r="J50" s="3">
        <f>G50+H50</f>
        <v>110.721</v>
      </c>
      <c r="K50" s="3">
        <f>J50*1.13</f>
        <v>125.11472999999999</v>
      </c>
      <c r="L50" s="25">
        <v>0</v>
      </c>
      <c r="N50" s="8">
        <v>150</v>
      </c>
      <c r="O50" s="3">
        <v>150</v>
      </c>
      <c r="P50" s="3">
        <v>130.61000000000001</v>
      </c>
      <c r="Q50" s="3">
        <f>P50-G50</f>
        <v>45.440000000000012</v>
      </c>
      <c r="R50" s="10">
        <f>Q50/O50</f>
        <v>0.30293333333333339</v>
      </c>
      <c r="S50" s="10"/>
      <c r="T50" s="7">
        <f ca="1">IF(S50&lt;&gt;"",S50-B50,TODAY()-B50)</f>
        <v>144</v>
      </c>
      <c r="U50" s="10"/>
      <c r="V50" s="3">
        <f>IF((G50+H50)&lt;15,(G50+H50+2.95), ((G50+H50)*1.2))</f>
        <v>132.86519999999999</v>
      </c>
      <c r="W50" s="3">
        <f>IF((G50+I50)&lt;15,(G50+I50+2.95), ((G50+I50)*1.2))</f>
        <v>117.53459999999998</v>
      </c>
    </row>
    <row r="51" spans="1:24">
      <c r="A51">
        <v>81</v>
      </c>
      <c r="B51" s="12">
        <v>45721</v>
      </c>
      <c r="C51" t="s">
        <v>18</v>
      </c>
      <c r="D51" t="s">
        <v>27</v>
      </c>
      <c r="E51" t="s">
        <v>253</v>
      </c>
      <c r="F51" t="s">
        <v>254</v>
      </c>
      <c r="G51" s="3">
        <v>32.380000000000003</v>
      </c>
      <c r="H51" s="2">
        <f>G51*0.3</f>
        <v>9.7140000000000004</v>
      </c>
      <c r="I51" s="8">
        <f>G51*0.15</f>
        <v>4.8570000000000002</v>
      </c>
      <c r="J51" s="3">
        <f>G51+H51</f>
        <v>42.094000000000001</v>
      </c>
      <c r="K51" s="3">
        <f>J51*1.13</f>
        <v>47.566219999999994</v>
      </c>
      <c r="L51" s="25">
        <v>0</v>
      </c>
      <c r="M51" s="7" t="s">
        <v>606</v>
      </c>
      <c r="N51" s="8">
        <v>55</v>
      </c>
      <c r="O51" s="3">
        <v>0</v>
      </c>
      <c r="P51">
        <v>0</v>
      </c>
      <c r="Q51" s="3">
        <f>P51-G51</f>
        <v>-32.380000000000003</v>
      </c>
      <c r="R51" s="10" t="e">
        <f>Q51/O51</f>
        <v>#DIV/0!</v>
      </c>
      <c r="S51" s="13">
        <v>45802</v>
      </c>
      <c r="T51" s="7">
        <f ca="1">IF(S51&lt;&gt;"",S51-B51,TODAY()-B51)</f>
        <v>81</v>
      </c>
      <c r="U51" s="10"/>
      <c r="V51" s="3">
        <f>IF((G51+H51)&lt;15,(G51+H51+2.95), ((G51+H51)*1.2))</f>
        <v>50.512799999999999</v>
      </c>
      <c r="W51" s="3">
        <f>IF((G51+I51)&lt;15,(G51+I51+2.95), ((G51+I51)*1.2))</f>
        <v>44.684400000000004</v>
      </c>
      <c r="X51" t="s">
        <v>672</v>
      </c>
    </row>
    <row r="52" spans="1:24" hidden="1">
      <c r="A52">
        <v>82</v>
      </c>
      <c r="B52" s="12">
        <v>45721</v>
      </c>
      <c r="C52" t="s">
        <v>18</v>
      </c>
      <c r="D52" t="s">
        <v>48</v>
      </c>
      <c r="E52" t="s">
        <v>333</v>
      </c>
      <c r="G52" s="3">
        <v>82.05</v>
      </c>
      <c r="H52" s="3">
        <f>G52*0.4</f>
        <v>32.82</v>
      </c>
      <c r="I52" s="8">
        <f>G52*0.15</f>
        <v>12.307499999999999</v>
      </c>
      <c r="J52" s="3">
        <f>G52+H52</f>
        <v>114.87</v>
      </c>
      <c r="K52" s="3">
        <f>J52*1.13</f>
        <v>129.8031</v>
      </c>
      <c r="L52" s="25">
        <v>1</v>
      </c>
      <c r="M52" s="7" t="s">
        <v>606</v>
      </c>
      <c r="N52" s="8">
        <v>150</v>
      </c>
      <c r="P52"/>
      <c r="Q52" s="3">
        <f>P52-G52</f>
        <v>-82.05</v>
      </c>
      <c r="R52" s="10" t="e">
        <f>Q52/O52</f>
        <v>#DIV/0!</v>
      </c>
      <c r="S52" s="10"/>
      <c r="T52" s="7">
        <f ca="1">IF(S52&lt;&gt;"",S52-B52,TODAY()-B52)</f>
        <v>145</v>
      </c>
      <c r="U52" s="10"/>
      <c r="V52" s="3">
        <f>IF((G52+H52)&lt;15,(G52+H52+2.95), ((G52+H52)*1.2))</f>
        <v>137.84399999999999</v>
      </c>
      <c r="W52" s="3">
        <f>IF((G52+I52)&lt;15,(G52+I52+2.95), ((G52+I52)*1.2))</f>
        <v>113.229</v>
      </c>
    </row>
    <row r="53" spans="1:24">
      <c r="A53">
        <v>83</v>
      </c>
      <c r="B53" s="12">
        <v>45721</v>
      </c>
      <c r="C53" t="s">
        <v>18</v>
      </c>
      <c r="D53" t="s">
        <v>48</v>
      </c>
      <c r="E53" t="s">
        <v>325</v>
      </c>
      <c r="F53" t="s">
        <v>226</v>
      </c>
      <c r="G53" s="3">
        <v>0.01</v>
      </c>
      <c r="H53" s="2">
        <v>0</v>
      </c>
      <c r="I53" s="8">
        <f>G53*0.15</f>
        <v>1.5E-3</v>
      </c>
      <c r="J53" s="3">
        <f>G53+H53</f>
        <v>0.01</v>
      </c>
      <c r="K53" s="3">
        <f>J53*1.13</f>
        <v>1.1299999999999999E-2</v>
      </c>
      <c r="L53" s="25">
        <v>0</v>
      </c>
      <c r="N53" s="3">
        <v>100</v>
      </c>
      <c r="O53" s="3">
        <v>65</v>
      </c>
      <c r="P53" s="3">
        <v>52</v>
      </c>
      <c r="Q53" s="3">
        <f>P53-G53</f>
        <v>51.99</v>
      </c>
      <c r="R53" s="10">
        <f>Q53/O53</f>
        <v>0.79984615384615387</v>
      </c>
      <c r="S53" s="13">
        <v>45730</v>
      </c>
      <c r="T53" s="7">
        <f ca="1">IF(S53&lt;&gt;"",S53-B53,TODAY()-B53)</f>
        <v>9</v>
      </c>
      <c r="V53" s="3">
        <f>IF((G53+H53)&lt;15,(G53+H53+2.95), ((G53+H53)*1.2))</f>
        <v>2.96</v>
      </c>
      <c r="W53" s="3">
        <f>IF((G53+I53)&lt;15,(G53+I53+2.95), ((G53+I53)*1.2))</f>
        <v>2.9615</v>
      </c>
    </row>
    <row r="54" spans="1:24" hidden="1">
      <c r="A54">
        <v>84</v>
      </c>
      <c r="B54" s="12">
        <v>45721</v>
      </c>
      <c r="C54" t="s">
        <v>155</v>
      </c>
      <c r="D54" t="s">
        <v>66</v>
      </c>
      <c r="E54" t="s">
        <v>334</v>
      </c>
      <c r="F54" t="s">
        <v>69</v>
      </c>
      <c r="G54" s="3">
        <v>78.41</v>
      </c>
      <c r="H54" s="3">
        <f>G54*0.4</f>
        <v>31.364000000000001</v>
      </c>
      <c r="I54" s="8">
        <f>G54*0.15</f>
        <v>11.7615</v>
      </c>
      <c r="J54" s="3">
        <f>G54+H54</f>
        <v>109.774</v>
      </c>
      <c r="K54" s="3">
        <f>J54*1.13</f>
        <v>124.04461999999999</v>
      </c>
      <c r="L54" s="25">
        <v>1</v>
      </c>
      <c r="M54" s="7" t="s">
        <v>606</v>
      </c>
      <c r="N54" s="8">
        <v>150</v>
      </c>
      <c r="P54"/>
      <c r="Q54" s="3">
        <f>P54-G54</f>
        <v>-78.41</v>
      </c>
      <c r="R54" s="10" t="e">
        <f>Q54/O54</f>
        <v>#DIV/0!</v>
      </c>
      <c r="S54" s="10"/>
      <c r="T54" s="7">
        <f ca="1">IF(S54&lt;&gt;"",S54-B54,TODAY()-B54)</f>
        <v>145</v>
      </c>
      <c r="U54" s="10"/>
      <c r="V54" s="3">
        <f>IF((G54+H54)&lt;15,(G54+H54+2.95), ((G54+H54)*1.2))</f>
        <v>131.72880000000001</v>
      </c>
      <c r="W54" s="3">
        <f>IF((G54+I54)&lt;15,(G54+I54+2.95), ((G54+I54)*1.2))</f>
        <v>108.2058</v>
      </c>
    </row>
    <row r="55" spans="1:24">
      <c r="A55">
        <v>85</v>
      </c>
      <c r="B55" s="12">
        <v>45721</v>
      </c>
      <c r="C55" t="s">
        <v>18</v>
      </c>
      <c r="D55" t="s">
        <v>48</v>
      </c>
      <c r="E55" t="s">
        <v>332</v>
      </c>
      <c r="G55" s="3">
        <v>86.26</v>
      </c>
      <c r="H55" s="2">
        <f>G55*0.3</f>
        <v>25.878</v>
      </c>
      <c r="I55" s="8">
        <f>G55*0.15</f>
        <v>12.939</v>
      </c>
      <c r="J55" s="3">
        <f>G55+H55</f>
        <v>112.13800000000001</v>
      </c>
      <c r="K55" s="3">
        <f>J55*1.13</f>
        <v>126.71593999999999</v>
      </c>
      <c r="L55" s="25">
        <v>0</v>
      </c>
      <c r="N55" s="8">
        <v>225</v>
      </c>
      <c r="O55" s="3">
        <v>140</v>
      </c>
      <c r="P55" s="3">
        <v>112</v>
      </c>
      <c r="Q55" s="3">
        <f>P55-G55</f>
        <v>25.739999999999995</v>
      </c>
      <c r="R55" s="10">
        <f>Q55/O55</f>
        <v>0.18385714285714283</v>
      </c>
      <c r="S55" s="13">
        <v>45813</v>
      </c>
      <c r="T55" s="7">
        <f ca="1">IF(S55&lt;&gt;"",S55-B55,TODAY()-B55)</f>
        <v>92</v>
      </c>
      <c r="U55" s="10"/>
      <c r="V55" s="3">
        <f>IF((G55+H55)&lt;15,(G55+H55+2.95), ((G55+H55)*1.2))</f>
        <v>134.56559999999999</v>
      </c>
      <c r="W55" s="3">
        <f>IF((G55+I55)&lt;15,(G55+I55+2.95), ((G55+I55)*1.2))</f>
        <v>119.03880000000001</v>
      </c>
    </row>
    <row r="56" spans="1:24" hidden="1">
      <c r="A56">
        <v>88</v>
      </c>
      <c r="B56" s="12">
        <v>45721</v>
      </c>
      <c r="C56" t="s">
        <v>18</v>
      </c>
      <c r="D56" t="s">
        <v>160</v>
      </c>
      <c r="E56" t="s">
        <v>343</v>
      </c>
      <c r="F56" t="s">
        <v>193</v>
      </c>
      <c r="G56" s="3">
        <v>11.64</v>
      </c>
      <c r="H56" s="2">
        <f>G56*0.3</f>
        <v>3.492</v>
      </c>
      <c r="I56" s="8">
        <f>G56*0.15</f>
        <v>1.746</v>
      </c>
      <c r="J56" s="3">
        <f>G56+H56</f>
        <v>15.132000000000001</v>
      </c>
      <c r="K56" s="3">
        <f>J56*1.13</f>
        <v>17.099160000000001</v>
      </c>
      <c r="L56" s="25">
        <v>0</v>
      </c>
      <c r="M56" s="7" t="s">
        <v>606</v>
      </c>
      <c r="N56" s="8">
        <v>40</v>
      </c>
      <c r="P56">
        <v>0</v>
      </c>
      <c r="Q56" s="3">
        <f>P56-G56</f>
        <v>-11.64</v>
      </c>
      <c r="R56" s="10" t="e">
        <f>Q56/O56</f>
        <v>#DIV/0!</v>
      </c>
      <c r="S56" s="13">
        <v>45779</v>
      </c>
      <c r="T56" s="7">
        <f ca="1">IF(S56&lt;&gt;"",S56-B56,TODAY()-B56)</f>
        <v>58</v>
      </c>
      <c r="U56" s="10"/>
      <c r="V56" s="3">
        <f>IF((G56+H56)&lt;15,(G56+H56+2.95), ((G56+H56)*1.2))</f>
        <v>18.1584</v>
      </c>
      <c r="W56" s="3">
        <f>IF((G56+I56)&lt;15,(G56+I56+2.95), ((G56+I56)*1.2))</f>
        <v>16.336000000000002</v>
      </c>
    </row>
    <row r="57" spans="1:24" hidden="1">
      <c r="A57">
        <v>89</v>
      </c>
      <c r="B57" s="12">
        <v>45720</v>
      </c>
      <c r="C57" t="s">
        <v>18</v>
      </c>
      <c r="D57" t="s">
        <v>48</v>
      </c>
      <c r="E57" t="s">
        <v>327</v>
      </c>
      <c r="G57" s="3">
        <v>122.34</v>
      </c>
      <c r="H57" s="3">
        <f>G57*0.4</f>
        <v>48.936000000000007</v>
      </c>
      <c r="I57" s="8">
        <f>G57*0.15</f>
        <v>18.350999999999999</v>
      </c>
      <c r="J57" s="3">
        <f>G57+H57</f>
        <v>171.27600000000001</v>
      </c>
      <c r="K57" s="3">
        <f>J57*1.13</f>
        <v>193.54187999999999</v>
      </c>
      <c r="L57" s="25">
        <v>1</v>
      </c>
      <c r="M57" s="7" t="s">
        <v>606</v>
      </c>
      <c r="N57" s="8">
        <v>230</v>
      </c>
      <c r="P57"/>
      <c r="Q57" s="3">
        <f>P57-G57</f>
        <v>-122.34</v>
      </c>
      <c r="R57" s="10" t="e">
        <f>Q57/O57</f>
        <v>#DIV/0!</v>
      </c>
      <c r="S57" s="10"/>
      <c r="T57" s="7">
        <f ca="1">IF(S57&lt;&gt;"",S57-B57,TODAY()-B57)</f>
        <v>146</v>
      </c>
      <c r="U57" s="10"/>
      <c r="V57" s="3">
        <f>IF((G57+H57)&lt;15,(G57+H57+2.95), ((G57+H57)*1.2))</f>
        <v>205.53120000000001</v>
      </c>
      <c r="W57" s="3">
        <f>IF((G57+I57)&lt;15,(G57+I57+2.95), ((G57+I57)*1.2))</f>
        <v>168.82919999999999</v>
      </c>
      <c r="X57" t="s">
        <v>390</v>
      </c>
    </row>
    <row r="58" spans="1:24">
      <c r="A58">
        <v>90</v>
      </c>
      <c r="B58" s="12">
        <v>45720</v>
      </c>
      <c r="C58" t="s">
        <v>18</v>
      </c>
      <c r="D58" t="s">
        <v>48</v>
      </c>
      <c r="E58" t="s">
        <v>328</v>
      </c>
      <c r="F58" t="s">
        <v>69</v>
      </c>
      <c r="G58" s="3">
        <v>106.46</v>
      </c>
      <c r="H58" s="2">
        <f>G58*0.3</f>
        <v>31.937999999999995</v>
      </c>
      <c r="I58" s="8">
        <f>G58*0.15</f>
        <v>15.968999999999998</v>
      </c>
      <c r="J58" s="3">
        <f>G58+H58</f>
        <v>138.398</v>
      </c>
      <c r="K58" s="3">
        <f>J58*1.13</f>
        <v>156.38973999999999</v>
      </c>
      <c r="L58" s="25">
        <v>0</v>
      </c>
      <c r="M58" s="7" t="s">
        <v>606</v>
      </c>
      <c r="N58" s="8">
        <v>300</v>
      </c>
      <c r="O58" s="3">
        <v>95</v>
      </c>
      <c r="P58" s="3">
        <v>89.64</v>
      </c>
      <c r="Q58" s="3">
        <f>P58-G58</f>
        <v>-16.819999999999993</v>
      </c>
      <c r="R58" s="10">
        <f>Q58/O58</f>
        <v>-0.17705263157894729</v>
      </c>
      <c r="S58" s="10"/>
      <c r="T58" s="7">
        <f ca="1">IF(S58&lt;&gt;"",S58-B58,TODAY()-B58)</f>
        <v>146</v>
      </c>
      <c r="U58" s="10"/>
      <c r="V58" s="3">
        <f>IF((G58+H58)&lt;15,(G58+H58+2.95), ((G58+H58)*1.2))</f>
        <v>166.07759999999999</v>
      </c>
      <c r="W58" s="3">
        <f>IF((G58+I58)&lt;15,(G58+I58+2.95), ((G58+I58)*1.2))</f>
        <v>146.91479999999999</v>
      </c>
    </row>
    <row r="59" spans="1:24" hidden="1">
      <c r="A59">
        <v>91</v>
      </c>
      <c r="B59" s="12">
        <v>45720</v>
      </c>
      <c r="C59" t="s">
        <v>18</v>
      </c>
      <c r="D59" t="s">
        <v>48</v>
      </c>
      <c r="E59" t="s">
        <v>250</v>
      </c>
      <c r="F59" t="s">
        <v>161</v>
      </c>
      <c r="G59" s="3">
        <v>0.01</v>
      </c>
      <c r="H59" s="2">
        <f>G59*0.3</f>
        <v>3.0000000000000001E-3</v>
      </c>
      <c r="I59" s="8">
        <v>0.01</v>
      </c>
      <c r="J59" s="3">
        <f>G59+H59</f>
        <v>1.3000000000000001E-2</v>
      </c>
      <c r="K59" s="3">
        <f>J59*1.13</f>
        <v>1.469E-2</v>
      </c>
      <c r="L59" s="25">
        <v>0</v>
      </c>
      <c r="M59" s="7" t="s">
        <v>606</v>
      </c>
      <c r="N59" s="8">
        <v>88</v>
      </c>
      <c r="P59"/>
      <c r="Q59" s="3">
        <f>P59-G59</f>
        <v>-0.01</v>
      </c>
      <c r="R59" s="10" t="e">
        <f>Q59/O59</f>
        <v>#DIV/0!</v>
      </c>
      <c r="S59" s="10"/>
      <c r="T59" s="7">
        <f ca="1">IF(S59&lt;&gt;"",S59-B59,TODAY()-B59)</f>
        <v>146</v>
      </c>
      <c r="U59" s="10"/>
      <c r="V59" s="3">
        <f>IF((G59+H59)&lt;15,(G59+H59+2.95), ((G59+H59)*1.2))</f>
        <v>2.9630000000000001</v>
      </c>
      <c r="W59" s="3">
        <f>IF((G59+I59)&lt;15,(G59+I59+2.95), ((G59+I59)*1.2))</f>
        <v>2.97</v>
      </c>
    </row>
    <row r="60" spans="1:24" hidden="1">
      <c r="A60">
        <v>92</v>
      </c>
      <c r="B60" s="12">
        <v>45720</v>
      </c>
      <c r="C60" t="s">
        <v>18</v>
      </c>
      <c r="D60" t="s">
        <v>48</v>
      </c>
      <c r="E60" t="s">
        <v>326</v>
      </c>
      <c r="G60" s="3">
        <v>211.5</v>
      </c>
      <c r="H60" s="3">
        <f>G60*0.4</f>
        <v>84.600000000000009</v>
      </c>
      <c r="I60" s="8">
        <f>G60*0.15</f>
        <v>31.724999999999998</v>
      </c>
      <c r="J60" s="3">
        <f>G60+H60</f>
        <v>296.10000000000002</v>
      </c>
      <c r="K60" s="3">
        <f>J60*1.13</f>
        <v>334.59300000000002</v>
      </c>
      <c r="L60" s="25">
        <v>1</v>
      </c>
      <c r="M60" s="7" t="s">
        <v>606</v>
      </c>
      <c r="N60" s="8">
        <v>300</v>
      </c>
      <c r="P60"/>
      <c r="Q60" s="3">
        <f>P60-G60</f>
        <v>-211.5</v>
      </c>
      <c r="R60" s="10" t="e">
        <f>Q60/O60</f>
        <v>#DIV/0!</v>
      </c>
      <c r="S60" s="10"/>
      <c r="T60" s="7">
        <f ca="1">IF(S60&lt;&gt;"",S60-B60,TODAY()-B60)</f>
        <v>146</v>
      </c>
      <c r="U60" s="10"/>
      <c r="V60" s="3">
        <f>IF((G60+H60)&lt;15,(G60+H60+2.95), ((G60+H60)*1.2))</f>
        <v>355.32</v>
      </c>
      <c r="W60" s="3">
        <f>IF((G60+I60)&lt;15,(G60+I60+2.95), ((G60+I60)*1.2))</f>
        <v>291.87</v>
      </c>
      <c r="X60" t="s">
        <v>389</v>
      </c>
    </row>
    <row r="61" spans="1:24">
      <c r="A61">
        <v>93</v>
      </c>
      <c r="B61" s="12">
        <v>45720</v>
      </c>
      <c r="C61" t="s">
        <v>18</v>
      </c>
      <c r="D61" t="s">
        <v>39</v>
      </c>
      <c r="E61" t="s">
        <v>163</v>
      </c>
      <c r="F61" t="s">
        <v>251</v>
      </c>
      <c r="G61" s="3">
        <v>32.9</v>
      </c>
      <c r="H61" s="2">
        <f>G61*0.3</f>
        <v>9.8699999999999992</v>
      </c>
      <c r="I61" s="8">
        <f>G61*0.15</f>
        <v>4.9349999999999996</v>
      </c>
      <c r="J61" s="3">
        <f>G61+H61</f>
        <v>42.769999999999996</v>
      </c>
      <c r="K61" s="3">
        <f>J61*1.13</f>
        <v>48.330099999999987</v>
      </c>
      <c r="L61" s="25">
        <v>0</v>
      </c>
      <c r="N61" s="8">
        <v>60</v>
      </c>
      <c r="O61" s="3">
        <v>43</v>
      </c>
      <c r="P61" s="8">
        <v>34.4</v>
      </c>
      <c r="Q61" s="3">
        <f>P61-G61</f>
        <v>1.5</v>
      </c>
      <c r="R61" s="10">
        <f>Q61/O61</f>
        <v>3.4883720930232558E-2</v>
      </c>
      <c r="S61" s="13">
        <v>45735</v>
      </c>
      <c r="T61" s="7">
        <f ca="1">IF(S61&lt;&gt;"",S61-B61,TODAY()-B61)</f>
        <v>15</v>
      </c>
      <c r="V61" s="3">
        <f>IF((G61+H61)&lt;15,(G61+H61+2.95), ((G61+H61)*1.2))</f>
        <v>51.323999999999991</v>
      </c>
      <c r="W61" s="3">
        <f>IF((G61+I61)&lt;15,(G61+I61+2.95), ((G61+I61)*1.2))</f>
        <v>45.402000000000001</v>
      </c>
      <c r="X61" s="8"/>
    </row>
    <row r="62" spans="1:24">
      <c r="A62">
        <v>94</v>
      </c>
      <c r="B62" s="12">
        <v>45720</v>
      </c>
      <c r="C62" t="s">
        <v>18</v>
      </c>
      <c r="D62" t="s">
        <v>164</v>
      </c>
      <c r="E62" t="s">
        <v>255</v>
      </c>
      <c r="F62" t="s">
        <v>254</v>
      </c>
      <c r="G62" s="3">
        <v>77.03</v>
      </c>
      <c r="H62" s="2">
        <f>G62*0.3</f>
        <v>23.108999999999998</v>
      </c>
      <c r="I62" s="8">
        <f>G62*0.15</f>
        <v>11.554499999999999</v>
      </c>
      <c r="J62" s="3">
        <f>G62+H62</f>
        <v>100.139</v>
      </c>
      <c r="K62" s="3">
        <f>J62*1.13</f>
        <v>113.15706999999999</v>
      </c>
      <c r="L62" s="25">
        <v>0</v>
      </c>
      <c r="M62" s="7" t="s">
        <v>606</v>
      </c>
      <c r="N62" s="3">
        <v>200</v>
      </c>
      <c r="O62" s="3">
        <v>52</v>
      </c>
      <c r="P62" s="3">
        <v>45.62</v>
      </c>
      <c r="Q62" s="3">
        <f>P62-G62</f>
        <v>-31.410000000000004</v>
      </c>
      <c r="R62" s="10">
        <f>Q62/O62</f>
        <v>-0.60403846153846164</v>
      </c>
      <c r="S62" s="13">
        <v>45793</v>
      </c>
      <c r="T62" s="7">
        <f ca="1">IF(S62&lt;&gt;"",S62-B62,TODAY()-B62)</f>
        <v>73</v>
      </c>
      <c r="U62" s="10"/>
      <c r="V62" s="3">
        <f>IF((G62+H62)&lt;15,(G62+H62+2.95), ((G62+H62)*1.2))</f>
        <v>120.16679999999999</v>
      </c>
      <c r="W62" s="3">
        <f>IF((G62+I62)&lt;15,(G62+I62+2.95), ((G62+I62)*1.2))</f>
        <v>106.3014</v>
      </c>
    </row>
    <row r="63" spans="1:24" hidden="1">
      <c r="A63">
        <v>100</v>
      </c>
      <c r="B63" s="12">
        <v>45717</v>
      </c>
      <c r="C63" t="s">
        <v>18</v>
      </c>
      <c r="D63" t="s">
        <v>39</v>
      </c>
      <c r="E63" t="s">
        <v>175</v>
      </c>
      <c r="F63" t="s">
        <v>176</v>
      </c>
      <c r="G63" s="3">
        <v>39.43</v>
      </c>
      <c r="H63" s="3">
        <f>G63*0.4</f>
        <v>15.772</v>
      </c>
      <c r="I63" s="8">
        <f>G63*0.15</f>
        <v>5.9144999999999994</v>
      </c>
      <c r="J63" s="3">
        <f>G63+H63</f>
        <v>55.201999999999998</v>
      </c>
      <c r="K63" s="3">
        <f>J63*1.13</f>
        <v>62.37825999999999</v>
      </c>
      <c r="L63" s="25">
        <v>1</v>
      </c>
      <c r="M63" s="7" t="s">
        <v>606</v>
      </c>
      <c r="N63" s="8">
        <v>60</v>
      </c>
      <c r="P63"/>
      <c r="Q63" s="3">
        <f>P63-G63</f>
        <v>-39.43</v>
      </c>
      <c r="R63" s="10" t="e">
        <f>Q63/O63</f>
        <v>#DIV/0!</v>
      </c>
      <c r="S63" s="10"/>
      <c r="T63" s="7">
        <f ca="1">IF(S63&lt;&gt;"",S63-B63,TODAY()-B63)</f>
        <v>149</v>
      </c>
      <c r="U63" s="10"/>
      <c r="V63" s="3">
        <f>IF((G63+H63)&lt;15,(G63+H63+2.95), ((G63+H63)*1.2))</f>
        <v>66.242399999999989</v>
      </c>
      <c r="W63" s="3">
        <f>IF((G63+I63)&lt;15,(G63+I63+2.95), ((G63+I63)*1.2))</f>
        <v>54.413399999999996</v>
      </c>
    </row>
    <row r="64" spans="1:24">
      <c r="A64">
        <v>107</v>
      </c>
      <c r="B64" s="12">
        <v>45735</v>
      </c>
      <c r="C64" t="s">
        <v>18</v>
      </c>
      <c r="D64" t="s">
        <v>39</v>
      </c>
      <c r="E64" t="s">
        <v>258</v>
      </c>
      <c r="G64" s="3">
        <v>31.81</v>
      </c>
      <c r="H64" s="2">
        <f>G64*0.3</f>
        <v>9.5429999999999993</v>
      </c>
      <c r="I64" s="8">
        <f>G64*0.15</f>
        <v>4.7714999999999996</v>
      </c>
      <c r="J64" s="3">
        <f>G64+H64</f>
        <v>41.352999999999994</v>
      </c>
      <c r="K64" s="3">
        <f>J64*1.13</f>
        <v>46.728889999999993</v>
      </c>
      <c r="L64" s="25">
        <v>0</v>
      </c>
      <c r="N64" s="3">
        <v>60</v>
      </c>
      <c r="O64" s="3">
        <v>45</v>
      </c>
      <c r="P64" s="3">
        <v>36</v>
      </c>
      <c r="Q64" s="3">
        <f>P64-G64</f>
        <v>4.1900000000000013</v>
      </c>
      <c r="R64" s="10">
        <f>Q64/O64</f>
        <v>9.3111111111111144E-2</v>
      </c>
      <c r="S64" s="10"/>
      <c r="T64" s="7">
        <f ca="1">IF(S64&lt;&gt;"",S64-B64,TODAY()-B64)</f>
        <v>131</v>
      </c>
      <c r="U64" s="10"/>
      <c r="V64" s="3">
        <f>IF((G64+H64)&lt;15,(G64+H64+2.95), ((G64+H64)*1.2))</f>
        <v>49.623599999999989</v>
      </c>
      <c r="W64" s="3">
        <f>IF((G64+I64)&lt;15,(G64+I64+2.95), ((G64+I64)*1.2))</f>
        <v>43.897799999999997</v>
      </c>
    </row>
    <row r="65" spans="1:24">
      <c r="A65">
        <v>107</v>
      </c>
      <c r="B65" s="12">
        <v>45716</v>
      </c>
      <c r="C65" t="s">
        <v>18</v>
      </c>
      <c r="D65" t="s">
        <v>183</v>
      </c>
      <c r="E65" t="s">
        <v>184</v>
      </c>
      <c r="F65" t="s">
        <v>185</v>
      </c>
      <c r="G65" s="3">
        <v>38.119999999999997</v>
      </c>
      <c r="H65" s="2">
        <f>G65*0.3</f>
        <v>11.435999999999998</v>
      </c>
      <c r="I65" s="8">
        <f>G65*0.15</f>
        <v>5.7179999999999991</v>
      </c>
      <c r="J65" s="3">
        <f>G65+H65</f>
        <v>49.555999999999997</v>
      </c>
      <c r="K65" s="3">
        <f>J65*1.13</f>
        <v>55.998279999999994</v>
      </c>
      <c r="L65" s="25">
        <v>0</v>
      </c>
      <c r="N65" s="8">
        <v>100</v>
      </c>
      <c r="O65" s="3">
        <v>105</v>
      </c>
      <c r="P65" s="3">
        <v>74</v>
      </c>
      <c r="Q65" s="3">
        <f>P65-G65</f>
        <v>35.880000000000003</v>
      </c>
      <c r="R65" s="10">
        <f>Q65/O65</f>
        <v>0.34171428571428575</v>
      </c>
      <c r="S65" s="10"/>
      <c r="T65" s="7">
        <f ca="1">IF(S65&lt;&gt;"",S65-B65,TODAY()-B65)</f>
        <v>150</v>
      </c>
      <c r="U65" s="10"/>
      <c r="V65" s="3">
        <f>IF((G65+H65)&lt;15,(G65+H65+2.95), ((G65+H65)*1.2))</f>
        <v>59.467199999999991</v>
      </c>
      <c r="W65" s="3">
        <f>IF((G65+I65)&lt;15,(G65+I65+2.95), ((G65+I65)*1.2))</f>
        <v>52.605599999999988</v>
      </c>
    </row>
    <row r="66" spans="1:24">
      <c r="A66">
        <v>108</v>
      </c>
      <c r="B66" s="12">
        <v>45735</v>
      </c>
      <c r="C66" t="s">
        <v>18</v>
      </c>
      <c r="D66" t="s">
        <v>39</v>
      </c>
      <c r="E66" t="s">
        <v>259</v>
      </c>
      <c r="G66" s="3">
        <v>20.69</v>
      </c>
      <c r="H66" s="3">
        <f>G66*0.4</f>
        <v>8.2760000000000016</v>
      </c>
      <c r="I66" s="8">
        <f>G66*0.15</f>
        <v>3.1034999999999999</v>
      </c>
      <c r="J66" s="3">
        <f>G66+H66</f>
        <v>28.966000000000001</v>
      </c>
      <c r="K66" s="3">
        <f>J66*1.13</f>
        <v>32.731580000000001</v>
      </c>
      <c r="L66" s="25">
        <v>0</v>
      </c>
      <c r="M66" s="7" t="s">
        <v>606</v>
      </c>
      <c r="N66" s="3">
        <v>60</v>
      </c>
      <c r="O66" s="3">
        <v>17</v>
      </c>
      <c r="P66" s="3">
        <v>14.73</v>
      </c>
      <c r="Q66" s="3">
        <f>P66-G66</f>
        <v>-5.9600000000000009</v>
      </c>
      <c r="R66" s="10">
        <f>Q66/O66</f>
        <v>-0.3505882352941177</v>
      </c>
      <c r="S66" s="13">
        <v>45848</v>
      </c>
      <c r="T66" s="7">
        <f ca="1">IF(S66&lt;&gt;"",S66-B66,TODAY()-B66)</f>
        <v>113</v>
      </c>
      <c r="U66" s="10"/>
      <c r="V66" s="3">
        <f>IF((G66+H66)&lt;15,(G66+H66+2.95), ((G66+H66)*1.2))</f>
        <v>34.7592</v>
      </c>
      <c r="W66" s="3">
        <f>IF((G66+I66)&lt;15,(G66+I66+2.95), ((G66+I66)*1.2))</f>
        <v>28.552200000000003</v>
      </c>
    </row>
    <row r="67" spans="1:24">
      <c r="A67">
        <v>109</v>
      </c>
      <c r="B67" s="12">
        <v>45735</v>
      </c>
      <c r="C67" t="s">
        <v>18</v>
      </c>
      <c r="D67" t="s">
        <v>39</v>
      </c>
      <c r="E67" t="s">
        <v>260</v>
      </c>
      <c r="G67" s="3">
        <v>23.96</v>
      </c>
      <c r="H67" s="3">
        <f>G67*0.4</f>
        <v>9.5840000000000014</v>
      </c>
      <c r="I67" s="8">
        <f>G67*0.15</f>
        <v>3.5939999999999999</v>
      </c>
      <c r="J67" s="3">
        <f>G67+H67</f>
        <v>33.544000000000004</v>
      </c>
      <c r="K67" s="3">
        <f>J67*1.13</f>
        <v>37.904719999999998</v>
      </c>
      <c r="L67" s="25">
        <v>0</v>
      </c>
      <c r="M67" s="7" t="s">
        <v>606</v>
      </c>
      <c r="N67" s="3">
        <v>60</v>
      </c>
      <c r="O67" s="3">
        <v>25</v>
      </c>
      <c r="P67" s="3">
        <v>21.81</v>
      </c>
      <c r="Q67" s="3">
        <f>P67-G67</f>
        <v>-2.1500000000000021</v>
      </c>
      <c r="R67" s="10">
        <f>Q67/O67</f>
        <v>-8.600000000000009E-2</v>
      </c>
      <c r="S67" s="10"/>
      <c r="T67" s="7">
        <f ca="1">IF(S67&lt;&gt;"",S67-B67,TODAY()-B67)</f>
        <v>131</v>
      </c>
      <c r="U67" s="10"/>
      <c r="V67" s="3">
        <f>IF((G67+H67)&lt;15,(G67+H67+2.95), ((G67+H67)*1.2))</f>
        <v>40.252800000000001</v>
      </c>
      <c r="W67" s="3">
        <f>IF((G67+I67)&lt;15,(G67+I67+2.95), ((G67+I67)*1.2))</f>
        <v>33.064799999999998</v>
      </c>
    </row>
    <row r="68" spans="1:24">
      <c r="A68">
        <v>111</v>
      </c>
      <c r="B68" s="12">
        <v>45725</v>
      </c>
      <c r="C68" t="s">
        <v>18</v>
      </c>
      <c r="D68" t="s">
        <v>58</v>
      </c>
      <c r="E68" t="s">
        <v>424</v>
      </c>
      <c r="G68" s="3">
        <f>601.95/2</f>
        <v>300.97500000000002</v>
      </c>
      <c r="H68" s="3">
        <f>G68*0.4</f>
        <v>120.39000000000001</v>
      </c>
      <c r="I68" s="8">
        <f>G68*0.15</f>
        <v>45.146250000000002</v>
      </c>
      <c r="J68" s="3">
        <f>G68+H68</f>
        <v>421.36500000000001</v>
      </c>
      <c r="K68" s="3">
        <f>J68*1.13</f>
        <v>476.14244999999994</v>
      </c>
      <c r="L68" s="25">
        <v>0</v>
      </c>
      <c r="M68" s="7" t="s">
        <v>606</v>
      </c>
      <c r="N68" s="8">
        <v>600</v>
      </c>
      <c r="O68" s="3">
        <v>479.2</v>
      </c>
      <c r="P68" s="3">
        <v>425.5</v>
      </c>
      <c r="Q68" s="3">
        <f>P68-G68</f>
        <v>124.52499999999998</v>
      </c>
      <c r="R68" s="10">
        <f>Q68/O68</f>
        <v>0.25986018363939895</v>
      </c>
      <c r="S68" s="13">
        <v>45846</v>
      </c>
      <c r="T68" s="7">
        <f ca="1">IF(S68&lt;&gt;"",S68-B68,TODAY()-B68)</f>
        <v>121</v>
      </c>
      <c r="U68" s="10"/>
      <c r="V68" s="3">
        <f>IF((G68+H68)&lt;15,(G68+H68+2.95), ((G68+H68)*1.2))</f>
        <v>505.63799999999998</v>
      </c>
      <c r="X68" t="s">
        <v>305</v>
      </c>
    </row>
    <row r="69" spans="1:24" hidden="1">
      <c r="A69">
        <v>112</v>
      </c>
      <c r="B69" s="12">
        <v>45737</v>
      </c>
      <c r="C69" t="s">
        <v>18</v>
      </c>
      <c r="D69" t="s">
        <v>266</v>
      </c>
      <c r="E69" t="s">
        <v>364</v>
      </c>
      <c r="F69" t="s">
        <v>268</v>
      </c>
      <c r="G69" s="3">
        <v>27.13</v>
      </c>
      <c r="H69" s="3">
        <f>G69*0.4</f>
        <v>10.852</v>
      </c>
      <c r="I69" s="8">
        <f>G69*0.15</f>
        <v>4.0694999999999997</v>
      </c>
      <c r="J69" s="3">
        <f>G69+H69</f>
        <v>37.981999999999999</v>
      </c>
      <c r="K69" s="3">
        <f>J69*1.13</f>
        <v>42.919659999999993</v>
      </c>
      <c r="L69" s="25">
        <v>1</v>
      </c>
      <c r="M69" s="7" t="s">
        <v>606</v>
      </c>
      <c r="Q69" s="3">
        <f>P69-G69</f>
        <v>-27.13</v>
      </c>
      <c r="R69" s="10" t="e">
        <f>Q69/O69</f>
        <v>#DIV/0!</v>
      </c>
      <c r="S69" s="10"/>
      <c r="T69" s="7">
        <f ca="1">IF(S69&lt;&gt;"",S69-B69,TODAY()-B69)</f>
        <v>129</v>
      </c>
      <c r="U69" s="10"/>
      <c r="V69" s="3">
        <f>IF((G69+H69)&lt;15,(G69+H69+2.95), ((G69+H69)*1.2))</f>
        <v>45.578399999999995</v>
      </c>
      <c r="W69" s="3">
        <f>IF((G69+I69)&lt;15,(G69+I69+2.95), ((G69+I69)*1.2))</f>
        <v>37.439399999999999</v>
      </c>
    </row>
    <row r="70" spans="1:24" hidden="1">
      <c r="A70">
        <v>113</v>
      </c>
      <c r="B70" s="12">
        <v>45736</v>
      </c>
      <c r="C70" t="s">
        <v>18</v>
      </c>
      <c r="D70" t="s">
        <v>48</v>
      </c>
      <c r="E70" t="s">
        <v>340</v>
      </c>
      <c r="G70" s="3">
        <v>50.49</v>
      </c>
      <c r="H70" s="2">
        <f>G70*0.3</f>
        <v>15.147</v>
      </c>
      <c r="I70" s="8">
        <f>G70*0.15</f>
        <v>7.5735000000000001</v>
      </c>
      <c r="J70" s="3">
        <f>G70+H70</f>
        <v>65.637</v>
      </c>
      <c r="K70" s="3">
        <f>J70*1.13</f>
        <v>74.169809999999998</v>
      </c>
      <c r="L70" s="25">
        <v>0</v>
      </c>
      <c r="M70" s="7" t="s">
        <v>606</v>
      </c>
      <c r="Q70" s="3">
        <f>P70-G70</f>
        <v>-50.49</v>
      </c>
      <c r="R70" s="10" t="e">
        <f>Q70/O70</f>
        <v>#DIV/0!</v>
      </c>
      <c r="S70" s="10"/>
      <c r="T70" s="7">
        <f ca="1">IF(S70&lt;&gt;"",S70-B70,TODAY()-B70)</f>
        <v>130</v>
      </c>
      <c r="U70" s="10" t="s">
        <v>358</v>
      </c>
      <c r="V70" s="3">
        <f>IF((G70+H70)&lt;15,(G70+H70+2.95), ((G70+H70)*1.2))</f>
        <v>78.764399999999995</v>
      </c>
      <c r="W70" s="3">
        <f>IF((G70+I70)&lt;15,(G70+I70+2.95), ((G70+I70)*1.2))</f>
        <v>69.676200000000009</v>
      </c>
    </row>
    <row r="71" spans="1:24">
      <c r="A71">
        <v>114</v>
      </c>
      <c r="B71" s="12">
        <v>45736</v>
      </c>
      <c r="C71" t="s">
        <v>18</v>
      </c>
      <c r="D71" t="s">
        <v>48</v>
      </c>
      <c r="E71" t="s">
        <v>335</v>
      </c>
      <c r="F71" t="s">
        <v>70</v>
      </c>
      <c r="G71" s="3">
        <v>65.709999999999994</v>
      </c>
      <c r="H71" s="3">
        <f>G71*0.4</f>
        <v>26.283999999999999</v>
      </c>
      <c r="I71" s="8">
        <f>G71*0.15</f>
        <v>9.8564999999999987</v>
      </c>
      <c r="J71" s="3">
        <f>G71+H71</f>
        <v>91.994</v>
      </c>
      <c r="K71" s="3">
        <f>J71*1.13</f>
        <v>103.95321999999999</v>
      </c>
      <c r="L71" s="25">
        <v>0</v>
      </c>
      <c r="M71" s="7" t="s">
        <v>606</v>
      </c>
      <c r="N71" s="3">
        <v>125</v>
      </c>
      <c r="O71" s="3">
        <v>26</v>
      </c>
      <c r="P71" s="3">
        <v>23</v>
      </c>
      <c r="Q71" s="3">
        <f>P71-G71</f>
        <v>-42.709999999999994</v>
      </c>
      <c r="R71" s="10">
        <f>Q71/O71</f>
        <v>-1.6426923076923075</v>
      </c>
      <c r="S71" s="13">
        <v>45842</v>
      </c>
      <c r="T71" s="7">
        <f ca="1">IF(S71&lt;&gt;"",S71-B71,TODAY()-B71)</f>
        <v>106</v>
      </c>
      <c r="U71" s="10" t="s">
        <v>357</v>
      </c>
      <c r="V71" s="3">
        <f>IF((G71+H71)&lt;15,(G71+H71+2.95), ((G71+H71)*1.2))</f>
        <v>110.39279999999999</v>
      </c>
      <c r="W71" s="3">
        <f>IF((G71+I71)&lt;15,(G71+I71+2.95), ((G71+I71)*1.2))</f>
        <v>90.679799999999986</v>
      </c>
    </row>
    <row r="72" spans="1:24">
      <c r="A72">
        <v>115</v>
      </c>
      <c r="B72" s="12">
        <v>45736</v>
      </c>
      <c r="C72" t="s">
        <v>18</v>
      </c>
      <c r="D72" t="s">
        <v>48</v>
      </c>
      <c r="E72" t="s">
        <v>720</v>
      </c>
      <c r="F72" t="s">
        <v>287</v>
      </c>
      <c r="G72" s="3">
        <v>94.03</v>
      </c>
      <c r="H72" s="2">
        <f>G72*0.3</f>
        <v>28.209</v>
      </c>
      <c r="I72" s="8">
        <f>G72*0.15</f>
        <v>14.1045</v>
      </c>
      <c r="J72" s="3">
        <f>G72+H72</f>
        <v>122.239</v>
      </c>
      <c r="K72" s="3">
        <f>J72*1.13</f>
        <v>138.13006999999999</v>
      </c>
      <c r="L72" s="25">
        <v>0</v>
      </c>
      <c r="M72" s="7" t="s">
        <v>606</v>
      </c>
      <c r="N72" s="3">
        <v>225</v>
      </c>
      <c r="O72" s="3">
        <v>43</v>
      </c>
      <c r="P72" s="3">
        <v>37.75</v>
      </c>
      <c r="Q72" s="3">
        <f>P72-G72</f>
        <v>-56.28</v>
      </c>
      <c r="R72" s="10">
        <f>Q72/O72</f>
        <v>-1.3088372093023255</v>
      </c>
      <c r="S72" s="13">
        <v>45779</v>
      </c>
      <c r="T72" s="7">
        <f ca="1">IF(S72&lt;&gt;"",S72-B72,TODAY()-B72)</f>
        <v>43</v>
      </c>
      <c r="U72" s="10" t="s">
        <v>361</v>
      </c>
      <c r="V72" s="3">
        <f>IF((G72+H72)&lt;15,(G72+H72+2.95), ((G72+H72)*1.2))</f>
        <v>146.68680000000001</v>
      </c>
      <c r="W72" s="3">
        <f>IF((G72+I72)&lt;15,(G72+I72+2.95), ((G72+I72)*1.2))</f>
        <v>129.76140000000001</v>
      </c>
    </row>
    <row r="73" spans="1:24" hidden="1">
      <c r="A73">
        <v>116</v>
      </c>
      <c r="B73" s="12">
        <v>45736</v>
      </c>
      <c r="C73" t="s">
        <v>18</v>
      </c>
      <c r="D73" t="s">
        <v>48</v>
      </c>
      <c r="E73" t="s">
        <v>362</v>
      </c>
      <c r="F73" t="s">
        <v>161</v>
      </c>
      <c r="G73" s="3">
        <v>0.01</v>
      </c>
      <c r="H73" s="2">
        <f>G73*0.3</f>
        <v>3.0000000000000001E-3</v>
      </c>
      <c r="I73" s="8">
        <f>G73*0.15</f>
        <v>1.5E-3</v>
      </c>
      <c r="J73" s="3">
        <f>G73+H73</f>
        <v>1.3000000000000001E-2</v>
      </c>
      <c r="K73" s="3">
        <f>J73*1.13</f>
        <v>1.469E-2</v>
      </c>
      <c r="L73" s="25">
        <v>0</v>
      </c>
      <c r="M73" s="7" t="s">
        <v>606</v>
      </c>
      <c r="Q73" s="3">
        <f>P73-G73</f>
        <v>-0.01</v>
      </c>
      <c r="R73" s="10" t="e">
        <f>Q73/O73</f>
        <v>#DIV/0!</v>
      </c>
      <c r="S73" s="10"/>
      <c r="T73" s="7">
        <f ca="1">IF(S73&lt;&gt;"",S73-B73,TODAY()-B73)</f>
        <v>130</v>
      </c>
      <c r="U73" s="10" t="s">
        <v>363</v>
      </c>
      <c r="V73" s="3">
        <f>IF((G73+H73)&lt;15,(G73+H73+2.95), ((G73+H73)*1.2))</f>
        <v>2.9630000000000001</v>
      </c>
      <c r="W73" s="3">
        <f>IF((G73+I73)&lt;15,(G73+I73+2.95), ((G73+I73)*1.2))</f>
        <v>2.9615</v>
      </c>
    </row>
    <row r="74" spans="1:24">
      <c r="A74">
        <v>117</v>
      </c>
      <c r="B74" s="12">
        <v>45736</v>
      </c>
      <c r="C74" t="s">
        <v>18</v>
      </c>
      <c r="D74" t="s">
        <v>48</v>
      </c>
      <c r="E74" t="s">
        <v>342</v>
      </c>
      <c r="F74" t="s">
        <v>288</v>
      </c>
      <c r="G74" s="3">
        <v>35.94</v>
      </c>
      <c r="H74" s="2">
        <f>G74*0.3</f>
        <v>10.781999999999998</v>
      </c>
      <c r="I74" s="8">
        <f>G74*0.15</f>
        <v>5.3909999999999991</v>
      </c>
      <c r="J74" s="3">
        <f>G74+H74</f>
        <v>46.721999999999994</v>
      </c>
      <c r="K74" s="3">
        <f>J74*1.13</f>
        <v>52.79585999999999</v>
      </c>
      <c r="L74" s="25">
        <v>0</v>
      </c>
      <c r="M74" s="7" t="s">
        <v>606</v>
      </c>
      <c r="N74" s="3">
        <v>125</v>
      </c>
      <c r="O74" s="3">
        <v>15</v>
      </c>
      <c r="P74" s="3">
        <v>12.74</v>
      </c>
      <c r="Q74" s="3">
        <f>P74-G74</f>
        <v>-23.199999999999996</v>
      </c>
      <c r="R74" s="10">
        <f>Q74/O74</f>
        <v>-1.5466666666666664</v>
      </c>
      <c r="S74" s="13">
        <v>45786</v>
      </c>
      <c r="T74" s="7">
        <f ca="1">IF(S74&lt;&gt;"",S74-B74,TODAY()-B74)</f>
        <v>50</v>
      </c>
      <c r="U74" s="10" t="s">
        <v>360</v>
      </c>
      <c r="V74" s="3">
        <f>IF((G74+H74)&lt;15,(G74+H74+2.95), ((G74+H74)*1.2))</f>
        <v>56.066399999999994</v>
      </c>
      <c r="W74" s="3">
        <f>IF((G74+I74)&lt;15,(G74+I74+2.95), ((G74+I74)*1.2))</f>
        <v>49.597199999999994</v>
      </c>
    </row>
    <row r="75" spans="1:24" hidden="1">
      <c r="A75">
        <v>118</v>
      </c>
      <c r="B75" s="12">
        <v>45736</v>
      </c>
      <c r="C75" t="s">
        <v>18</v>
      </c>
      <c r="D75" t="s">
        <v>48</v>
      </c>
      <c r="E75" t="s">
        <v>329</v>
      </c>
      <c r="F75" t="s">
        <v>70</v>
      </c>
      <c r="G75" s="3">
        <v>101.51</v>
      </c>
      <c r="H75" s="3">
        <f>G75*0.4</f>
        <v>40.604000000000006</v>
      </c>
      <c r="I75" s="8">
        <f>G75*0.15</f>
        <v>15.2265</v>
      </c>
      <c r="J75" s="3">
        <f>G75+H75</f>
        <v>142.114</v>
      </c>
      <c r="K75" s="3">
        <f>J75*1.13</f>
        <v>160.58882</v>
      </c>
      <c r="L75" s="25">
        <v>1</v>
      </c>
      <c r="M75" s="7" t="s">
        <v>606</v>
      </c>
      <c r="N75" s="3">
        <v>175</v>
      </c>
      <c r="Q75" s="3">
        <f>P75-G75</f>
        <v>-101.51</v>
      </c>
      <c r="R75" s="10" t="e">
        <f>Q75/O75</f>
        <v>#DIV/0!</v>
      </c>
      <c r="S75" s="10"/>
      <c r="T75" s="7">
        <f ca="1">IF(S75&lt;&gt;"",S75-B75,TODAY()-B75)</f>
        <v>130</v>
      </c>
      <c r="U75" s="10" t="s">
        <v>356</v>
      </c>
      <c r="V75" s="3">
        <f>IF((G75+H75)&lt;15,(G75+H75+2.95), ((G75+H75)*1.2))</f>
        <v>170.5368</v>
      </c>
      <c r="W75" s="3">
        <f>IF((G75+I75)&lt;15,(G75+I75+2.95), ((G75+I75)*1.2))</f>
        <v>140.0838</v>
      </c>
    </row>
    <row r="76" spans="1:24">
      <c r="A76">
        <v>119</v>
      </c>
      <c r="B76" s="12">
        <v>45736</v>
      </c>
      <c r="C76" t="s">
        <v>18</v>
      </c>
      <c r="D76" t="s">
        <v>39</v>
      </c>
      <c r="E76" t="s">
        <v>284</v>
      </c>
      <c r="F76" t="s">
        <v>285</v>
      </c>
      <c r="G76" s="3">
        <v>17.420000000000002</v>
      </c>
      <c r="H76" s="2">
        <f>G76*0.3</f>
        <v>5.226</v>
      </c>
      <c r="I76" s="8">
        <f>G76*0.15</f>
        <v>2.613</v>
      </c>
      <c r="J76" s="3">
        <f>G76+H76</f>
        <v>22.646000000000001</v>
      </c>
      <c r="K76" s="3">
        <f>J76*1.13</f>
        <v>25.589979999999997</v>
      </c>
      <c r="L76" s="25">
        <v>0</v>
      </c>
      <c r="M76" s="7" t="s">
        <v>606</v>
      </c>
      <c r="N76" s="3">
        <v>60</v>
      </c>
      <c r="O76" s="3">
        <v>45</v>
      </c>
      <c r="P76" s="3">
        <v>36</v>
      </c>
      <c r="Q76" s="3">
        <f>P76-G76</f>
        <v>18.579999999999998</v>
      </c>
      <c r="R76" s="10">
        <f>Q76/O76</f>
        <v>0.41288888888888886</v>
      </c>
      <c r="S76" s="10"/>
      <c r="T76" s="7">
        <f ca="1">IF(S76&lt;&gt;"",S76-B76,TODAY()-B76)</f>
        <v>130</v>
      </c>
      <c r="U76" s="10"/>
      <c r="V76" s="3">
        <f>IF((G76+H76)&lt;15,(G76+H76+2.95), ((G76+H76)*1.2))</f>
        <v>27.1752</v>
      </c>
      <c r="W76" s="3">
        <f>IF((G76+I76)&lt;15,(G76+I76+2.95), ((G76+I76)*1.2))</f>
        <v>24.0396</v>
      </c>
    </row>
    <row r="77" spans="1:24">
      <c r="A77">
        <v>120</v>
      </c>
      <c r="B77" s="12">
        <v>45738</v>
      </c>
      <c r="C77" t="s">
        <v>18</v>
      </c>
      <c r="D77" t="s">
        <v>290</v>
      </c>
      <c r="E77" t="s">
        <v>289</v>
      </c>
      <c r="F77" t="s">
        <v>224</v>
      </c>
      <c r="G77" s="3">
        <v>146.16</v>
      </c>
      <c r="H77" s="3">
        <f>G77*0.4</f>
        <v>58.463999999999999</v>
      </c>
      <c r="I77" s="8">
        <f>G77*0.15</f>
        <v>21.923999999999999</v>
      </c>
      <c r="J77" s="3">
        <f>G77+H77</f>
        <v>204.624</v>
      </c>
      <c r="K77" s="3">
        <f>J77*1.13</f>
        <v>231.22511999999998</v>
      </c>
      <c r="L77" s="25">
        <v>0</v>
      </c>
      <c r="M77" s="7" t="s">
        <v>606</v>
      </c>
      <c r="N77" s="3">
        <v>315</v>
      </c>
      <c r="O77" s="3">
        <v>225</v>
      </c>
      <c r="P77" s="3">
        <v>191.03</v>
      </c>
      <c r="Q77" s="3">
        <f>P77-G77</f>
        <v>44.870000000000005</v>
      </c>
      <c r="R77" s="10">
        <f>Q77/O77</f>
        <v>0.19942222222222225</v>
      </c>
      <c r="S77" s="13">
        <v>45850</v>
      </c>
      <c r="T77" s="7">
        <f ca="1">IF(S77&lt;&gt;"",S77-B77,TODAY()-B77)</f>
        <v>112</v>
      </c>
      <c r="U77" s="10" t="s">
        <v>359</v>
      </c>
      <c r="V77" s="3">
        <f>IF((G77+H77)&lt;15,(G77+H77+2.95), ((G77+H77)*1.2))</f>
        <v>245.54879999999997</v>
      </c>
      <c r="W77" s="3">
        <f>IF((G77+I77)&lt;15,(G77+I77+2.95), ((G77+I77)*1.2))</f>
        <v>201.70079999999999</v>
      </c>
      <c r="X77" t="s">
        <v>391</v>
      </c>
    </row>
    <row r="78" spans="1:24">
      <c r="A78">
        <v>121</v>
      </c>
      <c r="B78" s="12">
        <v>45738</v>
      </c>
      <c r="C78" t="s">
        <v>18</v>
      </c>
      <c r="D78" t="s">
        <v>53</v>
      </c>
      <c r="E78" t="s">
        <v>292</v>
      </c>
      <c r="F78" t="s">
        <v>226</v>
      </c>
      <c r="G78" s="3">
        <v>200.08</v>
      </c>
      <c r="H78" s="2">
        <f>G78*0.3</f>
        <v>60.024000000000001</v>
      </c>
      <c r="I78" s="8">
        <f>G78*0.15</f>
        <v>30.012</v>
      </c>
      <c r="J78" s="3">
        <f>G78+H78</f>
        <v>260.10400000000004</v>
      </c>
      <c r="K78" s="3">
        <f>J78*1.13</f>
        <v>293.91752000000002</v>
      </c>
      <c r="L78" s="25">
        <v>0</v>
      </c>
      <c r="M78" s="7" t="s">
        <v>606</v>
      </c>
      <c r="N78" s="3">
        <v>350</v>
      </c>
      <c r="O78" s="3">
        <v>235</v>
      </c>
      <c r="P78" s="3">
        <v>208.25</v>
      </c>
      <c r="Q78" s="3">
        <f>P78-G78</f>
        <v>8.1699999999999875</v>
      </c>
      <c r="R78" s="10">
        <f>Q78/O78</f>
        <v>3.4765957446808458E-2</v>
      </c>
      <c r="S78" s="13">
        <v>45820</v>
      </c>
      <c r="T78" s="7">
        <f ca="1">IF(S78&lt;&gt;"",S78-B78,TODAY()-B78)</f>
        <v>82</v>
      </c>
      <c r="U78" s="10" t="s">
        <v>365</v>
      </c>
      <c r="V78" s="3">
        <f>IF((G78+H78)&lt;15,(G78+H78+2.95), ((G78+H78)*1.2))</f>
        <v>312.12480000000005</v>
      </c>
      <c r="W78" s="3">
        <f>IF((G78+I78)&lt;15,(G78+I78+2.95), ((G78+I78)*1.2))</f>
        <v>276.11040000000003</v>
      </c>
      <c r="X78" t="s">
        <v>390</v>
      </c>
    </row>
    <row r="79" spans="1:24" hidden="1">
      <c r="A79">
        <v>122</v>
      </c>
      <c r="B79" s="12">
        <v>45738</v>
      </c>
      <c r="C79" t="s">
        <v>18</v>
      </c>
      <c r="D79" t="s">
        <v>53</v>
      </c>
      <c r="E79" t="s">
        <v>291</v>
      </c>
      <c r="F79" t="s">
        <v>224</v>
      </c>
      <c r="G79" s="3">
        <v>277.67</v>
      </c>
      <c r="H79" s="3">
        <f>G79*0.4</f>
        <v>111.06800000000001</v>
      </c>
      <c r="I79" s="8">
        <f>G79*0.15</f>
        <v>41.650500000000001</v>
      </c>
      <c r="J79" s="3">
        <f>G79+H79</f>
        <v>388.73800000000006</v>
      </c>
      <c r="K79" s="3">
        <f>J79*1.13</f>
        <v>439.27394000000004</v>
      </c>
      <c r="L79" s="25">
        <v>1</v>
      </c>
      <c r="M79" s="7" t="s">
        <v>606</v>
      </c>
      <c r="N79" s="3">
        <v>550</v>
      </c>
      <c r="Q79" s="3">
        <f>P79-G79</f>
        <v>-277.67</v>
      </c>
      <c r="R79" s="10" t="e">
        <f>Q79/O79</f>
        <v>#DIV/0!</v>
      </c>
      <c r="S79" s="10"/>
      <c r="T79" s="7">
        <f ca="1">IF(S79&lt;&gt;"",S79-B79,TODAY()-B79)</f>
        <v>128</v>
      </c>
      <c r="U79" s="10" t="s">
        <v>366</v>
      </c>
      <c r="V79" s="3">
        <f>IF((G79+H79)&lt;15,(G79+H79+2.95), ((G79+H79)*1.2))</f>
        <v>466.48560000000003</v>
      </c>
      <c r="W79" s="3">
        <f>IF((G79+I79)&lt;15,(G79+I79+2.95), ((G79+I79)*1.2))</f>
        <v>383.18460000000005</v>
      </c>
      <c r="X79" t="s">
        <v>383</v>
      </c>
    </row>
    <row r="80" spans="1:24">
      <c r="A80">
        <v>123</v>
      </c>
      <c r="B80" s="12">
        <v>45051</v>
      </c>
      <c r="C80" t="s">
        <v>18</v>
      </c>
      <c r="D80" t="s">
        <v>294</v>
      </c>
      <c r="E80" t="s">
        <v>293</v>
      </c>
      <c r="G80" s="3">
        <v>15</v>
      </c>
      <c r="H80" s="2">
        <f>G80*0.3</f>
        <v>4.5</v>
      </c>
      <c r="I80" s="8">
        <f>G80*0.15</f>
        <v>2.25</v>
      </c>
      <c r="J80" s="3">
        <f>G80+H80</f>
        <v>19.5</v>
      </c>
      <c r="K80" s="3">
        <f>J80*1.13</f>
        <v>22.034999999999997</v>
      </c>
      <c r="L80" s="25">
        <v>0</v>
      </c>
      <c r="N80" s="3">
        <v>35</v>
      </c>
      <c r="O80" s="3">
        <v>32</v>
      </c>
      <c r="P80" s="3">
        <v>25.6</v>
      </c>
      <c r="Q80" s="3">
        <f>P80-G80</f>
        <v>10.600000000000001</v>
      </c>
      <c r="R80" s="10">
        <f>Q80/O80</f>
        <v>0.33125000000000004</v>
      </c>
      <c r="S80" s="13">
        <v>45738</v>
      </c>
      <c r="T80" s="7">
        <f ca="1">IF(S80&lt;&gt;"",S80-B80,TODAY()-B80)</f>
        <v>687</v>
      </c>
      <c r="V80" s="3">
        <f>IF((G80+H80)&lt;15,(G80+H80+2.95), ((G80+H80)*1.2))</f>
        <v>23.4</v>
      </c>
      <c r="W80" s="3">
        <f>IF((G80+I80)&lt;15,(G80+I80+2.95), ((G80+I80)*1.2))</f>
        <v>20.7</v>
      </c>
    </row>
    <row r="81" spans="1:24" hidden="1">
      <c r="A81">
        <v>124</v>
      </c>
      <c r="B81" s="12">
        <v>45738</v>
      </c>
      <c r="C81" t="s">
        <v>18</v>
      </c>
      <c r="D81" t="s">
        <v>53</v>
      </c>
      <c r="E81" t="s">
        <v>295</v>
      </c>
      <c r="F81" t="s">
        <v>296</v>
      </c>
      <c r="G81" s="3">
        <v>336.46</v>
      </c>
      <c r="H81" s="3">
        <f>G81*0.4</f>
        <v>134.584</v>
      </c>
      <c r="I81" s="8">
        <f>G81*0.15</f>
        <v>50.468999999999994</v>
      </c>
      <c r="J81" s="3">
        <f>G81+H81</f>
        <v>471.04399999999998</v>
      </c>
      <c r="K81" s="3">
        <f>J81*1.13</f>
        <v>532.27971999999988</v>
      </c>
      <c r="L81" s="25">
        <v>1</v>
      </c>
      <c r="M81" s="7" t="s">
        <v>606</v>
      </c>
      <c r="N81" s="3">
        <v>1100</v>
      </c>
      <c r="Q81" s="3">
        <f>P81-G81</f>
        <v>-336.46</v>
      </c>
      <c r="R81" s="10" t="e">
        <f>Q81/O81</f>
        <v>#DIV/0!</v>
      </c>
      <c r="T81" s="7">
        <f ca="1">IF(S81&lt;&gt;"",S81-B81,TODAY()-B81)</f>
        <v>128</v>
      </c>
      <c r="U81" s="13" t="s">
        <v>367</v>
      </c>
      <c r="V81" s="3">
        <f>IF((G81+H81)&lt;15,(G81+H81+2.95), ((G81+H81)*1.2))</f>
        <v>565.25279999999998</v>
      </c>
      <c r="W81" s="3">
        <f>IF((G81+I81)&lt;15,(G81+I81+2.95), ((G81+I81)*1.2))</f>
        <v>464.31479999999993</v>
      </c>
      <c r="X81" t="s">
        <v>301</v>
      </c>
    </row>
    <row r="82" spans="1:24" hidden="1">
      <c r="A82">
        <v>125</v>
      </c>
      <c r="B82" s="12">
        <v>45738</v>
      </c>
      <c r="C82" t="s">
        <v>18</v>
      </c>
      <c r="D82" t="s">
        <v>99</v>
      </c>
      <c r="E82" t="s">
        <v>299</v>
      </c>
      <c r="F82" t="s">
        <v>226</v>
      </c>
      <c r="G82" s="3">
        <v>412.96</v>
      </c>
      <c r="H82" s="3">
        <f>G82*0.4</f>
        <v>165.184</v>
      </c>
      <c r="I82" s="8">
        <f>G82*0.15</f>
        <v>61.943999999999996</v>
      </c>
      <c r="J82" s="3">
        <f>G82+H82</f>
        <v>578.14400000000001</v>
      </c>
      <c r="K82" s="3">
        <f>J82*1.13</f>
        <v>653.30271999999991</v>
      </c>
      <c r="L82" s="25">
        <v>1</v>
      </c>
      <c r="Q82" s="3">
        <f>P82-G82</f>
        <v>-412.96</v>
      </c>
      <c r="R82" s="10" t="e">
        <f>Q82/O82</f>
        <v>#DIV/0!</v>
      </c>
      <c r="T82" s="7">
        <f ca="1">IF(S82&lt;&gt;"",S82-B82,TODAY()-B82)</f>
        <v>128</v>
      </c>
      <c r="U82" s="13" t="s">
        <v>368</v>
      </c>
      <c r="V82" s="3">
        <f>IF((G82+H82)&lt;15,(G82+H82+2.95), ((G82+H82)*1.2))</f>
        <v>693.77279999999996</v>
      </c>
      <c r="W82" s="3">
        <f>IF((G82+I82)&lt;15,(G82+I82+2.95), ((G82+I82)*1.2))</f>
        <v>569.88479999999993</v>
      </c>
      <c r="X82" t="s">
        <v>300</v>
      </c>
    </row>
    <row r="83" spans="1:24">
      <c r="A83">
        <v>126</v>
      </c>
      <c r="B83" s="12">
        <v>45738</v>
      </c>
      <c r="C83" t="s">
        <v>18</v>
      </c>
      <c r="D83" t="s">
        <v>183</v>
      </c>
      <c r="E83" t="s">
        <v>316</v>
      </c>
      <c r="F83" t="s">
        <v>315</v>
      </c>
      <c r="G83" s="3">
        <v>87.76</v>
      </c>
      <c r="H83" s="2">
        <f>G83*0.3</f>
        <v>26.327999999999999</v>
      </c>
      <c r="I83" s="8">
        <f>G83*0.15</f>
        <v>13.164</v>
      </c>
      <c r="J83" s="3">
        <f>G83+H83</f>
        <v>114.08800000000001</v>
      </c>
      <c r="K83" s="3">
        <f>J83*1.13</f>
        <v>128.91944000000001</v>
      </c>
      <c r="L83" s="25">
        <v>0</v>
      </c>
      <c r="M83" s="7" t="s">
        <v>606</v>
      </c>
      <c r="N83" s="3">
        <v>180</v>
      </c>
      <c r="O83" s="3">
        <v>180</v>
      </c>
      <c r="P83" s="3">
        <v>135.72999999999999</v>
      </c>
      <c r="Q83" s="3">
        <f>P83-G83</f>
        <v>47.969999999999985</v>
      </c>
      <c r="R83" s="10">
        <f>Q83/O83</f>
        <v>0.2664999999999999</v>
      </c>
      <c r="T83" s="7">
        <f ca="1">IF(S83&lt;&gt;"",S83-B83,TODAY()-B83)</f>
        <v>128</v>
      </c>
      <c r="V83" s="3">
        <f>IF((G83+H83)&lt;15,(G83+H83+2.95), ((G83+H83)*1.2))</f>
        <v>136.90559999999999</v>
      </c>
      <c r="W83" s="3">
        <f>IF((G83+I83)&lt;15,(G83+I83+2.95), ((G83+I83)*1.2))</f>
        <v>121.1088</v>
      </c>
    </row>
    <row r="84" spans="1:24">
      <c r="A84">
        <v>127</v>
      </c>
      <c r="B84" s="12">
        <v>45738</v>
      </c>
      <c r="C84" t="s">
        <v>18</v>
      </c>
      <c r="D84" t="s">
        <v>183</v>
      </c>
      <c r="E84" t="s">
        <v>317</v>
      </c>
      <c r="F84" t="s">
        <v>226</v>
      </c>
      <c r="G84" s="3">
        <v>94.67</v>
      </c>
      <c r="H84" s="2">
        <f>G84*0.3</f>
        <v>28.401</v>
      </c>
      <c r="I84" s="8">
        <f>G84*0.15</f>
        <v>14.2005</v>
      </c>
      <c r="J84" s="3">
        <f>G84+H84</f>
        <v>123.071</v>
      </c>
      <c r="K84" s="3">
        <f>J84*1.13</f>
        <v>139.07022999999998</v>
      </c>
      <c r="L84" s="25">
        <v>0</v>
      </c>
      <c r="M84" s="7" t="s">
        <v>606</v>
      </c>
      <c r="O84" s="3">
        <v>135</v>
      </c>
      <c r="P84" s="3">
        <v>119.47</v>
      </c>
      <c r="Q84" s="3">
        <f>P84-G84</f>
        <v>24.799999999999997</v>
      </c>
      <c r="R84" s="10">
        <f>Q84/O84</f>
        <v>0.18370370370370367</v>
      </c>
      <c r="S84" s="13">
        <v>45795</v>
      </c>
      <c r="T84" s="7">
        <f ca="1">IF(S84&lt;&gt;"",S84-B84,TODAY()-B84)</f>
        <v>57</v>
      </c>
      <c r="V84" s="3">
        <f>IF((G84+H84)&lt;15,(G84+H84+2.95), ((G84+H84)*1.2))</f>
        <v>147.68519999999998</v>
      </c>
      <c r="W84" s="3">
        <f>IF((G84+I84)&lt;15,(G84+I84+2.95), ((G84+I84)*1.2))</f>
        <v>130.6446</v>
      </c>
    </row>
    <row r="85" spans="1:24">
      <c r="A85">
        <v>128</v>
      </c>
      <c r="B85" s="12">
        <v>45738</v>
      </c>
      <c r="C85" t="s">
        <v>18</v>
      </c>
      <c r="D85" t="s">
        <v>183</v>
      </c>
      <c r="E85" s="15" t="s">
        <v>502</v>
      </c>
      <c r="F85" t="s">
        <v>309</v>
      </c>
      <c r="G85" s="3">
        <v>88.21</v>
      </c>
      <c r="H85" s="2">
        <f>G85*0.3</f>
        <v>26.462999999999997</v>
      </c>
      <c r="I85" s="8">
        <f>G85*0.15</f>
        <v>13.231499999999999</v>
      </c>
      <c r="J85" s="3">
        <f>G85+H85</f>
        <v>114.67299999999999</v>
      </c>
      <c r="K85" s="3">
        <f>J85*1.13</f>
        <v>129.58048999999997</v>
      </c>
      <c r="L85" s="25">
        <v>0</v>
      </c>
      <c r="M85" s="7" t="s">
        <v>606</v>
      </c>
      <c r="O85" s="3">
        <v>160</v>
      </c>
      <c r="P85" s="3">
        <v>141.66</v>
      </c>
      <c r="Q85" s="3">
        <f>P85-G85</f>
        <v>53.45</v>
      </c>
      <c r="R85" s="10">
        <f>Q85/O85</f>
        <v>0.33406250000000004</v>
      </c>
      <c r="S85" s="13">
        <v>45830</v>
      </c>
      <c r="T85" s="7">
        <f ca="1">IF(S85&lt;&gt;"",S85-B85,TODAY()-B85)</f>
        <v>92</v>
      </c>
      <c r="V85" s="3">
        <f>IF((G85+H85)&lt;15,(G85+H85+2.95), ((G85+H85)*1.2))</f>
        <v>137.60759999999999</v>
      </c>
      <c r="W85" s="3">
        <f>IF((G85+I85)&lt;15,(G85+I85+2.95), ((G85+I85)*1.2))</f>
        <v>121.72979999999998</v>
      </c>
    </row>
    <row r="86" spans="1:24">
      <c r="A86">
        <v>129</v>
      </c>
      <c r="B86" s="12">
        <v>45738</v>
      </c>
      <c r="C86" t="s">
        <v>18</v>
      </c>
      <c r="D86" t="s">
        <v>183</v>
      </c>
      <c r="E86" t="s">
        <v>501</v>
      </c>
      <c r="F86" t="s">
        <v>226</v>
      </c>
      <c r="G86" s="3">
        <v>136.13</v>
      </c>
      <c r="H86" s="2">
        <f>G86*0.3</f>
        <v>40.838999999999999</v>
      </c>
      <c r="I86" s="8">
        <f>G86*0.15</f>
        <v>20.419499999999999</v>
      </c>
      <c r="J86" s="3">
        <f>G86+H86</f>
        <v>176.96899999999999</v>
      </c>
      <c r="K86" s="3">
        <f>J86*1.13</f>
        <v>199.97496999999998</v>
      </c>
      <c r="L86" s="25">
        <v>0</v>
      </c>
      <c r="M86" s="7" t="s">
        <v>606</v>
      </c>
      <c r="O86" s="3">
        <v>160</v>
      </c>
      <c r="P86" s="3">
        <v>141.94999999999999</v>
      </c>
      <c r="Q86" s="3">
        <f>P86-G86</f>
        <v>5.8199999999999932</v>
      </c>
      <c r="R86" s="10">
        <f>Q86/O86</f>
        <v>3.6374999999999956E-2</v>
      </c>
      <c r="S86" s="13">
        <v>45830</v>
      </c>
      <c r="T86" s="7">
        <f ca="1">IF(S86&lt;&gt;"",S86-B86,TODAY()-B86)</f>
        <v>92</v>
      </c>
      <c r="V86" s="3">
        <f>IF((G86+H86)&lt;15,(G86+H86+2.95), ((G86+H86)*1.2))</f>
        <v>212.36279999999999</v>
      </c>
      <c r="W86" s="3">
        <f>IF((G86+I86)&lt;15,(G86+I86+2.95), ((G86+I86)*1.2))</f>
        <v>187.85939999999999</v>
      </c>
      <c r="X86" t="s">
        <v>375</v>
      </c>
    </row>
    <row r="87" spans="1:24">
      <c r="A87">
        <v>130</v>
      </c>
      <c r="B87" s="12">
        <v>45738</v>
      </c>
      <c r="C87" t="s">
        <v>18</v>
      </c>
      <c r="D87" t="s">
        <v>183</v>
      </c>
      <c r="E87" t="s">
        <v>321</v>
      </c>
      <c r="F87" t="s">
        <v>224</v>
      </c>
      <c r="G87" s="3">
        <v>137.21</v>
      </c>
      <c r="H87" s="2">
        <f>G87*0.3</f>
        <v>41.163000000000004</v>
      </c>
      <c r="I87" s="8">
        <f>G87*0.15</f>
        <v>20.581500000000002</v>
      </c>
      <c r="J87" s="3">
        <f>G87+H87</f>
        <v>178.37300000000002</v>
      </c>
      <c r="K87" s="3">
        <f>J87*1.13</f>
        <v>201.56148999999999</v>
      </c>
      <c r="L87" s="25">
        <v>0</v>
      </c>
      <c r="N87" s="3">
        <v>260</v>
      </c>
      <c r="O87" s="3">
        <v>199</v>
      </c>
      <c r="P87" s="3">
        <v>173.13</v>
      </c>
      <c r="Q87" s="3">
        <f>P87-G87</f>
        <v>35.919999999999987</v>
      </c>
      <c r="R87" s="10">
        <f>Q87/O87</f>
        <v>0.18050251256281399</v>
      </c>
      <c r="T87" s="7">
        <f ca="1">IF(S87&lt;&gt;"",S87-B87,TODAY()-B87)</f>
        <v>128</v>
      </c>
      <c r="V87" s="3">
        <f>IF((G87+H87)&lt;15,(G87+H87+2.95), ((G87+H87)*1.2))</f>
        <v>214.04760000000002</v>
      </c>
      <c r="W87" s="3">
        <f>IF((G87+I87)&lt;15,(G87+I87+2.95), ((G87+I87)*1.2))</f>
        <v>189.34980000000002</v>
      </c>
      <c r="X87" t="s">
        <v>375</v>
      </c>
    </row>
    <row r="88" spans="1:24">
      <c r="A88">
        <v>131</v>
      </c>
      <c r="B88" s="12">
        <v>45738</v>
      </c>
      <c r="C88" t="s">
        <v>18</v>
      </c>
      <c r="D88" t="s">
        <v>183</v>
      </c>
      <c r="E88" t="s">
        <v>320</v>
      </c>
      <c r="F88" t="s">
        <v>46</v>
      </c>
      <c r="G88" s="3">
        <v>147.02000000000001</v>
      </c>
      <c r="H88" s="2">
        <f>G88*0.3</f>
        <v>44.106000000000002</v>
      </c>
      <c r="I88" s="8">
        <f>G88*0.15</f>
        <v>22.053000000000001</v>
      </c>
      <c r="J88" s="3">
        <f>G88+H88</f>
        <v>191.126</v>
      </c>
      <c r="K88" s="3">
        <f>J88*1.13</f>
        <v>215.97237999999999</v>
      </c>
      <c r="L88" s="25">
        <v>0</v>
      </c>
      <c r="O88" s="3">
        <v>239.2</v>
      </c>
      <c r="P88" s="3">
        <v>211.97</v>
      </c>
      <c r="Q88" s="3">
        <f>P88-G88</f>
        <v>64.949999999999989</v>
      </c>
      <c r="R88" s="10">
        <f>Q88/O88</f>
        <v>0.27153010033444813</v>
      </c>
      <c r="S88" s="13">
        <v>45772</v>
      </c>
      <c r="T88" s="7">
        <f ca="1">IF(S88&lt;&gt;"",S88-B88,TODAY()-B88)</f>
        <v>34</v>
      </c>
      <c r="V88" s="3">
        <f>IF((G88+H88)&lt;15,(G88+H88+2.95), ((G88+H88)*1.2))</f>
        <v>229.35120000000001</v>
      </c>
      <c r="W88" s="3">
        <f>IF((G88+I88)&lt;15,(G88+I88+2.95), ((G88+I88)*1.2))</f>
        <v>202.88759999999999</v>
      </c>
      <c r="X88" t="s">
        <v>391</v>
      </c>
    </row>
    <row r="89" spans="1:24">
      <c r="A89">
        <v>132</v>
      </c>
      <c r="B89" s="12">
        <v>45739</v>
      </c>
      <c r="C89" t="s">
        <v>18</v>
      </c>
      <c r="D89" t="s">
        <v>55</v>
      </c>
      <c r="E89" t="s">
        <v>312</v>
      </c>
      <c r="F89" t="s">
        <v>226</v>
      </c>
      <c r="G89" s="3">
        <v>249.61</v>
      </c>
      <c r="H89" s="2">
        <f>G89*0.3</f>
        <v>74.882999999999996</v>
      </c>
      <c r="I89" s="8">
        <f>G89*0.15</f>
        <v>37.441499999999998</v>
      </c>
      <c r="J89" s="3">
        <f>G89+H89</f>
        <v>324.49299999999999</v>
      </c>
      <c r="K89" s="3">
        <f>J89*1.13</f>
        <v>366.67708999999996</v>
      </c>
      <c r="L89" s="25">
        <v>0</v>
      </c>
      <c r="M89" s="7" t="s">
        <v>606</v>
      </c>
      <c r="N89" s="3">
        <v>800</v>
      </c>
      <c r="O89" s="3">
        <v>420</v>
      </c>
      <c r="P89" s="3">
        <v>372.66</v>
      </c>
      <c r="Q89" s="3">
        <f>P89-G89</f>
        <v>123.05000000000001</v>
      </c>
      <c r="R89" s="10">
        <f>Q89/O89</f>
        <v>0.2929761904761905</v>
      </c>
      <c r="T89" s="7">
        <f ca="1">IF(S89&lt;&gt;"",S89-B89,TODAY()-B89)</f>
        <v>127</v>
      </c>
      <c r="U89" s="13" t="s">
        <v>421</v>
      </c>
      <c r="V89" s="3">
        <f>IF((G89+H89)&lt;15,(G89+H89+2.95), ((G89+H89)*1.2))</f>
        <v>389.39159999999998</v>
      </c>
      <c r="W89" s="3">
        <f>IF((G89+I89)&lt;15,(G89+I89+2.95), ((G89+I89)*1.2))</f>
        <v>344.46180000000004</v>
      </c>
      <c r="X89" t="s">
        <v>385</v>
      </c>
    </row>
    <row r="90" spans="1:24">
      <c r="A90">
        <v>133</v>
      </c>
      <c r="B90" s="12">
        <v>45739</v>
      </c>
      <c r="C90" t="s">
        <v>18</v>
      </c>
      <c r="D90" t="s">
        <v>19</v>
      </c>
      <c r="E90" t="s">
        <v>313</v>
      </c>
      <c r="F90" t="s">
        <v>309</v>
      </c>
      <c r="G90" s="3">
        <v>91.71</v>
      </c>
      <c r="H90" s="2">
        <f>G90*0.3</f>
        <v>27.512999999999998</v>
      </c>
      <c r="I90" s="8">
        <f>G90*0.15</f>
        <v>13.756499999999999</v>
      </c>
      <c r="J90" s="3">
        <f>G90+H90</f>
        <v>119.22299999999998</v>
      </c>
      <c r="K90" s="3">
        <f>J90*1.13</f>
        <v>134.72198999999998</v>
      </c>
      <c r="L90" s="25">
        <v>0</v>
      </c>
      <c r="M90" s="7" t="s">
        <v>606</v>
      </c>
      <c r="O90" s="3">
        <v>199</v>
      </c>
      <c r="P90" s="3">
        <v>176.55</v>
      </c>
      <c r="Q90" s="3">
        <f>P90-G90</f>
        <v>84.840000000000018</v>
      </c>
      <c r="R90" s="10">
        <f>Q90/O90</f>
        <v>0.42633165829145736</v>
      </c>
      <c r="S90" s="13">
        <v>45795</v>
      </c>
      <c r="T90" s="7">
        <f ca="1">IF(S90&lt;&gt;"",S90-B90,TODAY()-B90)</f>
        <v>56</v>
      </c>
      <c r="V90" s="3">
        <f>IF((G90+H90)&lt;15,(G90+H90+2.95), ((G90+H90)*1.2))</f>
        <v>143.06759999999997</v>
      </c>
      <c r="W90" s="3">
        <f>IF((G90+I90)&lt;15,(G90+I90+2.95), ((G90+I90)*1.2))</f>
        <v>126.5598</v>
      </c>
    </row>
    <row r="91" spans="1:24">
      <c r="A91">
        <v>134</v>
      </c>
      <c r="B91" s="12">
        <v>45739</v>
      </c>
      <c r="C91" t="s">
        <v>18</v>
      </c>
      <c r="D91" t="s">
        <v>122</v>
      </c>
      <c r="E91" t="s">
        <v>314</v>
      </c>
      <c r="F91" t="s">
        <v>254</v>
      </c>
      <c r="G91" s="3">
        <v>44.88</v>
      </c>
      <c r="H91" s="2">
        <f>G91*0.3</f>
        <v>13.464</v>
      </c>
      <c r="I91" s="8">
        <f>G91*0.15</f>
        <v>6.7320000000000002</v>
      </c>
      <c r="J91" s="3">
        <f>G91+H91</f>
        <v>58.344000000000001</v>
      </c>
      <c r="K91" s="3">
        <f>J91*1.13</f>
        <v>65.928719999999998</v>
      </c>
      <c r="L91" s="25">
        <v>0</v>
      </c>
      <c r="M91" s="7" t="s">
        <v>607</v>
      </c>
      <c r="O91" s="3">
        <v>23</v>
      </c>
      <c r="P91" s="3">
        <v>20.9</v>
      </c>
      <c r="Q91" s="3">
        <f>P91-G91</f>
        <v>-23.980000000000004</v>
      </c>
      <c r="R91" s="10">
        <f>Q91/O91</f>
        <v>-1.0426086956521741</v>
      </c>
      <c r="S91" s="13">
        <v>45843</v>
      </c>
      <c r="T91" s="7">
        <f ca="1">IF(S91&lt;&gt;"",S91-B91,TODAY()-B91)</f>
        <v>104</v>
      </c>
      <c r="V91" s="3">
        <f>IF((G91+H91)&lt;15,(G91+H91+2.95), ((G91+H91)*1.2))</f>
        <v>70.012799999999999</v>
      </c>
      <c r="W91" s="3">
        <f>IF((G91+I91)&lt;15,(G91+I91+2.95), ((G91+I91)*1.2))</f>
        <v>61.934399999999997</v>
      </c>
    </row>
    <row r="92" spans="1:24">
      <c r="A92">
        <v>135</v>
      </c>
      <c r="B92" s="12">
        <v>45739</v>
      </c>
      <c r="C92" t="s">
        <v>18</v>
      </c>
      <c r="D92" t="s">
        <v>307</v>
      </c>
      <c r="E92" s="15" t="s">
        <v>310</v>
      </c>
      <c r="F92" t="s">
        <v>309</v>
      </c>
      <c r="G92" s="3">
        <v>86.26</v>
      </c>
      <c r="H92" s="2">
        <f>G92*0.3</f>
        <v>25.878</v>
      </c>
      <c r="I92" s="8">
        <f>G92*0.15</f>
        <v>12.939</v>
      </c>
      <c r="J92" s="3">
        <f>G92+H92</f>
        <v>112.13800000000001</v>
      </c>
      <c r="K92" s="3">
        <f>J92*1.13</f>
        <v>126.71593999999999</v>
      </c>
      <c r="L92" s="25">
        <v>0</v>
      </c>
      <c r="M92" s="7" t="s">
        <v>606</v>
      </c>
      <c r="O92" s="3">
        <v>150</v>
      </c>
      <c r="P92" s="3">
        <v>132.71</v>
      </c>
      <c r="Q92" s="3">
        <f>P92-G92</f>
        <v>46.45</v>
      </c>
      <c r="R92" s="10">
        <f>Q92/O92</f>
        <v>0.3096666666666667</v>
      </c>
      <c r="S92" s="13">
        <v>45833</v>
      </c>
      <c r="T92" s="7">
        <f ca="1">IF(S92&lt;&gt;"",S92-B92,TODAY()-B92)</f>
        <v>94</v>
      </c>
      <c r="V92" s="3">
        <f>IF((G92+H92)&lt;15,(G92+H92+2.95), ((G92+H92)*1.2))</f>
        <v>134.56559999999999</v>
      </c>
      <c r="W92" s="3">
        <f>IF((G92+I92)&lt;15,(G92+I92+2.95), ((G92+I92)*1.2))</f>
        <v>119.03880000000001</v>
      </c>
    </row>
    <row r="93" spans="1:24">
      <c r="A93">
        <v>136</v>
      </c>
      <c r="B93" s="12">
        <v>45739</v>
      </c>
      <c r="C93" t="s">
        <v>18</v>
      </c>
      <c r="D93" t="s">
        <v>132</v>
      </c>
      <c r="E93" t="s">
        <v>311</v>
      </c>
      <c r="F93" t="s">
        <v>224</v>
      </c>
      <c r="G93" s="3">
        <v>532.75</v>
      </c>
      <c r="H93" s="2">
        <f>G93*0.3</f>
        <v>159.82499999999999</v>
      </c>
      <c r="I93" s="8">
        <f>G93*0.15</f>
        <v>79.912499999999994</v>
      </c>
      <c r="J93" s="3">
        <f>G93+H93</f>
        <v>692.57500000000005</v>
      </c>
      <c r="K93" s="3">
        <f>J93*1.13</f>
        <v>782.60974999999996</v>
      </c>
      <c r="L93" s="25">
        <v>0</v>
      </c>
      <c r="M93" s="7" t="s">
        <v>606</v>
      </c>
      <c r="O93" s="3">
        <v>800</v>
      </c>
      <c r="P93" s="3">
        <v>800</v>
      </c>
      <c r="Q93" s="3">
        <f>P93-G93</f>
        <v>267.25</v>
      </c>
      <c r="R93" s="10">
        <f>Q93/O93</f>
        <v>0.33406249999999998</v>
      </c>
      <c r="S93" s="13">
        <v>45795</v>
      </c>
      <c r="T93" s="7">
        <f ca="1">IF(S93&lt;&gt;"",S93-B93,TODAY()-B93)</f>
        <v>56</v>
      </c>
      <c r="V93" s="3">
        <f>IF((G93+H93)&lt;15,(G93+H93+2.95), ((G93+H93)*1.2))</f>
        <v>831.09</v>
      </c>
      <c r="W93" s="3">
        <f>IF((G93+I93)&lt;15,(G93+I93+2.95), ((G93+I93)*1.2))</f>
        <v>735.19500000000005</v>
      </c>
      <c r="X93" t="s">
        <v>381</v>
      </c>
    </row>
    <row r="94" spans="1:24">
      <c r="A94">
        <v>137</v>
      </c>
      <c r="B94" s="12">
        <v>45739</v>
      </c>
      <c r="C94" t="s">
        <v>18</v>
      </c>
      <c r="D94" t="s">
        <v>55</v>
      </c>
      <c r="E94" t="s">
        <v>308</v>
      </c>
      <c r="F94" t="s">
        <v>309</v>
      </c>
      <c r="G94" s="3">
        <v>309.51</v>
      </c>
      <c r="H94" s="2">
        <f>G94*0.3</f>
        <v>92.852999999999994</v>
      </c>
      <c r="I94" s="8">
        <f>G94*0.15</f>
        <v>46.426499999999997</v>
      </c>
      <c r="J94" s="3">
        <f>G94+H94</f>
        <v>402.363</v>
      </c>
      <c r="K94" s="3">
        <f>J94*1.13</f>
        <v>454.67018999999993</v>
      </c>
      <c r="L94" s="25">
        <v>0</v>
      </c>
      <c r="M94" s="7" t="s">
        <v>606</v>
      </c>
      <c r="N94" s="3">
        <v>580</v>
      </c>
      <c r="O94" s="3">
        <v>449</v>
      </c>
      <c r="P94" s="3">
        <v>398</v>
      </c>
      <c r="Q94" s="3">
        <f>P94-G94</f>
        <v>88.490000000000009</v>
      </c>
      <c r="R94" s="10">
        <f>Q94/O94</f>
        <v>0.1970824053452116</v>
      </c>
      <c r="T94" s="7">
        <f ca="1">IF(S94&lt;&gt;"",S94-B94,TODAY()-B94)</f>
        <v>127</v>
      </c>
      <c r="U94" s="13" t="s">
        <v>369</v>
      </c>
      <c r="V94" s="3">
        <f>IF((G94+H94)&lt;15,(G94+H94+2.95), ((G94+H94)*1.2))</f>
        <v>482.8356</v>
      </c>
      <c r="W94" s="3">
        <f>IF((G94+I94)&lt;15,(G94+I94+2.95), ((G94+I94)*1.2))</f>
        <v>427.12379999999996</v>
      </c>
      <c r="X94" t="s">
        <v>301</v>
      </c>
    </row>
    <row r="95" spans="1:24">
      <c r="A95">
        <v>138</v>
      </c>
      <c r="B95" s="12">
        <v>45739</v>
      </c>
      <c r="C95" t="s">
        <v>18</v>
      </c>
      <c r="D95" t="s">
        <v>344</v>
      </c>
      <c r="E95" t="s">
        <v>370</v>
      </c>
      <c r="F95" t="s">
        <v>309</v>
      </c>
      <c r="G95" s="3">
        <v>138.02000000000001</v>
      </c>
      <c r="H95" s="3">
        <f>G95*0.4</f>
        <v>55.208000000000006</v>
      </c>
      <c r="I95" s="8">
        <f>G95*0.15</f>
        <v>20.702999999999999</v>
      </c>
      <c r="J95" s="3">
        <f>G95+H95</f>
        <v>193.22800000000001</v>
      </c>
      <c r="K95" s="3">
        <f>J95*1.13</f>
        <v>218.34763999999998</v>
      </c>
      <c r="L95" s="25">
        <v>0</v>
      </c>
      <c r="M95" s="7" t="s">
        <v>606</v>
      </c>
      <c r="N95" s="3">
        <v>350</v>
      </c>
      <c r="O95" s="3">
        <v>175</v>
      </c>
      <c r="P95" s="3">
        <v>140</v>
      </c>
      <c r="Q95" s="3">
        <f>P95-G95</f>
        <v>1.9799999999999898</v>
      </c>
      <c r="R95" s="10">
        <f>Q95/O95</f>
        <v>1.1314285714285655E-2</v>
      </c>
      <c r="S95" s="13">
        <v>45837</v>
      </c>
      <c r="T95" s="7">
        <f ca="1">IF(S95&lt;&gt;"",S95-B95,TODAY()-B95)</f>
        <v>98</v>
      </c>
      <c r="U95" s="13" t="s">
        <v>374</v>
      </c>
      <c r="V95" s="3">
        <f>IF((G95+H95)&lt;15,(G95+H95+2.95), ((G95+H95)*1.2))</f>
        <v>231.87360000000001</v>
      </c>
      <c r="W95" s="3">
        <f>IF((G95+I95)&lt;15,(G95+I95+2.95), ((G95+I95)*1.2))</f>
        <v>190.4676</v>
      </c>
      <c r="X95" t="s">
        <v>375</v>
      </c>
    </row>
    <row r="96" spans="1:24" hidden="1">
      <c r="A96">
        <v>139</v>
      </c>
      <c r="B96" s="12">
        <v>45739</v>
      </c>
      <c r="C96" t="s">
        <v>18</v>
      </c>
      <c r="D96" t="s">
        <v>345</v>
      </c>
      <c r="E96" t="s">
        <v>346</v>
      </c>
      <c r="F96" t="s">
        <v>46</v>
      </c>
      <c r="G96" s="3">
        <v>73.900000000000006</v>
      </c>
      <c r="H96" s="2">
        <f>G96*0.3</f>
        <v>22.17</v>
      </c>
      <c r="I96" s="8">
        <f>G96*0.15</f>
        <v>11.085000000000001</v>
      </c>
      <c r="J96" s="3">
        <f>G96+H96</f>
        <v>96.070000000000007</v>
      </c>
      <c r="K96" s="3">
        <f>J96*1.13</f>
        <v>108.5591</v>
      </c>
      <c r="L96" s="25">
        <v>0</v>
      </c>
      <c r="M96" s="7" t="s">
        <v>608</v>
      </c>
      <c r="Q96" s="3">
        <f>P96-G96</f>
        <v>-73.900000000000006</v>
      </c>
      <c r="R96" s="10" t="e">
        <f>Q96/O96</f>
        <v>#DIV/0!</v>
      </c>
      <c r="T96" s="7">
        <f ca="1">IF(S96&lt;&gt;"",S96-B96,TODAY()-B96)</f>
        <v>127</v>
      </c>
      <c r="U96" s="13" t="s">
        <v>372</v>
      </c>
      <c r="V96" s="3">
        <f>IF((G96+H96)&lt;15,(G96+H96+2.95), ((G96+H96)*1.2))</f>
        <v>115.28400000000001</v>
      </c>
      <c r="W96" s="3">
        <f>IF((G96+I96)&lt;15,(G96+I96+2.95), ((G96+I96)*1.2))</f>
        <v>101.98200000000001</v>
      </c>
      <c r="X96" t="s">
        <v>373</v>
      </c>
    </row>
    <row r="97" spans="1:24">
      <c r="A97">
        <v>140</v>
      </c>
      <c r="B97" s="12">
        <v>45739</v>
      </c>
      <c r="C97" t="s">
        <v>18</v>
      </c>
      <c r="D97" t="s">
        <v>345</v>
      </c>
      <c r="E97" t="s">
        <v>347</v>
      </c>
      <c r="F97" t="s">
        <v>224</v>
      </c>
      <c r="G97" s="3">
        <v>407.66</v>
      </c>
      <c r="H97" s="2">
        <f>G97*0.3</f>
        <v>122.298</v>
      </c>
      <c r="I97" s="8">
        <f>G97*0.15</f>
        <v>61.149000000000001</v>
      </c>
      <c r="J97" s="3">
        <f>G97+H97</f>
        <v>529.95800000000008</v>
      </c>
      <c r="K97" s="3">
        <f>J97*1.13</f>
        <v>598.85254000000009</v>
      </c>
      <c r="L97" s="25">
        <v>0</v>
      </c>
      <c r="M97" s="7" t="s">
        <v>606</v>
      </c>
      <c r="N97" s="3">
        <v>1200</v>
      </c>
      <c r="O97" s="3">
        <v>650</v>
      </c>
      <c r="P97" s="3">
        <v>565.5</v>
      </c>
      <c r="Q97" s="3">
        <f>P97-G97</f>
        <v>157.83999999999997</v>
      </c>
      <c r="R97" s="10">
        <f>Q97/O97</f>
        <v>0.24283076923076918</v>
      </c>
      <c r="S97" s="13">
        <v>45801</v>
      </c>
      <c r="T97" s="7">
        <f ca="1">IF(S97&lt;&gt;"",S97-B97,TODAY()-B97)</f>
        <v>62</v>
      </c>
      <c r="U97" s="13" t="s">
        <v>371</v>
      </c>
      <c r="V97" s="3">
        <f>IF((G97+H97)&lt;15,(G97+H97+2.95), ((G97+H97)*1.2))</f>
        <v>635.94960000000003</v>
      </c>
      <c r="W97" s="3">
        <f>IF((G97+I97)&lt;15,(G97+I97+2.95), ((G97+I97)*1.2))</f>
        <v>562.57079999999996</v>
      </c>
      <c r="X97" t="s">
        <v>396</v>
      </c>
    </row>
    <row r="98" spans="1:24" hidden="1">
      <c r="A98">
        <v>141</v>
      </c>
      <c r="B98" s="12">
        <v>45739</v>
      </c>
      <c r="C98" t="s">
        <v>18</v>
      </c>
      <c r="D98" t="s">
        <v>345</v>
      </c>
      <c r="E98" t="s">
        <v>348</v>
      </c>
      <c r="F98" t="s">
        <v>46</v>
      </c>
      <c r="G98" s="3">
        <v>39.200000000000003</v>
      </c>
      <c r="H98" s="3">
        <f>G98*0.4</f>
        <v>15.680000000000001</v>
      </c>
      <c r="I98" s="8">
        <f>G98*0.15</f>
        <v>5.88</v>
      </c>
      <c r="J98" s="3">
        <f>G98+H98</f>
        <v>54.88</v>
      </c>
      <c r="K98" s="3">
        <f>J98*1.13</f>
        <v>62.014399999999995</v>
      </c>
      <c r="L98" s="25">
        <v>1</v>
      </c>
      <c r="N98" s="3">
        <v>125</v>
      </c>
      <c r="Q98" s="3">
        <f>P98-G98</f>
        <v>-39.200000000000003</v>
      </c>
      <c r="R98" s="10" t="e">
        <f>Q98/O98</f>
        <v>#DIV/0!</v>
      </c>
      <c r="T98" s="7">
        <f ca="1">IF(S98&lt;&gt;"",S98-B98,TODAY()-B98)</f>
        <v>127</v>
      </c>
      <c r="U98" s="13" t="s">
        <v>376</v>
      </c>
      <c r="V98" s="3">
        <f>IF((G98+H98)&lt;15,(G98+H98+2.95), ((G98+H98)*1.2))</f>
        <v>65.855999999999995</v>
      </c>
      <c r="W98" s="3">
        <f>IF((G98+I98)&lt;15,(G98+I98+2.95), ((G98+I98)*1.2))</f>
        <v>54.096000000000004</v>
      </c>
    </row>
    <row r="99" spans="1:24" hidden="1">
      <c r="A99">
        <v>142</v>
      </c>
      <c r="B99" s="12">
        <v>45739</v>
      </c>
      <c r="C99" t="s">
        <v>18</v>
      </c>
      <c r="D99" t="s">
        <v>345</v>
      </c>
      <c r="E99" t="s">
        <v>349</v>
      </c>
      <c r="F99" t="s">
        <v>46</v>
      </c>
      <c r="G99" s="3">
        <v>47.92</v>
      </c>
      <c r="H99" s="2">
        <f>G99*0.3</f>
        <v>14.375999999999999</v>
      </c>
      <c r="I99" s="8">
        <f>G99*0.15</f>
        <v>7.1879999999999997</v>
      </c>
      <c r="J99" s="3">
        <f>G99+H99</f>
        <v>62.295999999999999</v>
      </c>
      <c r="K99" s="3">
        <f>J99*1.13</f>
        <v>70.394479999999987</v>
      </c>
      <c r="L99" s="25">
        <v>0</v>
      </c>
      <c r="M99" s="7" t="s">
        <v>608</v>
      </c>
      <c r="N99" s="3">
        <v>80</v>
      </c>
      <c r="Q99" s="3">
        <f>P99-G99</f>
        <v>-47.92</v>
      </c>
      <c r="R99" s="10" t="e">
        <f>Q99/O99</f>
        <v>#DIV/0!</v>
      </c>
      <c r="T99" s="7">
        <f ca="1">IF(S99&lt;&gt;"",S99-B99,TODAY()-B99)</f>
        <v>127</v>
      </c>
      <c r="U99" s="13" t="s">
        <v>377</v>
      </c>
      <c r="V99" s="3">
        <f>IF((G99+H99)&lt;15,(G99+H99+2.95), ((G99+H99)*1.2))</f>
        <v>74.755200000000002</v>
      </c>
      <c r="W99" s="3">
        <f>IF((G99+I99)&lt;15,(G99+I99+2.95), ((G99+I99)*1.2))</f>
        <v>66.129599999999996</v>
      </c>
      <c r="X99" t="s">
        <v>378</v>
      </c>
    </row>
    <row r="100" spans="1:24" hidden="1">
      <c r="A100">
        <v>143</v>
      </c>
      <c r="B100" s="12">
        <v>45739</v>
      </c>
      <c r="C100" t="s">
        <v>18</v>
      </c>
      <c r="D100" t="s">
        <v>345</v>
      </c>
      <c r="E100" t="s">
        <v>349</v>
      </c>
      <c r="F100" t="s">
        <v>46</v>
      </c>
      <c r="G100" s="3">
        <v>37.03</v>
      </c>
      <c r="H100" s="2">
        <f>G100*0.3</f>
        <v>11.109</v>
      </c>
      <c r="I100" s="8">
        <f>G100*0.15</f>
        <v>5.5545</v>
      </c>
      <c r="J100" s="3">
        <f>G100+H100</f>
        <v>48.139000000000003</v>
      </c>
      <c r="K100" s="3">
        <f>J100*1.13</f>
        <v>54.397069999999999</v>
      </c>
      <c r="L100" s="25">
        <v>0</v>
      </c>
      <c r="M100" s="7" t="s">
        <v>608</v>
      </c>
      <c r="Q100" s="3">
        <f>P100-G100</f>
        <v>-37.03</v>
      </c>
      <c r="R100" s="10" t="e">
        <f>Q100/O100</f>
        <v>#DIV/0!</v>
      </c>
      <c r="T100" s="7">
        <f ca="1">IF(S100&lt;&gt;"",S100-B100,TODAY()-B100)</f>
        <v>127</v>
      </c>
      <c r="U100" s="13" t="s">
        <v>377</v>
      </c>
      <c r="V100" s="3">
        <f>IF((G100+H100)&lt;15,(G100+H100+2.95), ((G100+H100)*1.2))</f>
        <v>57.766800000000003</v>
      </c>
      <c r="W100" s="3">
        <f>IF((G100+I100)&lt;15,(G100+I100+2.95), ((G100+I100)*1.2))</f>
        <v>51.101399999999998</v>
      </c>
      <c r="X100" t="s">
        <v>378</v>
      </c>
    </row>
    <row r="101" spans="1:24" hidden="1">
      <c r="A101">
        <v>144</v>
      </c>
      <c r="B101" s="12">
        <v>45740</v>
      </c>
      <c r="C101" t="s">
        <v>18</v>
      </c>
      <c r="D101" t="s">
        <v>55</v>
      </c>
      <c r="E101" t="s">
        <v>350</v>
      </c>
      <c r="F101" t="s">
        <v>224</v>
      </c>
      <c r="G101" s="3">
        <v>255.06</v>
      </c>
      <c r="H101" s="3">
        <f>G101*0.4</f>
        <v>102.024</v>
      </c>
      <c r="I101" s="8">
        <f>G101*0.15</f>
        <v>38.259</v>
      </c>
      <c r="J101" s="3">
        <f>G101+H101</f>
        <v>357.084</v>
      </c>
      <c r="K101" s="3">
        <f>J101*1.13</f>
        <v>403.50491999999997</v>
      </c>
      <c r="L101" s="25">
        <v>1</v>
      </c>
      <c r="M101" s="7" t="s">
        <v>606</v>
      </c>
      <c r="N101" s="3">
        <v>899</v>
      </c>
      <c r="Q101" s="3">
        <f>P101-G101</f>
        <v>-255.06</v>
      </c>
      <c r="R101" s="10" t="e">
        <f>Q101/O101</f>
        <v>#DIV/0!</v>
      </c>
      <c r="T101" s="7">
        <f ca="1">IF(S101&lt;&gt;"",S101-B101,TODAY()-B101)</f>
        <v>126</v>
      </c>
      <c r="U101" s="13" t="s">
        <v>379</v>
      </c>
      <c r="V101" s="3">
        <f>IF((G101+H101)&lt;15,(G101+H101+2.95), ((G101+H101)*1.2))</f>
        <v>428.50079999999997</v>
      </c>
      <c r="W101" s="3">
        <f>IF((G101+I101)&lt;15,(G101+I101+2.95), ((G101+I101)*1.2))</f>
        <v>351.9828</v>
      </c>
      <c r="X101" t="s">
        <v>380</v>
      </c>
    </row>
    <row r="102" spans="1:24" hidden="1">
      <c r="A102">
        <v>145</v>
      </c>
      <c r="B102" s="12">
        <v>45740</v>
      </c>
      <c r="C102" t="s">
        <v>18</v>
      </c>
      <c r="D102" t="s">
        <v>351</v>
      </c>
      <c r="E102" t="s">
        <v>352</v>
      </c>
      <c r="F102" t="s">
        <v>353</v>
      </c>
      <c r="G102" s="3">
        <v>0.01</v>
      </c>
      <c r="H102" s="2">
        <f>G102*0.3</f>
        <v>3.0000000000000001E-3</v>
      </c>
      <c r="I102" s="8">
        <f>G102*0.15</f>
        <v>1.5E-3</v>
      </c>
      <c r="J102" s="3">
        <f>G102+H102</f>
        <v>1.3000000000000001E-2</v>
      </c>
      <c r="K102" s="3">
        <f>J102*1.13</f>
        <v>1.469E-2</v>
      </c>
      <c r="L102" s="25">
        <v>0</v>
      </c>
      <c r="M102" s="7" t="s">
        <v>608</v>
      </c>
      <c r="N102" s="3">
        <v>35</v>
      </c>
      <c r="Q102" s="3">
        <f>P102-G102</f>
        <v>-0.01</v>
      </c>
      <c r="R102" s="10" t="e">
        <f>Q102/O102</f>
        <v>#DIV/0!</v>
      </c>
      <c r="T102" s="7">
        <f ca="1">IF(S102&lt;&gt;"",S102-B102,TODAY()-B102)</f>
        <v>126</v>
      </c>
      <c r="V102" s="3">
        <f>IF((G102+H102)&lt;15,(G102+H102+2.95), ((G102+H102)*1.2))</f>
        <v>2.9630000000000001</v>
      </c>
      <c r="W102" s="3">
        <f>IF((G102+I102)&lt;15,(G102+I102+2.95), ((G102+I102)*1.2))</f>
        <v>2.9615</v>
      </c>
      <c r="X102" t="s">
        <v>354</v>
      </c>
    </row>
    <row r="103" spans="1:24">
      <c r="A103">
        <v>146</v>
      </c>
      <c r="B103" s="12">
        <v>45740</v>
      </c>
      <c r="C103" t="s">
        <v>18</v>
      </c>
      <c r="D103" t="s">
        <v>266</v>
      </c>
      <c r="E103" t="s">
        <v>397</v>
      </c>
      <c r="F103" t="s">
        <v>46</v>
      </c>
      <c r="G103" s="3">
        <v>32.64</v>
      </c>
      <c r="H103" s="2">
        <f>G103*0.3</f>
        <v>9.7919999999999998</v>
      </c>
      <c r="I103" s="8">
        <f>G103*0.15</f>
        <v>4.8959999999999999</v>
      </c>
      <c r="J103" s="3">
        <f>G103+H103</f>
        <v>42.432000000000002</v>
      </c>
      <c r="K103" s="3">
        <f>J103*1.13</f>
        <v>47.948160000000001</v>
      </c>
      <c r="L103" s="25">
        <v>0</v>
      </c>
      <c r="O103" s="3">
        <v>-9.2100000000000009</v>
      </c>
      <c r="Q103" s="3">
        <f>P103-G103+O103</f>
        <v>-41.85</v>
      </c>
      <c r="R103" s="10">
        <f>Q103/O103</f>
        <v>4.543973941368078</v>
      </c>
      <c r="S103" s="13">
        <v>45766</v>
      </c>
      <c r="T103" s="7">
        <f ca="1">IF(S103&lt;&gt;"",S103-B103,TODAY()-B103)</f>
        <v>26</v>
      </c>
      <c r="U103" s="13" t="s">
        <v>422</v>
      </c>
      <c r="V103" s="3">
        <f>IF((G103+H103)&lt;15,(G103+H103+2.95), ((G103+H103)*1.2))</f>
        <v>50.918399999999998</v>
      </c>
      <c r="W103" s="3">
        <f>IF((G103+I103)&lt;15,(G103+I103+2.95), ((G103+I103)*1.2))</f>
        <v>45.043199999999999</v>
      </c>
    </row>
    <row r="104" spans="1:24">
      <c r="A104">
        <v>147</v>
      </c>
      <c r="B104" s="12">
        <v>45740</v>
      </c>
      <c r="C104" t="s">
        <v>18</v>
      </c>
      <c r="D104" t="s">
        <v>266</v>
      </c>
      <c r="E104" t="s">
        <v>398</v>
      </c>
      <c r="F104" t="s">
        <v>46</v>
      </c>
      <c r="G104" s="3">
        <v>32.64</v>
      </c>
      <c r="H104" s="3">
        <f>G104*0.4</f>
        <v>13.056000000000001</v>
      </c>
      <c r="I104" s="8">
        <f>G104*0.15</f>
        <v>4.8959999999999999</v>
      </c>
      <c r="J104" s="3">
        <f>G104+H104</f>
        <v>45.695999999999998</v>
      </c>
      <c r="K104" s="3">
        <f>J104*1.13</f>
        <v>51.636479999999992</v>
      </c>
      <c r="L104" s="25">
        <v>0</v>
      </c>
      <c r="M104" s="7" t="s">
        <v>606</v>
      </c>
      <c r="O104" s="3">
        <v>11</v>
      </c>
      <c r="P104" s="3">
        <v>9.4</v>
      </c>
      <c r="Q104" s="3">
        <f>P104-G104</f>
        <v>-23.240000000000002</v>
      </c>
      <c r="R104" s="10">
        <f>Q104/O104</f>
        <v>-2.1127272727272728</v>
      </c>
      <c r="S104" s="13">
        <v>45865</v>
      </c>
      <c r="T104" s="7">
        <f ca="1">IF(S104&lt;&gt;"",S104-B104,TODAY()-B104)</f>
        <v>125</v>
      </c>
      <c r="U104" s="13" t="s">
        <v>422</v>
      </c>
      <c r="V104" s="3">
        <f>IF((G104+H104)&lt;15,(G104+H104+2.95), ((G104+H104)*1.2))</f>
        <v>54.835199999999993</v>
      </c>
      <c r="W104" s="3">
        <f>IF((G104+I104)&lt;15,(G104+I104+2.95), ((G104+I104)*1.2))</f>
        <v>45.043199999999999</v>
      </c>
    </row>
    <row r="105" spans="1:24">
      <c r="A105">
        <v>148</v>
      </c>
      <c r="B105" s="12">
        <v>45740</v>
      </c>
      <c r="C105" t="s">
        <v>18</v>
      </c>
      <c r="D105" t="s">
        <v>266</v>
      </c>
      <c r="E105" t="s">
        <v>399</v>
      </c>
      <c r="F105" t="s">
        <v>46</v>
      </c>
      <c r="G105" s="3">
        <v>32.64</v>
      </c>
      <c r="H105" s="2">
        <f>G105*0.3</f>
        <v>9.7919999999999998</v>
      </c>
      <c r="I105" s="8">
        <f>G105*0.15</f>
        <v>4.8959999999999999</v>
      </c>
      <c r="J105" s="3">
        <f>G105+H105</f>
        <v>42.432000000000002</v>
      </c>
      <c r="K105" s="3">
        <f>J105*1.13</f>
        <v>47.948160000000001</v>
      </c>
      <c r="L105" s="25">
        <v>0</v>
      </c>
      <c r="O105" s="3">
        <v>-9.2100000000000009</v>
      </c>
      <c r="Q105" s="3">
        <f>P105-G105+O105</f>
        <v>-41.85</v>
      </c>
      <c r="R105" s="10">
        <f>Q105/O105</f>
        <v>4.543973941368078</v>
      </c>
      <c r="S105" s="13">
        <v>45766</v>
      </c>
      <c r="T105" s="7">
        <f ca="1">IF(S105&lt;&gt;"",S105-B105,TODAY()-B105)</f>
        <v>26</v>
      </c>
      <c r="U105" s="13" t="s">
        <v>422</v>
      </c>
      <c r="V105" s="3">
        <f>IF((G105+H105)&lt;15,(G105+H105+2.95), ((G105+H105)*1.2))</f>
        <v>50.918399999999998</v>
      </c>
      <c r="W105" s="3">
        <f>IF((G105+I105)&lt;15,(G105+I105+2.95), ((G105+I105)*1.2))</f>
        <v>45.043199999999999</v>
      </c>
    </row>
    <row r="106" spans="1:24">
      <c r="A106">
        <v>149</v>
      </c>
      <c r="B106" s="12">
        <v>45740</v>
      </c>
      <c r="C106" t="s">
        <v>18</v>
      </c>
      <c r="D106" t="s">
        <v>48</v>
      </c>
      <c r="E106" t="s">
        <v>400</v>
      </c>
      <c r="F106" t="s">
        <v>309</v>
      </c>
      <c r="G106" s="3">
        <v>75.37</v>
      </c>
      <c r="H106" s="3">
        <f>G106*0.4</f>
        <v>30.148000000000003</v>
      </c>
      <c r="I106" s="8">
        <f>G106*0.15</f>
        <v>11.3055</v>
      </c>
      <c r="J106" s="3">
        <f>G106+H106</f>
        <v>105.518</v>
      </c>
      <c r="K106" s="3">
        <f>J106*1.13</f>
        <v>119.23533999999999</v>
      </c>
      <c r="L106" s="25">
        <v>0</v>
      </c>
      <c r="M106" s="7" t="s">
        <v>606</v>
      </c>
      <c r="O106" s="3">
        <v>189</v>
      </c>
      <c r="P106" s="3">
        <v>85.05</v>
      </c>
      <c r="Q106" s="3">
        <f>P106-G106</f>
        <v>9.6799999999999926</v>
      </c>
      <c r="R106" s="10">
        <f>Q106/O106</f>
        <v>5.1216931216931175E-2</v>
      </c>
      <c r="S106" s="13">
        <v>45809</v>
      </c>
      <c r="T106" s="7">
        <f ca="1">IF(S106&lt;&gt;"",S106-B106,TODAY()-B106)</f>
        <v>69</v>
      </c>
      <c r="U106" s="13" t="s">
        <v>423</v>
      </c>
      <c r="V106" s="3">
        <f>IF((G106+H106)&lt;15,(G106+H106+2.95), ((G106+H106)*1.2))</f>
        <v>126.6216</v>
      </c>
      <c r="W106" s="3">
        <f>IF((G106+I106)&lt;15,(G106+I106+2.95), ((G106+I106)*1.2))</f>
        <v>104.0106</v>
      </c>
      <c r="X106" t="s">
        <v>845</v>
      </c>
    </row>
    <row r="107" spans="1:24">
      <c r="A107">
        <v>150</v>
      </c>
      <c r="B107" s="12">
        <v>45740</v>
      </c>
      <c r="C107" t="s">
        <v>18</v>
      </c>
      <c r="D107" t="s">
        <v>48</v>
      </c>
      <c r="E107" t="s">
        <v>401</v>
      </c>
      <c r="F107" t="s">
        <v>224</v>
      </c>
      <c r="G107" s="3">
        <v>95.83</v>
      </c>
      <c r="H107" s="2">
        <f>G107*0.3</f>
        <v>28.748999999999999</v>
      </c>
      <c r="I107" s="8">
        <f>G107*0.15</f>
        <v>14.374499999999999</v>
      </c>
      <c r="J107" s="3">
        <f>G107+H107</f>
        <v>124.57899999999999</v>
      </c>
      <c r="K107" s="3">
        <f>J107*1.13</f>
        <v>140.77426999999997</v>
      </c>
      <c r="L107" s="25">
        <v>0</v>
      </c>
      <c r="N107" s="3">
        <v>225</v>
      </c>
      <c r="O107" s="3">
        <v>195</v>
      </c>
      <c r="P107" s="3">
        <v>148.03</v>
      </c>
      <c r="Q107" s="3">
        <f>P107-G107</f>
        <v>52.2</v>
      </c>
      <c r="R107" s="10">
        <f>Q107/O107</f>
        <v>0.26769230769230773</v>
      </c>
      <c r="T107" s="7">
        <f ca="1">IF(S107&lt;&gt;"",S107-B107,TODAY()-B107)</f>
        <v>126</v>
      </c>
      <c r="U107" s="13" t="s">
        <v>419</v>
      </c>
      <c r="V107" s="3">
        <f>IF((G107+H107)&lt;15,(G107+H107+2.95), ((G107+H107)*1.2))</f>
        <v>149.4948</v>
      </c>
      <c r="W107" s="3">
        <f>IF((G107+I107)&lt;15,(G107+I107+2.95), ((G107+I107)*1.2))</f>
        <v>132.24539999999999</v>
      </c>
    </row>
    <row r="108" spans="1:24" hidden="1">
      <c r="A108">
        <v>151</v>
      </c>
      <c r="B108" s="12">
        <v>45740</v>
      </c>
      <c r="C108" t="s">
        <v>18</v>
      </c>
      <c r="D108" t="s">
        <v>48</v>
      </c>
      <c r="E108" t="s">
        <v>402</v>
      </c>
      <c r="F108" t="s">
        <v>224</v>
      </c>
      <c r="G108" s="3">
        <v>117.35</v>
      </c>
      <c r="H108" s="3">
        <f>G108*0.4</f>
        <v>46.94</v>
      </c>
      <c r="I108" s="8">
        <f>G108*0.15</f>
        <v>17.602499999999999</v>
      </c>
      <c r="J108" s="3">
        <f>G108+H108</f>
        <v>164.29</v>
      </c>
      <c r="K108" s="3">
        <f>J108*1.13</f>
        <v>185.64769999999999</v>
      </c>
      <c r="L108" s="25">
        <v>1</v>
      </c>
      <c r="M108" s="7" t="s">
        <v>606</v>
      </c>
      <c r="Q108" s="3">
        <f>P108-G108</f>
        <v>-117.35</v>
      </c>
      <c r="R108" s="10" t="e">
        <f>Q108/O108</f>
        <v>#DIV/0!</v>
      </c>
      <c r="T108" s="7">
        <f ca="1">IF(S108&lt;&gt;"",S108-B108,TODAY()-B108)</f>
        <v>126</v>
      </c>
      <c r="U108" s="13" t="s">
        <v>420</v>
      </c>
      <c r="V108" s="3">
        <f>IF((G108+H108)&lt;15,(G108+H108+2.95), ((G108+H108)*1.2))</f>
        <v>197.148</v>
      </c>
      <c r="W108" s="3">
        <f>IF((G108+I108)&lt;15,(G108+I108+2.95), ((G108+I108)*1.2))</f>
        <v>161.94299999999998</v>
      </c>
      <c r="X108" t="s">
        <v>845</v>
      </c>
    </row>
    <row r="109" spans="1:24">
      <c r="A109">
        <v>152</v>
      </c>
      <c r="B109" s="12">
        <v>45740</v>
      </c>
      <c r="C109" t="s">
        <v>18</v>
      </c>
      <c r="D109" t="s">
        <v>403</v>
      </c>
      <c r="E109" t="s">
        <v>404</v>
      </c>
      <c r="F109" t="s">
        <v>224</v>
      </c>
      <c r="G109" s="3">
        <v>211.5</v>
      </c>
      <c r="H109" s="2">
        <f>G109*0.3</f>
        <v>63.449999999999996</v>
      </c>
      <c r="I109" s="8">
        <f>G109*0.15</f>
        <v>31.724999999999998</v>
      </c>
      <c r="J109" s="3">
        <f>G109+H109</f>
        <v>274.95</v>
      </c>
      <c r="K109" s="3">
        <f>J109*1.13</f>
        <v>310.69349999999997</v>
      </c>
      <c r="L109" s="25">
        <v>0</v>
      </c>
      <c r="M109" s="7" t="s">
        <v>606</v>
      </c>
      <c r="O109" s="3">
        <v>299</v>
      </c>
      <c r="P109" s="3">
        <v>265.36</v>
      </c>
      <c r="Q109" s="3">
        <f>P109-G109</f>
        <v>53.860000000000014</v>
      </c>
      <c r="R109" s="10">
        <f>Q109/O109</f>
        <v>0.18013377926421409</v>
      </c>
      <c r="S109" s="13">
        <v>45814</v>
      </c>
      <c r="T109" s="7">
        <f ca="1">IF(S109&lt;&gt;"",S109-B109,TODAY()-B109)</f>
        <v>74</v>
      </c>
      <c r="U109" s="13" t="s">
        <v>410</v>
      </c>
      <c r="V109" s="3">
        <f>IF((G109+H109)&lt;15,(G109+H109+2.95), ((G109+H109)*1.2))</f>
        <v>329.94</v>
      </c>
      <c r="W109" s="3">
        <f>IF((G109+I109)&lt;15,(G109+I109+2.95), ((G109+I109)*1.2))</f>
        <v>291.87</v>
      </c>
    </row>
    <row r="110" spans="1:24">
      <c r="A110">
        <v>153</v>
      </c>
      <c r="B110" s="12">
        <v>45740</v>
      </c>
      <c r="C110" t="s">
        <v>18</v>
      </c>
      <c r="D110" t="s">
        <v>403</v>
      </c>
      <c r="E110" t="s">
        <v>405</v>
      </c>
      <c r="F110" t="s">
        <v>224</v>
      </c>
      <c r="G110" s="3">
        <v>152.46</v>
      </c>
      <c r="H110" s="2">
        <f>G110*0.3</f>
        <v>45.738</v>
      </c>
      <c r="I110" s="8">
        <f>G110*0.15</f>
        <v>22.869</v>
      </c>
      <c r="J110" s="3">
        <f>G110+H110</f>
        <v>198.19800000000001</v>
      </c>
      <c r="K110" s="3">
        <f>J110*1.13</f>
        <v>223.96374</v>
      </c>
      <c r="L110" s="25">
        <v>0</v>
      </c>
      <c r="M110" s="7" t="s">
        <v>606</v>
      </c>
      <c r="O110" s="3">
        <v>250</v>
      </c>
      <c r="P110" s="3">
        <v>221.62</v>
      </c>
      <c r="Q110" s="3">
        <f>P110-G110</f>
        <v>69.16</v>
      </c>
      <c r="R110" s="10">
        <f>Q110/O110</f>
        <v>0.27664</v>
      </c>
      <c r="S110" s="13">
        <v>45822</v>
      </c>
      <c r="T110" s="7">
        <f ca="1">IF(S110&lt;&gt;"",S110-B110,TODAY()-B110)</f>
        <v>82</v>
      </c>
      <c r="U110" s="13" t="s">
        <v>411</v>
      </c>
      <c r="V110" s="3">
        <f>IF((G110+H110)&lt;15,(G110+H110+2.95), ((G110+H110)*1.2))</f>
        <v>237.83760000000001</v>
      </c>
      <c r="W110" s="3">
        <f>IF((G110+I110)&lt;15,(G110+I110+2.95), ((G110+I110)*1.2))</f>
        <v>210.3948</v>
      </c>
    </row>
    <row r="111" spans="1:24" hidden="1">
      <c r="A111">
        <v>154</v>
      </c>
      <c r="B111" s="12">
        <v>45740</v>
      </c>
      <c r="C111" t="s">
        <v>18</v>
      </c>
      <c r="D111" t="s">
        <v>403</v>
      </c>
      <c r="E111" s="15" t="s">
        <v>406</v>
      </c>
      <c r="F111" t="s">
        <v>224</v>
      </c>
      <c r="G111" s="3">
        <v>70.790000000000006</v>
      </c>
      <c r="H111" s="3">
        <f>G111*0.4</f>
        <v>28.316000000000003</v>
      </c>
      <c r="I111" s="8">
        <f>G111*0.15</f>
        <v>10.618500000000001</v>
      </c>
      <c r="J111" s="3">
        <f>G111+H111</f>
        <v>99.106000000000009</v>
      </c>
      <c r="K111" s="3">
        <f>J111*1.13</f>
        <v>111.98978</v>
      </c>
      <c r="L111" s="25">
        <v>1</v>
      </c>
      <c r="M111" s="7" t="s">
        <v>606</v>
      </c>
      <c r="Q111" s="3">
        <f>P111-G111</f>
        <v>-70.790000000000006</v>
      </c>
      <c r="R111" s="10" t="e">
        <f>Q111/O111</f>
        <v>#DIV/0!</v>
      </c>
      <c r="T111" s="7">
        <f ca="1">IF(S111&lt;&gt;"",S111-B111,TODAY()-B111)</f>
        <v>126</v>
      </c>
      <c r="U111" s="13" t="s">
        <v>409</v>
      </c>
      <c r="V111" s="3">
        <f>IF((G111+H111)&lt;15,(G111+H111+2.95), ((G111+H111)*1.2))</f>
        <v>118.9272</v>
      </c>
      <c r="W111" s="3">
        <f>IF((G111+I111)&lt;15,(G111+I111+2.95), ((G111+I111)*1.2))</f>
        <v>97.690200000000004</v>
      </c>
    </row>
    <row r="112" spans="1:24">
      <c r="A112">
        <v>155</v>
      </c>
      <c r="B112" s="12">
        <v>45740</v>
      </c>
      <c r="C112" t="s">
        <v>18</v>
      </c>
      <c r="D112" t="s">
        <v>403</v>
      </c>
      <c r="E112" t="s">
        <v>407</v>
      </c>
      <c r="F112" t="s">
        <v>224</v>
      </c>
      <c r="G112" s="3">
        <v>79.5</v>
      </c>
      <c r="H112" s="2">
        <f>G112*0.3</f>
        <v>23.849999999999998</v>
      </c>
      <c r="I112" s="8">
        <f>G112*0.15</f>
        <v>11.924999999999999</v>
      </c>
      <c r="J112" s="3">
        <f>G112+H112</f>
        <v>103.35</v>
      </c>
      <c r="K112" s="3">
        <f>J112*1.13</f>
        <v>116.78549999999998</v>
      </c>
      <c r="L112" s="25">
        <v>0</v>
      </c>
      <c r="M112" s="7" t="s">
        <v>606</v>
      </c>
      <c r="O112" s="3">
        <v>70</v>
      </c>
      <c r="P112" s="3">
        <v>61.62</v>
      </c>
      <c r="Q112" s="3">
        <f>P112-G112</f>
        <v>-17.880000000000003</v>
      </c>
      <c r="R112" s="10">
        <f>Q112/O112</f>
        <v>-0.25542857142857145</v>
      </c>
      <c r="S112" s="13">
        <v>45793</v>
      </c>
      <c r="T112" s="7">
        <f ca="1">IF(S112&lt;&gt;"",S112-B112,TODAY()-B112)</f>
        <v>53</v>
      </c>
      <c r="U112" s="13" t="s">
        <v>408</v>
      </c>
      <c r="V112" s="3">
        <f>IF((G112+H112)&lt;15,(G112+H112+2.95), ((G112+H112)*1.2))</f>
        <v>124.01999999999998</v>
      </c>
      <c r="W112" s="3">
        <f>IF((G112+I112)&lt;15,(G112+I112+2.95), ((G112+I112)*1.2))</f>
        <v>109.71</v>
      </c>
    </row>
    <row r="113" spans="1:24">
      <c r="A113">
        <v>156</v>
      </c>
      <c r="B113" s="12">
        <v>45740</v>
      </c>
      <c r="C113" t="s">
        <v>18</v>
      </c>
      <c r="D113" t="s">
        <v>413</v>
      </c>
      <c r="E113" s="15" t="s">
        <v>412</v>
      </c>
      <c r="F113" t="s">
        <v>309</v>
      </c>
      <c r="G113" s="3">
        <v>45.97</v>
      </c>
      <c r="H113" s="2">
        <f>G113*0.3</f>
        <v>13.790999999999999</v>
      </c>
      <c r="I113" s="8">
        <f>G113*0.15</f>
        <v>6.8954999999999993</v>
      </c>
      <c r="J113" s="3">
        <f>G113+H113</f>
        <v>59.760999999999996</v>
      </c>
      <c r="K113" s="3">
        <f>J113*1.13</f>
        <v>67.529929999999993</v>
      </c>
      <c r="L113" s="25">
        <v>0</v>
      </c>
      <c r="M113" s="7" t="s">
        <v>609</v>
      </c>
      <c r="O113" s="3">
        <v>51</v>
      </c>
      <c r="P113" s="3">
        <v>44.85</v>
      </c>
      <c r="Q113" s="3">
        <f>P113-G113</f>
        <v>-1.1199999999999974</v>
      </c>
      <c r="R113" s="10">
        <f>Q113/O113</f>
        <v>-2.1960784313725439E-2</v>
      </c>
      <c r="S113" s="13">
        <v>45812</v>
      </c>
      <c r="T113" s="7">
        <f ca="1">IF(S113&lt;&gt;"",S113-B113,TODAY()-B113)</f>
        <v>72</v>
      </c>
      <c r="U113" s="13" t="s">
        <v>418</v>
      </c>
      <c r="V113" s="3">
        <f>IF((G113+H113)&lt;15,(G113+H113+2.95), ((G113+H113)*1.2))</f>
        <v>71.713199999999986</v>
      </c>
      <c r="W113" s="3">
        <f>IF((G113+I113)&lt;15,(G113+I113+2.95), ((G113+I113)*1.2))</f>
        <v>63.438599999999994</v>
      </c>
    </row>
    <row r="114" spans="1:24">
      <c r="A114">
        <v>158</v>
      </c>
      <c r="B114" s="12">
        <v>45740</v>
      </c>
      <c r="C114" t="s">
        <v>18</v>
      </c>
      <c r="D114" t="s">
        <v>413</v>
      </c>
      <c r="E114" t="s">
        <v>416</v>
      </c>
      <c r="F114" t="s">
        <v>415</v>
      </c>
      <c r="G114" s="3">
        <v>103.46</v>
      </c>
      <c r="H114" s="3">
        <f>G114*0.4</f>
        <v>41.384</v>
      </c>
      <c r="I114" s="8">
        <f>G114*0.15</f>
        <v>15.518999999999998</v>
      </c>
      <c r="J114" s="3">
        <f>G114+H114</f>
        <v>144.84399999999999</v>
      </c>
      <c r="K114" s="3">
        <f>J114*1.13</f>
        <v>163.67371999999997</v>
      </c>
      <c r="L114" s="25">
        <v>0</v>
      </c>
      <c r="M114" s="7" t="s">
        <v>606</v>
      </c>
      <c r="O114" s="3">
        <v>225</v>
      </c>
      <c r="P114" s="3">
        <v>199.31</v>
      </c>
      <c r="Q114" s="3">
        <f>P114-G114</f>
        <v>95.850000000000009</v>
      </c>
      <c r="R114" s="10">
        <f>Q114/O114</f>
        <v>0.42600000000000005</v>
      </c>
      <c r="S114" s="13">
        <v>45841</v>
      </c>
      <c r="T114" s="7">
        <f ca="1">IF(S114&lt;&gt;"",S114-B114,TODAY()-B114)</f>
        <v>101</v>
      </c>
      <c r="V114" s="3">
        <f>IF((G114+H114)&lt;15,(G114+H114+2.95), ((G114+H114)*1.2))</f>
        <v>173.81279999999998</v>
      </c>
      <c r="W114" s="3">
        <f>IF((G114+I114)&lt;15,(G114+I114+2.95), ((G114+I114)*1.2))</f>
        <v>142.77479999999997</v>
      </c>
      <c r="X114" t="s">
        <v>845</v>
      </c>
    </row>
    <row r="115" spans="1:24" hidden="1">
      <c r="A115">
        <v>159</v>
      </c>
      <c r="B115" s="12">
        <v>45740</v>
      </c>
      <c r="C115" t="s">
        <v>18</v>
      </c>
      <c r="D115" t="s">
        <v>27</v>
      </c>
      <c r="E115" t="s">
        <v>425</v>
      </c>
      <c r="F115" t="s">
        <v>224</v>
      </c>
      <c r="G115" s="3">
        <v>220.07</v>
      </c>
      <c r="H115" s="3">
        <f>G115*0.4</f>
        <v>88.028000000000006</v>
      </c>
      <c r="I115" s="8">
        <f>G115*0.15</f>
        <v>33.0105</v>
      </c>
      <c r="J115" s="3">
        <f>G115+H115</f>
        <v>308.09800000000001</v>
      </c>
      <c r="K115" s="3">
        <f>J115*1.13</f>
        <v>348.15073999999998</v>
      </c>
      <c r="L115" s="25">
        <v>1</v>
      </c>
      <c r="M115" s="7" t="s">
        <v>606</v>
      </c>
      <c r="Q115" s="3">
        <f>P115-G115</f>
        <v>-220.07</v>
      </c>
      <c r="R115" s="10" t="e">
        <f>Q115/O115</f>
        <v>#DIV/0!</v>
      </c>
      <c r="T115" s="7">
        <f ca="1">IF(S115&lt;&gt;"",S115-B115,TODAY()-B115)</f>
        <v>126</v>
      </c>
      <c r="U115" s="13" t="s">
        <v>426</v>
      </c>
      <c r="V115" s="3">
        <f>IF((G115+H115)&lt;15,(G115+H115+2.95), ((G115+H115)*1.2))</f>
        <v>369.7176</v>
      </c>
      <c r="W115" s="3">
        <f>IF((G115+I115)&lt;15,(G115+I115+2.95), ((G115+I115)*1.2))</f>
        <v>303.69659999999999</v>
      </c>
    </row>
    <row r="116" spans="1:24">
      <c r="A116">
        <v>160</v>
      </c>
      <c r="B116" s="12">
        <v>45741</v>
      </c>
      <c r="C116" t="s">
        <v>18</v>
      </c>
      <c r="D116" t="s">
        <v>427</v>
      </c>
      <c r="E116" t="s">
        <v>429</v>
      </c>
      <c r="F116" t="s">
        <v>224</v>
      </c>
      <c r="G116" s="3">
        <v>45.75</v>
      </c>
      <c r="H116" s="2">
        <f>G116*0.3</f>
        <v>13.725</v>
      </c>
      <c r="I116" s="8">
        <f>G116*0.15</f>
        <v>6.8624999999999998</v>
      </c>
      <c r="J116" s="3">
        <f>G116+H116</f>
        <v>59.475000000000001</v>
      </c>
      <c r="K116" s="3">
        <f>J116*1.13</f>
        <v>67.20675</v>
      </c>
      <c r="L116" s="25">
        <v>0</v>
      </c>
      <c r="M116" s="7" t="s">
        <v>606</v>
      </c>
      <c r="O116" s="3">
        <v>150</v>
      </c>
      <c r="P116" s="3">
        <v>133.03</v>
      </c>
      <c r="Q116" s="3">
        <f>P116-G116</f>
        <v>87.28</v>
      </c>
      <c r="R116" s="10">
        <f>Q116/O116</f>
        <v>0.58186666666666664</v>
      </c>
      <c r="S116" s="13">
        <v>45779</v>
      </c>
      <c r="T116" s="7">
        <f ca="1">IF(S116&lt;&gt;"",S116-B116,TODAY()-B116)</f>
        <v>38</v>
      </c>
      <c r="U116" s="13" t="s">
        <v>430</v>
      </c>
      <c r="V116" s="3">
        <f>IF((G116+H116)&lt;15,(G116+H116+2.95), ((G116+H116)*1.2))</f>
        <v>71.37</v>
      </c>
      <c r="W116" s="3">
        <f>IF((G116+I116)&lt;15,(G116+I116+2.95), ((G116+I116)*1.2))</f>
        <v>63.134999999999991</v>
      </c>
    </row>
    <row r="117" spans="1:24" hidden="1">
      <c r="A117">
        <v>161</v>
      </c>
      <c r="B117" s="12">
        <v>45741</v>
      </c>
      <c r="C117" t="s">
        <v>18</v>
      </c>
      <c r="D117" t="s">
        <v>428</v>
      </c>
      <c r="E117" t="s">
        <v>431</v>
      </c>
      <c r="F117" t="s">
        <v>296</v>
      </c>
      <c r="G117" s="3">
        <v>110.62</v>
      </c>
      <c r="H117" s="3">
        <f>G117*0.4</f>
        <v>44.248000000000005</v>
      </c>
      <c r="I117" s="8">
        <f>G117*0.15</f>
        <v>16.593</v>
      </c>
      <c r="J117" s="3">
        <f>G117+H117</f>
        <v>154.86799999999999</v>
      </c>
      <c r="K117" s="3">
        <f>J117*1.13</f>
        <v>175.00083999999998</v>
      </c>
      <c r="L117" s="25">
        <v>1</v>
      </c>
      <c r="M117" s="7" t="s">
        <v>606</v>
      </c>
      <c r="Q117" s="3">
        <f>P117-G117</f>
        <v>-110.62</v>
      </c>
      <c r="R117" s="10" t="e">
        <f>Q117/O117</f>
        <v>#DIV/0!</v>
      </c>
      <c r="T117" s="7">
        <f ca="1">IF(S117&lt;&gt;"",S117-B117,TODAY()-B117)</f>
        <v>125</v>
      </c>
      <c r="U117" s="13" t="s">
        <v>432</v>
      </c>
      <c r="V117" s="3">
        <f>IF((G117+H117)&lt;15,(G117+H117+2.95), ((G117+H117)*1.2))</f>
        <v>185.8416</v>
      </c>
      <c r="W117" s="3">
        <f>IF((G117+I117)&lt;15,(G117+I117+2.95), ((G117+I117)*1.2))</f>
        <v>152.65559999999999</v>
      </c>
    </row>
    <row r="118" spans="1:24" hidden="1">
      <c r="A118">
        <v>162</v>
      </c>
      <c r="B118" s="12">
        <v>45741</v>
      </c>
      <c r="C118" t="s">
        <v>18</v>
      </c>
      <c r="D118" t="s">
        <v>428</v>
      </c>
      <c r="E118" t="s">
        <v>433</v>
      </c>
      <c r="F118" t="s">
        <v>226</v>
      </c>
      <c r="G118" s="3">
        <v>96.53</v>
      </c>
      <c r="H118" s="2">
        <f>G118*0.3</f>
        <v>28.959</v>
      </c>
      <c r="I118" s="8">
        <f>G118*0.15</f>
        <v>14.4795</v>
      </c>
      <c r="J118" s="3">
        <f>G118+H118</f>
        <v>125.489</v>
      </c>
      <c r="K118" s="3">
        <f>J118*1.13</f>
        <v>141.80257</v>
      </c>
      <c r="L118" s="25">
        <v>0</v>
      </c>
      <c r="M118" s="7" t="s">
        <v>608</v>
      </c>
      <c r="Q118" s="3">
        <f>P118-G118</f>
        <v>-96.53</v>
      </c>
      <c r="R118" s="10" t="e">
        <f>Q118/O118</f>
        <v>#DIV/0!</v>
      </c>
      <c r="T118" s="7">
        <f ca="1">IF(S118&lt;&gt;"",S118-B118,TODAY()-B118)</f>
        <v>125</v>
      </c>
      <c r="U118" s="13" t="s">
        <v>434</v>
      </c>
      <c r="V118" s="3">
        <f>IF((G118+H118)&lt;15,(G118+H118+2.95), ((G118+H118)*1.2))</f>
        <v>150.58680000000001</v>
      </c>
      <c r="W118" s="3">
        <f>IF((G118+I118)&lt;15,(G118+I118+2.95), ((G118+I118)*1.2))</f>
        <v>133.2114</v>
      </c>
      <c r="X118" t="s">
        <v>672</v>
      </c>
    </row>
    <row r="119" spans="1:24" hidden="1">
      <c r="A119">
        <v>163</v>
      </c>
      <c r="B119" s="12">
        <v>45741</v>
      </c>
      <c r="C119" t="s">
        <v>18</v>
      </c>
      <c r="D119" t="s">
        <v>48</v>
      </c>
      <c r="E119" t="s">
        <v>437</v>
      </c>
      <c r="F119" t="s">
        <v>224</v>
      </c>
      <c r="G119" s="3">
        <v>0.01</v>
      </c>
      <c r="H119" s="2">
        <f>G119*0.3</f>
        <v>3.0000000000000001E-3</v>
      </c>
      <c r="I119" s="8">
        <f>G119*0.15</f>
        <v>1.5E-3</v>
      </c>
      <c r="J119" s="3">
        <f>G119+H119</f>
        <v>1.3000000000000001E-2</v>
      </c>
      <c r="K119" s="3">
        <f>J119*1.13</f>
        <v>1.469E-2</v>
      </c>
      <c r="L119" s="25">
        <v>0</v>
      </c>
      <c r="M119" s="7" t="s">
        <v>606</v>
      </c>
      <c r="Q119" s="3">
        <f>P119-G119</f>
        <v>-0.01</v>
      </c>
      <c r="R119" s="10" t="e">
        <f>Q119/O119</f>
        <v>#DIV/0!</v>
      </c>
      <c r="T119" s="7">
        <f ca="1">IF(S119&lt;&gt;"",S119-B119,TODAY()-B119)</f>
        <v>125</v>
      </c>
      <c r="V119" s="3">
        <f>IF((G119+H119)&lt;15,(G119+H119+2.95), ((G119+H119)*1.2))</f>
        <v>2.9630000000000001</v>
      </c>
      <c r="W119" s="3">
        <f>IF((G119+I119)&lt;15,(G119+I119+2.95), ((G119+I119)*1.2))</f>
        <v>2.9615</v>
      </c>
    </row>
    <row r="120" spans="1:24">
      <c r="A120">
        <v>164</v>
      </c>
      <c r="B120" s="12">
        <v>45741</v>
      </c>
      <c r="C120" t="s">
        <v>18</v>
      </c>
      <c r="D120" t="s">
        <v>48</v>
      </c>
      <c r="E120" t="s">
        <v>438</v>
      </c>
      <c r="F120" t="s">
        <v>226</v>
      </c>
      <c r="G120" s="3">
        <v>225</v>
      </c>
      <c r="H120" s="2">
        <f>G120*0.3</f>
        <v>67.5</v>
      </c>
      <c r="I120" s="8">
        <f>G120*0.15</f>
        <v>33.75</v>
      </c>
      <c r="J120" s="3">
        <f>G120+H120</f>
        <v>292.5</v>
      </c>
      <c r="K120" s="3">
        <f>J120*1.13</f>
        <v>330.52499999999998</v>
      </c>
      <c r="L120" s="25">
        <v>0</v>
      </c>
      <c r="M120" s="7" t="s">
        <v>606</v>
      </c>
      <c r="O120" s="3">
        <v>366.75</v>
      </c>
      <c r="P120" s="3">
        <v>325.47000000000003</v>
      </c>
      <c r="Q120" s="3">
        <f>P120-G120</f>
        <v>100.47000000000003</v>
      </c>
      <c r="R120" s="10">
        <f>Q120/O120</f>
        <v>0.27394683026584876</v>
      </c>
      <c r="S120" s="13">
        <v>45779</v>
      </c>
      <c r="T120" s="7">
        <f ca="1">IF(S120&lt;&gt;"",S120-B120,TODAY()-B120)</f>
        <v>38</v>
      </c>
      <c r="V120" s="3">
        <f>IF((G120+H120)&lt;15,(G120+H120+2.95), ((G120+H120)*1.2))</f>
        <v>351</v>
      </c>
      <c r="W120" s="3">
        <f>IF((G120+I120)&lt;15,(G120+I120+2.95), ((G120+I120)*1.2))</f>
        <v>310.5</v>
      </c>
    </row>
    <row r="121" spans="1:24" hidden="1">
      <c r="A121">
        <v>165</v>
      </c>
      <c r="B121" s="12">
        <v>45741</v>
      </c>
      <c r="C121" t="s">
        <v>18</v>
      </c>
      <c r="D121" t="s">
        <v>439</v>
      </c>
      <c r="E121" t="s">
        <v>460</v>
      </c>
      <c r="F121" t="s">
        <v>224</v>
      </c>
      <c r="G121" s="3">
        <v>124.05</v>
      </c>
      <c r="H121" s="3">
        <f>G121*0.4</f>
        <v>49.620000000000005</v>
      </c>
      <c r="I121" s="8">
        <f>G121*0.15</f>
        <v>18.607499999999998</v>
      </c>
      <c r="J121" s="3">
        <f>G121+H121</f>
        <v>173.67000000000002</v>
      </c>
      <c r="K121" s="3">
        <f>J121*1.13</f>
        <v>196.24709999999999</v>
      </c>
      <c r="L121" s="25">
        <v>1</v>
      </c>
      <c r="M121" s="7" t="s">
        <v>606</v>
      </c>
      <c r="N121" s="3">
        <v>325</v>
      </c>
      <c r="Q121" s="3">
        <f>P121-G121</f>
        <v>-124.05</v>
      </c>
      <c r="R121" s="10" t="e">
        <f>Q121/O121</f>
        <v>#DIV/0!</v>
      </c>
      <c r="T121" s="7">
        <f ca="1">IF(S121&lt;&gt;"",S121-B121,TODAY()-B121)</f>
        <v>125</v>
      </c>
      <c r="V121" s="3">
        <f>IF((G121+H121)&lt;15,(G121+H121+2.95), ((G121+H121)*1.2))</f>
        <v>208.40400000000002</v>
      </c>
      <c r="W121" s="3">
        <f>IF((G121+I121)&lt;15,(G121+I121+2.95), ((G121+I121)*1.2))</f>
        <v>171.18899999999999</v>
      </c>
    </row>
    <row r="122" spans="1:24" hidden="1">
      <c r="A122">
        <v>166</v>
      </c>
      <c r="B122" s="12">
        <v>45741</v>
      </c>
      <c r="C122" t="s">
        <v>18</v>
      </c>
      <c r="D122" t="s">
        <v>439</v>
      </c>
      <c r="E122" t="s">
        <v>444</v>
      </c>
      <c r="F122" t="s">
        <v>445</v>
      </c>
      <c r="G122" s="3">
        <v>183.28</v>
      </c>
      <c r="H122" s="3">
        <f>G122*0.4</f>
        <v>73.311999999999998</v>
      </c>
      <c r="I122" s="8">
        <f>G122*0.15</f>
        <v>27.492000000000001</v>
      </c>
      <c r="J122" s="3">
        <f>G122+H122</f>
        <v>256.59199999999998</v>
      </c>
      <c r="K122" s="3">
        <f>J122*1.13</f>
        <v>289.94895999999994</v>
      </c>
      <c r="L122" s="25">
        <v>1</v>
      </c>
      <c r="M122" s="7" t="s">
        <v>606</v>
      </c>
      <c r="Q122" s="3">
        <f>P122-G122</f>
        <v>-183.28</v>
      </c>
      <c r="R122" s="10" t="e">
        <f>Q122/O122</f>
        <v>#DIV/0!</v>
      </c>
      <c r="T122" s="7">
        <f ca="1">IF(S122&lt;&gt;"",S122-B122,TODAY()-B122)</f>
        <v>125</v>
      </c>
      <c r="U122" s="13" t="s">
        <v>461</v>
      </c>
      <c r="V122" s="3">
        <f>IF((G122+H122)&lt;15,(G122+H122+2.95), ((G122+H122)*1.2))</f>
        <v>307.91039999999998</v>
      </c>
      <c r="W122" s="3">
        <f>IF((G122+I122)&lt;15,(G122+I122+2.95), ((G122+I122)*1.2))</f>
        <v>252.92639999999997</v>
      </c>
    </row>
    <row r="123" spans="1:24">
      <c r="A123">
        <v>167</v>
      </c>
      <c r="B123" s="12">
        <v>45741</v>
      </c>
      <c r="C123" t="s">
        <v>18</v>
      </c>
      <c r="D123" t="s">
        <v>439</v>
      </c>
      <c r="E123" t="s">
        <v>446</v>
      </c>
      <c r="F123" t="s">
        <v>447</v>
      </c>
      <c r="G123" s="3">
        <v>109.99</v>
      </c>
      <c r="H123" s="2">
        <f>G123*0.3</f>
        <v>32.997</v>
      </c>
      <c r="I123" s="8">
        <f>G123*0.15</f>
        <v>16.4985</v>
      </c>
      <c r="J123" s="3">
        <f>G123+H123</f>
        <v>142.98699999999999</v>
      </c>
      <c r="K123" s="3">
        <f>J123*1.13</f>
        <v>161.57530999999997</v>
      </c>
      <c r="L123" s="25">
        <v>0</v>
      </c>
      <c r="N123" s="3">
        <v>300</v>
      </c>
      <c r="O123" s="3">
        <v>299</v>
      </c>
      <c r="P123" s="3">
        <v>265.35000000000002</v>
      </c>
      <c r="Q123" s="3">
        <f>P123-G123</f>
        <v>155.36000000000001</v>
      </c>
      <c r="R123" s="10">
        <f>Q123/O123</f>
        <v>0.51959866220735795</v>
      </c>
      <c r="S123" s="13">
        <v>45772</v>
      </c>
      <c r="T123" s="7">
        <f ca="1">IF(S123&lt;&gt;"",S123-B123,TODAY()-B123)</f>
        <v>31</v>
      </c>
      <c r="U123" s="13" t="s">
        <v>461</v>
      </c>
      <c r="V123" s="3">
        <f>IF((G123+H123)&lt;15,(G123+H123+2.95), ((G123+H123)*1.2))</f>
        <v>171.58439999999999</v>
      </c>
      <c r="W123" s="3">
        <f>IF((G123+I123)&lt;15,(G123+I123+2.95), ((G123+I123)*1.2))</f>
        <v>151.78619999999998</v>
      </c>
    </row>
    <row r="124" spans="1:24">
      <c r="A124">
        <v>168</v>
      </c>
      <c r="B124" s="12">
        <v>45741</v>
      </c>
      <c r="C124" t="s">
        <v>18</v>
      </c>
      <c r="D124" t="s">
        <v>439</v>
      </c>
      <c r="E124" t="s">
        <v>448</v>
      </c>
      <c r="F124" t="s">
        <v>449</v>
      </c>
      <c r="G124" s="3">
        <v>179.69</v>
      </c>
      <c r="H124" s="2">
        <f>G124*0.3</f>
        <v>53.906999999999996</v>
      </c>
      <c r="I124" s="8">
        <f>G124*0.15</f>
        <v>26.953499999999998</v>
      </c>
      <c r="J124" s="3">
        <f>G124+H124</f>
        <v>233.59699999999998</v>
      </c>
      <c r="K124" s="3">
        <f>J124*1.13</f>
        <v>263.96460999999994</v>
      </c>
      <c r="L124" s="25">
        <v>0</v>
      </c>
      <c r="M124" s="7" t="s">
        <v>606</v>
      </c>
      <c r="O124" s="3">
        <v>250</v>
      </c>
      <c r="P124" s="3">
        <v>221.58</v>
      </c>
      <c r="Q124" s="3">
        <f>P124-G124</f>
        <v>41.890000000000015</v>
      </c>
      <c r="R124" s="10">
        <f>Q124/O124</f>
        <v>0.16756000000000007</v>
      </c>
      <c r="S124" s="13">
        <v>45833</v>
      </c>
      <c r="T124" s="7">
        <f ca="1">IF(S124&lt;&gt;"",S124-B124,TODAY()-B124)</f>
        <v>92</v>
      </c>
      <c r="U124" s="13" t="s">
        <v>462</v>
      </c>
      <c r="V124" s="3">
        <f>IF((G124+H124)&lt;15,(G124+H124+2.95), ((G124+H124)*1.2))</f>
        <v>280.31639999999999</v>
      </c>
      <c r="W124" s="3">
        <f>IF((G124+I124)&lt;15,(G124+I124+2.95), ((G124+I124)*1.2))</f>
        <v>247.97219999999999</v>
      </c>
    </row>
    <row r="125" spans="1:24" hidden="1">
      <c r="A125">
        <v>169</v>
      </c>
      <c r="B125" s="12">
        <v>45741</v>
      </c>
      <c r="C125" t="s">
        <v>18</v>
      </c>
      <c r="D125" t="s">
        <v>439</v>
      </c>
      <c r="E125" t="s">
        <v>450</v>
      </c>
      <c r="F125" t="s">
        <v>309</v>
      </c>
      <c r="G125" s="3">
        <v>120.88</v>
      </c>
      <c r="H125" s="3">
        <f>G125*0.4</f>
        <v>48.352000000000004</v>
      </c>
      <c r="I125" s="8">
        <f>G125*0.15</f>
        <v>18.131999999999998</v>
      </c>
      <c r="J125" s="3">
        <f>G125+H125</f>
        <v>169.232</v>
      </c>
      <c r="K125" s="3">
        <f>J125*1.13</f>
        <v>191.23215999999999</v>
      </c>
      <c r="L125" s="25">
        <v>1</v>
      </c>
      <c r="M125" s="7" t="s">
        <v>606</v>
      </c>
      <c r="N125" s="3">
        <v>325</v>
      </c>
      <c r="Q125" s="3">
        <f>P125-G125</f>
        <v>-120.88</v>
      </c>
      <c r="R125" s="10" t="e">
        <f>Q125/O125</f>
        <v>#DIV/0!</v>
      </c>
      <c r="T125" s="7">
        <f ca="1">IF(S125&lt;&gt;"",S125-B125,TODAY()-B125)</f>
        <v>125</v>
      </c>
      <c r="U125" s="13" t="s">
        <v>463</v>
      </c>
      <c r="V125" s="3">
        <f>IF((G125+H125)&lt;15,(G125+H125+2.95), ((G125+H125)*1.2))</f>
        <v>203.07839999999999</v>
      </c>
      <c r="W125" s="3">
        <f>IF((G125+I125)&lt;15,(G125+I125+2.95), ((G125+I125)*1.2))</f>
        <v>166.81440000000001</v>
      </c>
    </row>
    <row r="126" spans="1:24">
      <c r="A126">
        <v>170</v>
      </c>
      <c r="B126" s="12">
        <v>45741</v>
      </c>
      <c r="C126" t="s">
        <v>18</v>
      </c>
      <c r="D126" t="s">
        <v>439</v>
      </c>
      <c r="E126" t="s">
        <v>451</v>
      </c>
      <c r="F126" t="s">
        <v>224</v>
      </c>
      <c r="G126" s="3">
        <v>102.37</v>
      </c>
      <c r="H126" s="2">
        <f>G126*0.3</f>
        <v>30.710999999999999</v>
      </c>
      <c r="I126" s="8">
        <f>G126*0.15</f>
        <v>15.355499999999999</v>
      </c>
      <c r="J126" s="3">
        <f>G126+H126</f>
        <v>133.08100000000002</v>
      </c>
      <c r="K126" s="3">
        <f>J126*1.13</f>
        <v>150.38153</v>
      </c>
      <c r="L126" s="25">
        <v>0</v>
      </c>
      <c r="M126" s="7" t="s">
        <v>606</v>
      </c>
      <c r="N126" s="3">
        <v>250</v>
      </c>
      <c r="O126" s="3">
        <v>175</v>
      </c>
      <c r="P126" s="3">
        <v>131.72999999999999</v>
      </c>
      <c r="Q126" s="3">
        <f>P126-G126</f>
        <v>29.359999999999985</v>
      </c>
      <c r="R126" s="10">
        <f>Q126/O126</f>
        <v>0.16777142857142849</v>
      </c>
      <c r="S126" s="13">
        <v>45810</v>
      </c>
      <c r="T126" s="7">
        <f ca="1">IF(S126&lt;&gt;"",S126-B126,TODAY()-B126)</f>
        <v>69</v>
      </c>
      <c r="U126" s="13" t="s">
        <v>464</v>
      </c>
      <c r="V126" s="3">
        <f>IF((G126+H126)&lt;15,(G126+H126+2.95), ((G126+H126)*1.2))</f>
        <v>159.69720000000001</v>
      </c>
      <c r="W126" s="3">
        <f>IF((G126+I126)&lt;15,(G126+I126+2.95), ((G126+I126)*1.2))</f>
        <v>141.2706</v>
      </c>
    </row>
    <row r="127" spans="1:24">
      <c r="A127">
        <v>171</v>
      </c>
      <c r="B127" s="12">
        <v>45741</v>
      </c>
      <c r="C127" t="s">
        <v>18</v>
      </c>
      <c r="D127" t="s">
        <v>439</v>
      </c>
      <c r="E127" t="s">
        <v>452</v>
      </c>
      <c r="F127" t="s">
        <v>226</v>
      </c>
      <c r="G127" s="3">
        <v>80.59</v>
      </c>
      <c r="H127" s="2">
        <f>G127*0.3</f>
        <v>24.177</v>
      </c>
      <c r="I127" s="8">
        <f>G127*0.15</f>
        <v>12.0885</v>
      </c>
      <c r="J127" s="3">
        <f>G127+H127</f>
        <v>104.767</v>
      </c>
      <c r="K127" s="3">
        <f>J127*1.13</f>
        <v>118.38670999999998</v>
      </c>
      <c r="L127" s="25">
        <v>0</v>
      </c>
      <c r="M127" s="7" t="s">
        <v>606</v>
      </c>
      <c r="N127" s="3">
        <v>199</v>
      </c>
      <c r="O127" s="3">
        <v>144</v>
      </c>
      <c r="P127" s="3">
        <v>122.31</v>
      </c>
      <c r="Q127" s="3">
        <f>P127-G127</f>
        <v>41.72</v>
      </c>
      <c r="R127" s="10">
        <f>Q127/O127</f>
        <v>0.28972222222222221</v>
      </c>
      <c r="S127" s="13">
        <v>45779</v>
      </c>
      <c r="T127" s="7">
        <f ca="1">IF(S127&lt;&gt;"",S127-B127,TODAY()-B127)</f>
        <v>38</v>
      </c>
      <c r="U127" s="13" t="s">
        <v>458</v>
      </c>
      <c r="V127" s="3">
        <f>IF((G127+H127)&lt;15,(G127+H127+2.95), ((G127+H127)*1.2))</f>
        <v>125.72039999999998</v>
      </c>
      <c r="W127" s="3">
        <f>IF((G127+I127)&lt;15,(G127+I127+2.95), ((G127+I127)*1.2))</f>
        <v>111.21419999999999</v>
      </c>
    </row>
    <row r="128" spans="1:24" hidden="1">
      <c r="A128">
        <v>172</v>
      </c>
      <c r="B128" s="12">
        <v>45741</v>
      </c>
      <c r="C128" t="s">
        <v>18</v>
      </c>
      <c r="D128" t="s">
        <v>132</v>
      </c>
      <c r="E128" t="s">
        <v>442</v>
      </c>
      <c r="F128" t="s">
        <v>443</v>
      </c>
      <c r="G128" s="3">
        <v>294.26</v>
      </c>
      <c r="H128" s="3">
        <f>G128*0.4</f>
        <v>117.70400000000001</v>
      </c>
      <c r="I128" s="8">
        <f>G128*0.15</f>
        <v>44.138999999999996</v>
      </c>
      <c r="J128" s="3">
        <f>G128+H128</f>
        <v>411.964</v>
      </c>
      <c r="K128" s="3">
        <f>J128*1.13</f>
        <v>465.51931999999994</v>
      </c>
      <c r="L128" s="25">
        <v>1</v>
      </c>
      <c r="M128" s="7" t="s">
        <v>606</v>
      </c>
      <c r="Q128" s="3">
        <f>P128-G128</f>
        <v>-294.26</v>
      </c>
      <c r="R128" s="10" t="e">
        <f>Q128/O128</f>
        <v>#DIV/0!</v>
      </c>
      <c r="T128" s="7">
        <f ca="1">IF(S128&lt;&gt;"",S128-B128,TODAY()-B128)</f>
        <v>125</v>
      </c>
      <c r="U128" s="13" t="s">
        <v>465</v>
      </c>
      <c r="V128" s="3">
        <f>IF((G128+H128)&lt;15,(G128+H128+2.95), ((G128+H128)*1.2))</f>
        <v>494.35679999999996</v>
      </c>
      <c r="W128" s="3">
        <f>IF((G128+I128)&lt;15,(G128+I128+2.95), ((G128+I128)*1.2))</f>
        <v>406.0788</v>
      </c>
    </row>
    <row r="129" spans="1:23">
      <c r="A129">
        <v>173</v>
      </c>
      <c r="B129" s="12">
        <v>45741</v>
      </c>
      <c r="C129" t="s">
        <v>18</v>
      </c>
      <c r="D129" t="s">
        <v>48</v>
      </c>
      <c r="E129" t="s">
        <v>453</v>
      </c>
      <c r="G129" s="3">
        <v>37.51</v>
      </c>
      <c r="H129" s="2">
        <f>G129*0.3</f>
        <v>11.252999999999998</v>
      </c>
      <c r="I129" s="8">
        <f>G129*0.15</f>
        <v>5.6264999999999992</v>
      </c>
      <c r="J129" s="3">
        <f>G129+H129</f>
        <v>48.762999999999998</v>
      </c>
      <c r="K129" s="3">
        <f>J129*1.13</f>
        <v>55.102189999999993</v>
      </c>
      <c r="L129" s="25">
        <v>0</v>
      </c>
      <c r="M129" s="7" t="s">
        <v>606</v>
      </c>
      <c r="O129" s="3">
        <v>85</v>
      </c>
      <c r="P129" s="3">
        <v>68</v>
      </c>
      <c r="Q129" s="3">
        <f>P129-G129</f>
        <v>30.490000000000002</v>
      </c>
      <c r="R129" s="10">
        <f>Q129/O129</f>
        <v>0.35870588235294121</v>
      </c>
      <c r="S129" s="13">
        <v>45816</v>
      </c>
      <c r="T129" s="7">
        <f ca="1">IF(S129&lt;&gt;"",S129-B129,TODAY()-B129)</f>
        <v>75</v>
      </c>
      <c r="V129" s="3">
        <f>IF((G129+H129)&lt;15,(G129+H129+2.95), ((G129+H129)*1.2))</f>
        <v>58.515599999999992</v>
      </c>
      <c r="W129" s="3">
        <f>IF((G129+I129)&lt;15,(G129+I129+2.95), ((G129+I129)*1.2))</f>
        <v>51.763799999999996</v>
      </c>
    </row>
    <row r="130" spans="1:23" hidden="1">
      <c r="A130">
        <v>174</v>
      </c>
      <c r="B130" s="12">
        <v>45741</v>
      </c>
      <c r="C130" t="s">
        <v>18</v>
      </c>
      <c r="D130" t="s">
        <v>183</v>
      </c>
      <c r="E130" t="s">
        <v>441</v>
      </c>
      <c r="F130" t="s">
        <v>46</v>
      </c>
      <c r="G130" s="3">
        <v>25.91</v>
      </c>
      <c r="H130" s="3">
        <f>G130*0.4</f>
        <v>10.364000000000001</v>
      </c>
      <c r="I130" s="8">
        <f>G130*0.15</f>
        <v>3.8864999999999998</v>
      </c>
      <c r="J130" s="3">
        <f>G130+H130</f>
        <v>36.274000000000001</v>
      </c>
      <c r="K130" s="3">
        <f>J130*1.13</f>
        <v>40.989619999999995</v>
      </c>
      <c r="L130" s="25">
        <v>1</v>
      </c>
      <c r="Q130" s="3">
        <f>P130-G130</f>
        <v>-25.91</v>
      </c>
      <c r="R130" s="10" t="e">
        <f>Q130/O130</f>
        <v>#DIV/0!</v>
      </c>
      <c r="T130" s="7">
        <f ca="1">IF(S130&lt;&gt;"",S130-B130,TODAY()-B130)</f>
        <v>125</v>
      </c>
      <c r="U130" s="13" t="s">
        <v>466</v>
      </c>
      <c r="V130" s="3">
        <f>IF((G130+H130)&lt;15,(G130+H130+2.95), ((G130+H130)*1.2))</f>
        <v>43.528799999999997</v>
      </c>
      <c r="W130" s="3">
        <f>IF((G130+I130)&lt;15,(G130+I130+2.95), ((G130+I130)*1.2))</f>
        <v>35.755800000000001</v>
      </c>
    </row>
    <row r="131" spans="1:23">
      <c r="A131">
        <v>175</v>
      </c>
      <c r="B131" s="12">
        <v>45741</v>
      </c>
      <c r="C131" t="s">
        <v>18</v>
      </c>
      <c r="D131" t="s">
        <v>183</v>
      </c>
      <c r="E131" s="15" t="s">
        <v>454</v>
      </c>
      <c r="F131" t="s">
        <v>309</v>
      </c>
      <c r="G131" s="3">
        <v>84.3</v>
      </c>
      <c r="H131" s="2">
        <f>G131*0.3</f>
        <v>25.29</v>
      </c>
      <c r="I131" s="8">
        <f>G131*0.15</f>
        <v>12.645</v>
      </c>
      <c r="J131" s="3">
        <f>G131+H131</f>
        <v>109.59</v>
      </c>
      <c r="K131" s="3">
        <f>J131*1.13</f>
        <v>123.83669999999999</v>
      </c>
      <c r="L131" s="25">
        <v>0</v>
      </c>
      <c r="M131" s="7" t="s">
        <v>606</v>
      </c>
      <c r="O131" s="3">
        <v>150</v>
      </c>
      <c r="P131" s="3">
        <v>132.76</v>
      </c>
      <c r="Q131" s="3">
        <f>P131-G131</f>
        <v>48.459999999999994</v>
      </c>
      <c r="R131" s="10">
        <f>Q131/O131</f>
        <v>0.32306666666666661</v>
      </c>
      <c r="S131" s="13">
        <v>45833</v>
      </c>
      <c r="T131" s="7">
        <f ca="1">IF(S131&lt;&gt;"",S131-B131,TODAY()-B131)</f>
        <v>92</v>
      </c>
      <c r="U131" s="13" t="s">
        <v>459</v>
      </c>
      <c r="V131" s="3">
        <f>IF((G131+H131)&lt;15,(G131+H131+2.95), ((G131+H131)*1.2))</f>
        <v>131.50800000000001</v>
      </c>
      <c r="W131" s="3">
        <f>IF((G131+I131)&lt;15,(G131+I131+2.95), ((G131+I131)*1.2))</f>
        <v>116.33399999999999</v>
      </c>
    </row>
    <row r="132" spans="1:23">
      <c r="A132">
        <v>176</v>
      </c>
      <c r="B132" s="12">
        <v>45741</v>
      </c>
      <c r="C132" t="s">
        <v>18</v>
      </c>
      <c r="D132" t="s">
        <v>183</v>
      </c>
      <c r="E132" t="s">
        <v>721</v>
      </c>
      <c r="F132" t="s">
        <v>226</v>
      </c>
      <c r="G132" s="3">
        <v>64.25</v>
      </c>
      <c r="H132" s="2">
        <f>G132*0.3</f>
        <v>19.274999999999999</v>
      </c>
      <c r="I132" s="8">
        <f>G132*0.15</f>
        <v>9.6374999999999993</v>
      </c>
      <c r="J132" s="3">
        <f>G132+H132</f>
        <v>83.525000000000006</v>
      </c>
      <c r="K132" s="3">
        <f>J132*1.13</f>
        <v>94.383250000000004</v>
      </c>
      <c r="L132" s="25">
        <v>0</v>
      </c>
      <c r="M132" s="7" t="s">
        <v>606</v>
      </c>
      <c r="N132" s="3">
        <v>225</v>
      </c>
      <c r="O132" s="3">
        <v>46</v>
      </c>
      <c r="P132" s="3">
        <v>40.35</v>
      </c>
      <c r="Q132" s="3">
        <f>P132-G132</f>
        <v>-23.9</v>
      </c>
      <c r="R132" s="10">
        <f>Q132/O132</f>
        <v>-0.51956521739130435</v>
      </c>
      <c r="S132" s="13">
        <v>45779</v>
      </c>
      <c r="T132" s="7">
        <f ca="1">IF(S132&lt;&gt;"",S132-B132,TODAY()-B132)</f>
        <v>38</v>
      </c>
      <c r="U132" s="13" t="s">
        <v>430</v>
      </c>
      <c r="V132" s="3">
        <f>IF((G132+H132)&lt;15,(G132+H132+2.95), ((G132+H132)*1.2))</f>
        <v>100.23</v>
      </c>
      <c r="W132" s="3">
        <f>IF((G132+I132)&lt;15,(G132+I132+2.95), ((G132+I132)*1.2))</f>
        <v>88.665000000000006</v>
      </c>
    </row>
    <row r="133" spans="1:23" hidden="1">
      <c r="A133">
        <v>177</v>
      </c>
      <c r="B133" s="12">
        <v>45741</v>
      </c>
      <c r="C133" t="s">
        <v>18</v>
      </c>
      <c r="D133" t="s">
        <v>183</v>
      </c>
      <c r="E133" t="s">
        <v>467</v>
      </c>
      <c r="F133" t="s">
        <v>224</v>
      </c>
      <c r="G133" s="3">
        <v>143.75</v>
      </c>
      <c r="H133" s="3">
        <f>G133*0.4</f>
        <v>57.5</v>
      </c>
      <c r="I133" s="8">
        <f>G133*0.15</f>
        <v>21.5625</v>
      </c>
      <c r="J133" s="3">
        <f>G133+H133</f>
        <v>201.25</v>
      </c>
      <c r="K133" s="3">
        <f>J133*1.13</f>
        <v>227.41249999999997</v>
      </c>
      <c r="L133" s="25">
        <v>1</v>
      </c>
      <c r="M133" s="7" t="s">
        <v>606</v>
      </c>
      <c r="Q133" s="3">
        <f>P133-G133</f>
        <v>-143.75</v>
      </c>
      <c r="R133" s="10" t="e">
        <f>Q133/O133</f>
        <v>#DIV/0!</v>
      </c>
      <c r="T133" s="7">
        <f ca="1">IF(S133&lt;&gt;"",S133-B133,TODAY()-B133)</f>
        <v>125</v>
      </c>
      <c r="U133" s="13" t="s">
        <v>468</v>
      </c>
      <c r="V133" s="3">
        <f>IF((G133+H133)&lt;15,(G133+H133+2.95), ((G133+H133)*1.2))</f>
        <v>241.5</v>
      </c>
      <c r="W133" s="3">
        <f>IF((G133+I133)&lt;15,(G133+I133+2.95), ((G133+I133)*1.2))</f>
        <v>198.375</v>
      </c>
    </row>
    <row r="134" spans="1:23">
      <c r="A134">
        <v>178</v>
      </c>
      <c r="B134" s="12">
        <v>45742</v>
      </c>
      <c r="C134" t="s">
        <v>18</v>
      </c>
      <c r="D134" t="s">
        <v>48</v>
      </c>
      <c r="E134" t="s">
        <v>471</v>
      </c>
      <c r="F134" t="s">
        <v>472</v>
      </c>
      <c r="G134" s="3">
        <v>123.29</v>
      </c>
      <c r="H134" s="3">
        <f>G134*0.4</f>
        <v>49.316000000000003</v>
      </c>
      <c r="I134" s="8">
        <f>G134*0.15</f>
        <v>18.493500000000001</v>
      </c>
      <c r="J134" s="3">
        <f>G134+H134</f>
        <v>172.60599999999999</v>
      </c>
      <c r="K134" s="3">
        <f>J134*1.13</f>
        <v>195.04477999999997</v>
      </c>
      <c r="L134" s="25">
        <v>0</v>
      </c>
      <c r="M134" s="7" t="s">
        <v>606</v>
      </c>
      <c r="O134" s="3">
        <v>145</v>
      </c>
      <c r="P134" s="3">
        <v>128.88999999999999</v>
      </c>
      <c r="Q134" s="3">
        <f>P134-G134</f>
        <v>5.5999999999999801</v>
      </c>
      <c r="R134" s="10">
        <f>Q134/O134</f>
        <v>3.8620689655172277E-2</v>
      </c>
      <c r="S134" s="13">
        <v>45852</v>
      </c>
      <c r="T134" s="7">
        <f ca="1">IF(S134&lt;&gt;"",S134-B134,TODAY()-B134)</f>
        <v>110</v>
      </c>
      <c r="U134" s="13" t="s">
        <v>481</v>
      </c>
      <c r="V134" s="3">
        <f>IF((G134+H134)&lt;15,(G134+H134+2.95), ((G134+H134)*1.2))</f>
        <v>207.12719999999999</v>
      </c>
      <c r="W134" s="3">
        <f>IF((G134+I134)&lt;15,(G134+I134+2.95), ((G134+I134)*1.2))</f>
        <v>170.14019999999999</v>
      </c>
    </row>
    <row r="135" spans="1:23">
      <c r="A135">
        <v>179</v>
      </c>
      <c r="B135" s="12">
        <v>45742</v>
      </c>
      <c r="C135" t="s">
        <v>18</v>
      </c>
      <c r="D135" t="s">
        <v>428</v>
      </c>
      <c r="E135" t="s">
        <v>473</v>
      </c>
      <c r="F135" t="s">
        <v>46</v>
      </c>
      <c r="G135" s="3">
        <v>153.78</v>
      </c>
      <c r="H135" s="2">
        <f>G135*0.3</f>
        <v>46.134</v>
      </c>
      <c r="I135" s="8">
        <f>G135*0.15</f>
        <v>23.067</v>
      </c>
      <c r="J135" s="3">
        <f>G135+H135</f>
        <v>199.91399999999999</v>
      </c>
      <c r="K135" s="3">
        <f>J135*1.13</f>
        <v>225.90281999999996</v>
      </c>
      <c r="L135" s="25">
        <v>0</v>
      </c>
      <c r="N135" s="3">
        <v>299</v>
      </c>
      <c r="O135" s="3">
        <v>299</v>
      </c>
      <c r="P135" s="3">
        <v>230.93</v>
      </c>
      <c r="Q135" s="3">
        <f>P135-G135</f>
        <v>77.150000000000006</v>
      </c>
      <c r="R135" s="10">
        <f>Q135/O135</f>
        <v>0.25802675585284285</v>
      </c>
      <c r="S135" s="13">
        <v>45773</v>
      </c>
      <c r="T135" s="7">
        <f ca="1">IF(S135&lt;&gt;"",S135-B135,TODAY()-B135)</f>
        <v>31</v>
      </c>
      <c r="V135" s="3">
        <f>IF((G135+H135)&lt;15,(G135+H135+2.95), ((G135+H135)*1.2))</f>
        <v>239.89679999999998</v>
      </c>
      <c r="W135" s="3">
        <f>IF((G135+I135)&lt;15,(G135+I135+2.95), ((G135+I135)*1.2))</f>
        <v>212.21639999999999</v>
      </c>
    </row>
    <row r="136" spans="1:23">
      <c r="A136">
        <v>180</v>
      </c>
      <c r="B136" s="12">
        <v>45742</v>
      </c>
      <c r="C136" t="s">
        <v>18</v>
      </c>
      <c r="D136" t="s">
        <v>428</v>
      </c>
      <c r="E136" t="s">
        <v>474</v>
      </c>
      <c r="F136" t="s">
        <v>226</v>
      </c>
      <c r="G136" s="3">
        <v>181.41</v>
      </c>
      <c r="H136" s="2">
        <f>G136*0.3</f>
        <v>54.422999999999995</v>
      </c>
      <c r="I136" s="8">
        <f>G136*0.15</f>
        <v>27.211499999999997</v>
      </c>
      <c r="J136" s="3">
        <f>G136+H136</f>
        <v>235.833</v>
      </c>
      <c r="K136" s="3">
        <f>J136*1.13</f>
        <v>266.49128999999999</v>
      </c>
      <c r="L136" s="25">
        <v>0</v>
      </c>
      <c r="N136" s="3">
        <v>350</v>
      </c>
      <c r="O136" s="3">
        <v>337</v>
      </c>
      <c r="P136" s="3">
        <v>293</v>
      </c>
      <c r="Q136" s="3">
        <f>P136-G136</f>
        <v>111.59</v>
      </c>
      <c r="R136" s="10">
        <f>Q136/O136</f>
        <v>0.33112759643916917</v>
      </c>
      <c r="T136" s="7">
        <f ca="1">IF(S136&lt;&gt;"",S136-B136,TODAY()-B136)</f>
        <v>124</v>
      </c>
      <c r="U136" s="13" t="s">
        <v>482</v>
      </c>
      <c r="V136" s="3">
        <f>IF((G136+H136)&lt;15,(G136+H136+2.95), ((G136+H136)*1.2))</f>
        <v>282.99959999999999</v>
      </c>
      <c r="W136" s="3">
        <f>IF((G136+I136)&lt;15,(G136+I136+2.95), ((G136+I136)*1.2))</f>
        <v>250.3458</v>
      </c>
    </row>
    <row r="137" spans="1:23" hidden="1">
      <c r="A137">
        <v>181</v>
      </c>
      <c r="B137" s="12">
        <v>45743</v>
      </c>
      <c r="C137" t="s">
        <v>18</v>
      </c>
      <c r="D137" t="s">
        <v>428</v>
      </c>
      <c r="E137" t="s">
        <v>475</v>
      </c>
      <c r="F137" t="s">
        <v>46</v>
      </c>
      <c r="G137" s="3">
        <v>67.12</v>
      </c>
      <c r="H137" s="3">
        <f>G137*0.4</f>
        <v>26.848000000000003</v>
      </c>
      <c r="I137" s="8">
        <f>G137*0.15</f>
        <v>10.068</v>
      </c>
      <c r="J137" s="3">
        <f>G137+H137</f>
        <v>93.968000000000004</v>
      </c>
      <c r="K137" s="3">
        <f>J137*1.13</f>
        <v>106.18383999999999</v>
      </c>
      <c r="L137" s="25">
        <v>1</v>
      </c>
      <c r="M137" s="7" t="s">
        <v>606</v>
      </c>
      <c r="Q137" s="3">
        <f>P137-G137</f>
        <v>-67.12</v>
      </c>
      <c r="R137" s="10" t="e">
        <f>Q137/O137</f>
        <v>#DIV/0!</v>
      </c>
      <c r="T137" s="7">
        <f ca="1">IF(S137&lt;&gt;"",S137-B137,TODAY()-B137)</f>
        <v>123</v>
      </c>
      <c r="U137" s="13" t="s">
        <v>483</v>
      </c>
      <c r="V137" s="3">
        <f>IF((G137+H137)&lt;15,(G137+H137+2.95), ((G137+H137)*1.2))</f>
        <v>112.7616</v>
      </c>
      <c r="W137" s="3">
        <f>IF((G137+I137)&lt;15,(G137+I137+2.95), ((G137+I137)*1.2))</f>
        <v>92.625600000000006</v>
      </c>
    </row>
    <row r="138" spans="1:23" hidden="1">
      <c r="A138">
        <v>182</v>
      </c>
      <c r="B138" s="12">
        <v>45743</v>
      </c>
      <c r="C138" t="s">
        <v>18</v>
      </c>
      <c r="D138" t="s">
        <v>439</v>
      </c>
      <c r="E138" t="s">
        <v>476</v>
      </c>
      <c r="F138" t="s">
        <v>224</v>
      </c>
      <c r="G138" s="3">
        <v>142.57</v>
      </c>
      <c r="H138" s="3">
        <f>G138*0.4</f>
        <v>57.027999999999999</v>
      </c>
      <c r="I138" s="8">
        <f>G138*0.15</f>
        <v>21.385499999999997</v>
      </c>
      <c r="J138" s="3">
        <f>G138+H138</f>
        <v>199.59799999999998</v>
      </c>
      <c r="K138" s="3">
        <f>J138*1.13</f>
        <v>225.54573999999997</v>
      </c>
      <c r="L138" s="25">
        <v>1</v>
      </c>
      <c r="M138" s="7" t="s">
        <v>606</v>
      </c>
      <c r="Q138" s="3">
        <f>P138-G138</f>
        <v>-142.57</v>
      </c>
      <c r="R138" s="10" t="e">
        <f>Q138/O138</f>
        <v>#DIV/0!</v>
      </c>
      <c r="T138" s="7">
        <f ca="1">IF(S138&lt;&gt;"",S138-B138,TODAY()-B138)</f>
        <v>123</v>
      </c>
      <c r="U138" s="13" t="s">
        <v>484</v>
      </c>
      <c r="V138" s="3">
        <f>IF((G138+H138)&lt;15,(G138+H138+2.95), ((G138+H138)*1.2))</f>
        <v>239.51759999999996</v>
      </c>
      <c r="W138" s="3">
        <f>IF((G138+I138)&lt;15,(G138+I138+2.95), ((G138+I138)*1.2))</f>
        <v>196.7466</v>
      </c>
    </row>
    <row r="139" spans="1:23">
      <c r="A139">
        <v>183</v>
      </c>
      <c r="B139" s="12">
        <v>45743</v>
      </c>
      <c r="C139" t="s">
        <v>18</v>
      </c>
      <c r="D139" t="s">
        <v>58</v>
      </c>
      <c r="E139" t="s">
        <v>477</v>
      </c>
      <c r="F139" t="s">
        <v>309</v>
      </c>
      <c r="G139" s="3">
        <v>85.17</v>
      </c>
      <c r="H139" s="2">
        <f>G139*0.3</f>
        <v>25.550999999999998</v>
      </c>
      <c r="I139" s="8">
        <f>G139*0.15</f>
        <v>12.775499999999999</v>
      </c>
      <c r="J139" s="3">
        <f>G139+H139</f>
        <v>110.721</v>
      </c>
      <c r="K139" s="3">
        <f>J139*1.13</f>
        <v>125.11472999999999</v>
      </c>
      <c r="L139" s="25">
        <v>0</v>
      </c>
      <c r="M139" s="7" t="s">
        <v>606</v>
      </c>
      <c r="O139" s="3">
        <v>98</v>
      </c>
      <c r="P139" s="3">
        <v>86.47</v>
      </c>
      <c r="Q139" s="3">
        <f>P139-G139</f>
        <v>1.2999999999999972</v>
      </c>
      <c r="R139" s="10">
        <f>Q139/O139</f>
        <v>1.3265306122448951E-2</v>
      </c>
      <c r="S139" s="13">
        <v>45793</v>
      </c>
      <c r="T139" s="7">
        <f ca="1">IF(S139&lt;&gt;"",S139-B139,TODAY()-B139)</f>
        <v>50</v>
      </c>
      <c r="U139" s="13" t="s">
        <v>485</v>
      </c>
      <c r="V139" s="3">
        <f>IF((G139+H139)&lt;15,(G139+H139+2.95), ((G139+H139)*1.2))</f>
        <v>132.86519999999999</v>
      </c>
      <c r="W139" s="3">
        <f>IF((G139+I139)&lt;15,(G139+I139+2.95), ((G139+I139)*1.2))</f>
        <v>117.53459999999998</v>
      </c>
    </row>
    <row r="140" spans="1:23">
      <c r="A140">
        <v>184</v>
      </c>
      <c r="B140" s="12">
        <v>45743</v>
      </c>
      <c r="C140" t="s">
        <v>18</v>
      </c>
      <c r="D140" t="s">
        <v>439</v>
      </c>
      <c r="E140" t="s">
        <v>478</v>
      </c>
      <c r="F140" t="s">
        <v>224</v>
      </c>
      <c r="G140" s="3">
        <v>0.01</v>
      </c>
      <c r="H140" s="2">
        <f>G140*0.3</f>
        <v>3.0000000000000001E-3</v>
      </c>
      <c r="I140" s="8">
        <f>G140*0.15</f>
        <v>1.5E-3</v>
      </c>
      <c r="J140" s="3">
        <f>G140+H140</f>
        <v>1.3000000000000001E-2</v>
      </c>
      <c r="K140" s="3">
        <f>J140*1.13</f>
        <v>1.469E-2</v>
      </c>
      <c r="L140" s="25">
        <v>0</v>
      </c>
      <c r="M140" s="7" t="s">
        <v>606</v>
      </c>
      <c r="O140" s="3">
        <v>50</v>
      </c>
      <c r="P140" s="3">
        <v>44.06</v>
      </c>
      <c r="Q140" s="3">
        <f>P140-G140</f>
        <v>44.050000000000004</v>
      </c>
      <c r="R140" s="10">
        <f>Q140/O140</f>
        <v>0.88100000000000012</v>
      </c>
      <c r="S140" s="13">
        <v>45812</v>
      </c>
      <c r="T140" s="7">
        <f ca="1">IF(S140&lt;&gt;"",S140-B140,TODAY()-B140)</f>
        <v>69</v>
      </c>
      <c r="U140" s="13" t="s">
        <v>486</v>
      </c>
      <c r="V140" s="3">
        <f>IF((G140+H140)&lt;15,(G140+H140+2.95), ((G140+H140)*1.2))</f>
        <v>2.9630000000000001</v>
      </c>
      <c r="W140" s="3">
        <f>IF((G140+I140)&lt;15,(G140+I140+2.95), ((G140+I140)*1.2))</f>
        <v>2.9615</v>
      </c>
    </row>
    <row r="141" spans="1:23">
      <c r="A141">
        <v>185</v>
      </c>
      <c r="B141" s="12">
        <v>45743</v>
      </c>
      <c r="C141" t="s">
        <v>18</v>
      </c>
      <c r="D141" t="s">
        <v>439</v>
      </c>
      <c r="E141" t="s">
        <v>479</v>
      </c>
      <c r="F141" t="s">
        <v>224</v>
      </c>
      <c r="G141" s="3">
        <v>108.56</v>
      </c>
      <c r="H141" s="2">
        <f>G141*0.3</f>
        <v>32.567999999999998</v>
      </c>
      <c r="I141" s="8">
        <f>G141*0.15</f>
        <v>16.283999999999999</v>
      </c>
      <c r="J141" s="3">
        <f>G141+H141</f>
        <v>141.12799999999999</v>
      </c>
      <c r="K141" s="3">
        <f>J141*1.13</f>
        <v>159.47463999999997</v>
      </c>
      <c r="L141" s="25">
        <v>0</v>
      </c>
      <c r="O141" s="3">
        <v>196</v>
      </c>
      <c r="P141" s="3">
        <v>173.58</v>
      </c>
      <c r="Q141" s="3">
        <f>P141-G141</f>
        <v>65.02000000000001</v>
      </c>
      <c r="R141" s="10">
        <f>Q141/O141</f>
        <v>0.33173469387755106</v>
      </c>
      <c r="S141" s="13">
        <v>45772</v>
      </c>
      <c r="T141" s="7">
        <f ca="1">IF(S141&lt;&gt;"",S141-B141,TODAY()-B141)</f>
        <v>29</v>
      </c>
      <c r="U141" s="13" t="s">
        <v>487</v>
      </c>
      <c r="V141" s="3">
        <f>IF((G141+H141)&lt;15,(G141+H141+2.95), ((G141+H141)*1.2))</f>
        <v>169.35359999999997</v>
      </c>
      <c r="W141" s="3">
        <f>IF((G141+I141)&lt;15,(G141+I141+2.95), ((G141+I141)*1.2))</f>
        <v>149.81279999999998</v>
      </c>
    </row>
    <row r="142" spans="1:23">
      <c r="A142">
        <v>185</v>
      </c>
      <c r="B142" s="12">
        <v>45746</v>
      </c>
      <c r="C142" t="s">
        <v>18</v>
      </c>
      <c r="D142" t="s">
        <v>53</v>
      </c>
      <c r="E142" t="s">
        <v>503</v>
      </c>
      <c r="F142" t="s">
        <v>224</v>
      </c>
      <c r="G142" s="3">
        <v>242.36</v>
      </c>
      <c r="H142" s="2">
        <f>G142*0.3</f>
        <v>72.707999999999998</v>
      </c>
      <c r="I142" s="8">
        <f>G142*0.15</f>
        <v>36.353999999999999</v>
      </c>
      <c r="J142" s="3">
        <f>G142+H142</f>
        <v>315.06799999999998</v>
      </c>
      <c r="K142" s="3">
        <f>J142*1.13</f>
        <v>356.02683999999994</v>
      </c>
      <c r="L142" s="25">
        <v>0</v>
      </c>
      <c r="M142" s="7" t="s">
        <v>606</v>
      </c>
      <c r="O142" s="3">
        <v>350</v>
      </c>
      <c r="P142" s="3">
        <v>280</v>
      </c>
      <c r="Q142" s="3">
        <f>P142-G142</f>
        <v>37.639999999999986</v>
      </c>
      <c r="R142" s="10">
        <f>Q142/O142</f>
        <v>0.10754285714285711</v>
      </c>
      <c r="S142" s="13">
        <v>45812</v>
      </c>
      <c r="T142" s="7">
        <f ca="1">IF(S142&lt;&gt;"",S142-B142,TODAY()-B142)</f>
        <v>66</v>
      </c>
      <c r="V142" s="3">
        <f>IF((G142+H142)&lt;15,(G142+H142+2.95), ((G142+H142)*1.2))</f>
        <v>378.08159999999998</v>
      </c>
      <c r="W142" s="3">
        <f>IF((G142+I142)&lt;15,(G142+I142+2.95), ((G142+I142)*1.2))</f>
        <v>334.45679999999999</v>
      </c>
    </row>
    <row r="143" spans="1:23">
      <c r="A143">
        <v>186</v>
      </c>
      <c r="B143" s="12">
        <v>45743</v>
      </c>
      <c r="C143" t="s">
        <v>18</v>
      </c>
      <c r="D143" t="s">
        <v>439</v>
      </c>
      <c r="E143" t="s">
        <v>480</v>
      </c>
      <c r="F143" t="s">
        <v>472</v>
      </c>
      <c r="G143" s="3">
        <v>55.54</v>
      </c>
      <c r="H143" s="2">
        <f>G143*0.3</f>
        <v>16.661999999999999</v>
      </c>
      <c r="I143" s="8">
        <f>G143*0.15</f>
        <v>8.3309999999999995</v>
      </c>
      <c r="J143" s="3">
        <f>G143+H143</f>
        <v>72.201999999999998</v>
      </c>
      <c r="K143" s="3">
        <f>J143*1.13</f>
        <v>81.588259999999991</v>
      </c>
      <c r="L143" s="25">
        <v>0</v>
      </c>
      <c r="O143" s="3">
        <v>168.75</v>
      </c>
      <c r="P143" s="3">
        <v>149.63</v>
      </c>
      <c r="Q143" s="3">
        <f>P143-G143</f>
        <v>94.09</v>
      </c>
      <c r="R143" s="10">
        <f>Q143/O143</f>
        <v>0.55757037037037038</v>
      </c>
      <c r="S143" s="13">
        <v>45772</v>
      </c>
      <c r="T143" s="7">
        <f ca="1">IF(S143&lt;&gt;"",S143-B143,TODAY()-B143)</f>
        <v>29</v>
      </c>
      <c r="U143" s="13" t="s">
        <v>488</v>
      </c>
      <c r="V143" s="3">
        <f>IF((G143+H143)&lt;15,(G143+H143+2.95), ((G143+H143)*1.2))</f>
        <v>86.642399999999995</v>
      </c>
      <c r="W143" s="3">
        <f>IF((G143+I143)&lt;15,(G143+I143+2.95), ((G143+I143)*1.2))</f>
        <v>76.645199999999988</v>
      </c>
    </row>
    <row r="144" spans="1:23" hidden="1">
      <c r="A144">
        <v>187</v>
      </c>
      <c r="B144" s="12">
        <v>45744</v>
      </c>
      <c r="C144" t="s">
        <v>18</v>
      </c>
      <c r="D144" t="s">
        <v>99</v>
      </c>
      <c r="E144" t="s">
        <v>489</v>
      </c>
      <c r="F144" t="s">
        <v>226</v>
      </c>
      <c r="G144" s="3">
        <v>113.63</v>
      </c>
      <c r="H144" s="3">
        <f>G144*0.4</f>
        <v>45.451999999999998</v>
      </c>
      <c r="I144" s="8">
        <f>G144*0.15</f>
        <v>17.044499999999999</v>
      </c>
      <c r="J144" s="3">
        <f>G144+H144</f>
        <v>159.08199999999999</v>
      </c>
      <c r="K144" s="3">
        <f>J144*1.13</f>
        <v>179.76265999999998</v>
      </c>
      <c r="L144" s="25">
        <v>1</v>
      </c>
      <c r="M144" s="7" t="s">
        <v>606</v>
      </c>
      <c r="Q144" s="3">
        <f>P144-G144</f>
        <v>-113.63</v>
      </c>
      <c r="R144" s="10" t="e">
        <f>Q144/O144</f>
        <v>#DIV/0!</v>
      </c>
      <c r="T144" s="7">
        <f ca="1">IF(S144&lt;&gt;"",S144-B144,TODAY()-B144)</f>
        <v>122</v>
      </c>
      <c r="U144" s="13" t="s">
        <v>499</v>
      </c>
      <c r="V144" s="3">
        <f>IF((G144+H144)&lt;15,(G144+H144+2.95), ((G144+H144)*1.2))</f>
        <v>190.89839999999998</v>
      </c>
      <c r="W144" s="3">
        <f>IF((G144+I144)&lt;15,(G144+I144+2.95), ((G144+I144)*1.2))</f>
        <v>156.80939999999998</v>
      </c>
    </row>
    <row r="145" spans="1:24" hidden="1">
      <c r="A145">
        <v>188</v>
      </c>
      <c r="B145" s="12">
        <v>45744</v>
      </c>
      <c r="C145" t="s">
        <v>18</v>
      </c>
      <c r="D145" t="s">
        <v>27</v>
      </c>
      <c r="E145" t="s">
        <v>492</v>
      </c>
      <c r="F145" t="s">
        <v>309</v>
      </c>
      <c r="G145" s="3">
        <v>220.07</v>
      </c>
      <c r="H145" s="3">
        <f>G145*0.4</f>
        <v>88.028000000000006</v>
      </c>
      <c r="I145" s="8">
        <f>G145*0.15</f>
        <v>33.0105</v>
      </c>
      <c r="J145" s="3">
        <f>G145+H145</f>
        <v>308.09800000000001</v>
      </c>
      <c r="K145" s="3">
        <f>J145*1.13</f>
        <v>348.15073999999998</v>
      </c>
      <c r="L145" s="25">
        <v>1</v>
      </c>
      <c r="M145" s="7" t="s">
        <v>606</v>
      </c>
      <c r="Q145" s="3">
        <f>P145-G145</f>
        <v>-220.07</v>
      </c>
      <c r="R145" s="10" t="e">
        <f>Q145/O145</f>
        <v>#DIV/0!</v>
      </c>
      <c r="T145" s="7">
        <f ca="1">IF(S145&lt;&gt;"",S145-B145,TODAY()-B145)</f>
        <v>122</v>
      </c>
      <c r="U145" s="13" t="s">
        <v>498</v>
      </c>
      <c r="V145" s="3">
        <f>IF((G145+H145)&lt;15,(G145+H145+2.95), ((G145+H145)*1.2))</f>
        <v>369.7176</v>
      </c>
      <c r="W145" s="3">
        <f>IF((G145+I145)&lt;15,(G145+I145+2.95), ((G145+I145)*1.2))</f>
        <v>303.69659999999999</v>
      </c>
    </row>
    <row r="146" spans="1:24">
      <c r="A146">
        <v>189</v>
      </c>
      <c r="B146" s="12">
        <v>45744</v>
      </c>
      <c r="C146" t="s">
        <v>18</v>
      </c>
      <c r="D146" t="s">
        <v>403</v>
      </c>
      <c r="E146" t="s">
        <v>490</v>
      </c>
      <c r="F146" t="s">
        <v>472</v>
      </c>
      <c r="G146" s="3">
        <v>282.27999999999997</v>
      </c>
      <c r="H146" s="2">
        <f>G146*0.3</f>
        <v>84.683999999999983</v>
      </c>
      <c r="I146" s="8">
        <f>G146*0.15</f>
        <v>42.341999999999992</v>
      </c>
      <c r="J146" s="3">
        <f>G146+H146</f>
        <v>366.96399999999994</v>
      </c>
      <c r="K146" s="3">
        <f>J146*1.13</f>
        <v>414.66931999999991</v>
      </c>
      <c r="L146" s="25">
        <v>0</v>
      </c>
      <c r="M146" s="7" t="s">
        <v>606</v>
      </c>
      <c r="O146" s="3">
        <v>449</v>
      </c>
      <c r="P146" s="3">
        <v>398.63</v>
      </c>
      <c r="Q146" s="3">
        <f>P146-G146</f>
        <v>116.35000000000002</v>
      </c>
      <c r="R146" s="10">
        <f>Q146/O146</f>
        <v>0.25913140311804012</v>
      </c>
      <c r="S146" s="13">
        <v>45803</v>
      </c>
      <c r="T146" s="7">
        <f ca="1">IF(S146&lt;&gt;"",S146-B146,TODAY()-B146)</f>
        <v>59</v>
      </c>
      <c r="U146" s="13" t="s">
        <v>497</v>
      </c>
      <c r="V146" s="3">
        <f>IF((G146+H146)&lt;15,(G146+H146+2.95), ((G146+H146)*1.2))</f>
        <v>440.35679999999991</v>
      </c>
      <c r="W146" s="3">
        <f>IF((G146+I146)&lt;15,(G146+I146+2.95), ((G146+I146)*1.2))</f>
        <v>389.54639999999995</v>
      </c>
    </row>
    <row r="147" spans="1:24">
      <c r="A147">
        <v>190</v>
      </c>
      <c r="B147" s="12">
        <v>45744</v>
      </c>
      <c r="C147" t="s">
        <v>18</v>
      </c>
      <c r="D147" t="s">
        <v>58</v>
      </c>
      <c r="E147" t="s">
        <v>494</v>
      </c>
      <c r="F147" t="s">
        <v>224</v>
      </c>
      <c r="G147" s="3">
        <v>160.31</v>
      </c>
      <c r="H147" s="2">
        <f>G147*0.3</f>
        <v>48.092999999999996</v>
      </c>
      <c r="I147" s="8">
        <f>G147*0.15</f>
        <v>24.046499999999998</v>
      </c>
      <c r="J147" s="3">
        <f>G147+H147</f>
        <v>208.40299999999999</v>
      </c>
      <c r="K147" s="3">
        <f>J147*1.13</f>
        <v>235.49538999999996</v>
      </c>
      <c r="L147" s="25">
        <v>0</v>
      </c>
      <c r="M147" s="7" t="s">
        <v>606</v>
      </c>
      <c r="O147" s="3">
        <v>222</v>
      </c>
      <c r="P147" s="3">
        <v>196.68</v>
      </c>
      <c r="Q147" s="3">
        <f>P147-G147</f>
        <v>36.370000000000005</v>
      </c>
      <c r="R147" s="10">
        <f>Q147/O147</f>
        <v>0.16382882882882885</v>
      </c>
      <c r="S147" s="13">
        <v>45779</v>
      </c>
      <c r="T147" s="7">
        <f ca="1">IF(S147&lt;&gt;"",S147-B147,TODAY()-B147)</f>
        <v>35</v>
      </c>
      <c r="U147" s="13" t="s">
        <v>496</v>
      </c>
      <c r="V147" s="3">
        <f>IF((G147+H147)&lt;15,(G147+H147+2.95), ((G147+H147)*1.2))</f>
        <v>250.08359999999999</v>
      </c>
      <c r="W147" s="3">
        <f>IF((G147+I147)&lt;15,(G147+I147+2.95), ((G147+I147)*1.2))</f>
        <v>221.2278</v>
      </c>
    </row>
    <row r="148" spans="1:24">
      <c r="A148">
        <v>191</v>
      </c>
      <c r="B148" s="12">
        <v>45744</v>
      </c>
      <c r="C148" t="s">
        <v>18</v>
      </c>
      <c r="D148" t="s">
        <v>58</v>
      </c>
      <c r="E148" t="s">
        <v>493</v>
      </c>
      <c r="F148" t="s">
        <v>226</v>
      </c>
      <c r="G148" s="3">
        <v>116.57</v>
      </c>
      <c r="H148" s="3">
        <f>G148*0.4</f>
        <v>46.628</v>
      </c>
      <c r="I148" s="8">
        <f>G148*0.15</f>
        <v>17.485499999999998</v>
      </c>
      <c r="J148" s="3">
        <f>G148+H148</f>
        <v>163.19799999999998</v>
      </c>
      <c r="K148" s="3">
        <f>J148*1.13</f>
        <v>184.41373999999996</v>
      </c>
      <c r="L148" s="25">
        <v>0</v>
      </c>
      <c r="M148" s="7" t="s">
        <v>607</v>
      </c>
      <c r="O148" s="3">
        <v>104</v>
      </c>
      <c r="P148" s="3">
        <v>91.94</v>
      </c>
      <c r="Q148" s="3">
        <f>P148-G148</f>
        <v>-24.629999999999995</v>
      </c>
      <c r="R148" s="10">
        <f>Q148/O148</f>
        <v>-0.23682692307692305</v>
      </c>
      <c r="S148" s="13">
        <v>45835</v>
      </c>
      <c r="T148" s="7">
        <f ca="1">IF(S148&lt;&gt;"",S148-B148,TODAY()-B148)</f>
        <v>91</v>
      </c>
      <c r="U148" s="13" t="s">
        <v>495</v>
      </c>
      <c r="V148" s="3">
        <f>IF((G148+H148)&lt;15,(G148+H148+2.95), ((G148+H148)*1.2))</f>
        <v>195.83759999999998</v>
      </c>
      <c r="W148" s="3">
        <f>IF((G148+I148)&lt;15,(G148+I148+2.95), ((G148+I148)*1.2))</f>
        <v>160.86659999999998</v>
      </c>
    </row>
    <row r="149" spans="1:24">
      <c r="A149">
        <v>192</v>
      </c>
      <c r="B149" s="12">
        <v>45744</v>
      </c>
      <c r="C149" t="s">
        <v>18</v>
      </c>
      <c r="D149" t="s">
        <v>58</v>
      </c>
      <c r="E149" t="s">
        <v>491</v>
      </c>
      <c r="F149" t="s">
        <v>226</v>
      </c>
      <c r="G149" s="3">
        <v>346.53</v>
      </c>
      <c r="H149" s="3">
        <f>G149*0.4</f>
        <v>138.61199999999999</v>
      </c>
      <c r="I149" s="8">
        <f>G149*0.15</f>
        <v>51.979499999999994</v>
      </c>
      <c r="J149" s="3">
        <f>G149+H149</f>
        <v>485.14199999999994</v>
      </c>
      <c r="K149" s="3">
        <f>J149*1.13</f>
        <v>548.2104599999999</v>
      </c>
      <c r="L149" s="25">
        <v>0</v>
      </c>
      <c r="M149" s="7" t="s">
        <v>606</v>
      </c>
      <c r="O149" s="3">
        <v>595</v>
      </c>
      <c r="P149" s="3">
        <v>362.95</v>
      </c>
      <c r="Q149" s="3">
        <f>P149-G149</f>
        <v>16.420000000000016</v>
      </c>
      <c r="R149" s="10">
        <f>Q149/O149</f>
        <v>2.7596638655462212E-2</v>
      </c>
      <c r="S149" s="13">
        <v>45809</v>
      </c>
      <c r="T149" s="7">
        <f ca="1">IF(S149&lt;&gt;"",S149-B149,TODAY()-B149)</f>
        <v>65</v>
      </c>
      <c r="U149" s="13" t="s">
        <v>500</v>
      </c>
      <c r="V149" s="3">
        <f>IF((G149+H149)&lt;15,(G149+H149+2.95), ((G149+H149)*1.2))</f>
        <v>582.17039999999986</v>
      </c>
      <c r="W149" s="3">
        <f>IF((G149+I149)&lt;15,(G149+I149+2.95), ((G149+I149)*1.2))</f>
        <v>478.21139999999991</v>
      </c>
    </row>
    <row r="150" spans="1:24" hidden="1">
      <c r="A150">
        <v>193</v>
      </c>
      <c r="B150" s="12">
        <v>45748</v>
      </c>
      <c r="C150" t="s">
        <v>18</v>
      </c>
      <c r="D150" t="s">
        <v>48</v>
      </c>
      <c r="E150" t="s">
        <v>504</v>
      </c>
      <c r="F150" t="s">
        <v>226</v>
      </c>
      <c r="G150" s="3">
        <v>89.3</v>
      </c>
      <c r="H150" s="3">
        <f>G150*0.4</f>
        <v>35.72</v>
      </c>
      <c r="I150" s="8">
        <f>G150*0.15</f>
        <v>13.395</v>
      </c>
      <c r="J150" s="3">
        <f>G150+H150</f>
        <v>125.02</v>
      </c>
      <c r="K150" s="3">
        <f>J150*1.13</f>
        <v>141.27259999999998</v>
      </c>
      <c r="L150" s="25">
        <v>1</v>
      </c>
      <c r="M150" s="7" t="s">
        <v>606</v>
      </c>
      <c r="Q150" s="3">
        <f>P150-G150</f>
        <v>-89.3</v>
      </c>
      <c r="R150" s="10" t="e">
        <f>Q150/O150</f>
        <v>#DIV/0!</v>
      </c>
      <c r="T150" s="7">
        <f ca="1">IF(S150&lt;&gt;"",S150-B150,TODAY()-B150)</f>
        <v>118</v>
      </c>
      <c r="V150" s="3">
        <f>IF((G150+H150)&lt;15,(G150+H150+2.95), ((G150+H150)*1.2))</f>
        <v>150.024</v>
      </c>
      <c r="W150" s="3">
        <f>IF((G150+I150)&lt;15,(G150+I150+2.95), ((G150+I150)*1.2))</f>
        <v>123.23399999999998</v>
      </c>
      <c r="X150" t="s">
        <v>506</v>
      </c>
    </row>
    <row r="151" spans="1:24" hidden="1">
      <c r="A151">
        <v>194</v>
      </c>
      <c r="B151" s="12">
        <v>45748</v>
      </c>
      <c r="C151" t="s">
        <v>18</v>
      </c>
      <c r="D151" t="s">
        <v>48</v>
      </c>
      <c r="E151" t="s">
        <v>333</v>
      </c>
      <c r="F151" t="s">
        <v>472</v>
      </c>
      <c r="G151" s="3">
        <v>98.83</v>
      </c>
      <c r="H151" s="3">
        <f>G151*0.4</f>
        <v>39.532000000000004</v>
      </c>
      <c r="I151" s="8">
        <f>G151*0.15</f>
        <v>14.824499999999999</v>
      </c>
      <c r="J151" s="3">
        <f>G151+H151</f>
        <v>138.36199999999999</v>
      </c>
      <c r="K151" s="3">
        <f>J151*1.13</f>
        <v>156.34905999999998</v>
      </c>
      <c r="L151" s="25">
        <v>1</v>
      </c>
      <c r="M151" s="7" t="s">
        <v>606</v>
      </c>
      <c r="Q151" s="3">
        <f>P151-G151</f>
        <v>-98.83</v>
      </c>
      <c r="R151" s="10" t="e">
        <f>Q151/O151</f>
        <v>#DIV/0!</v>
      </c>
      <c r="T151" s="7">
        <f ca="1">IF(S151&lt;&gt;"",S151-B151,TODAY()-B151)</f>
        <v>118</v>
      </c>
      <c r="V151" s="3">
        <f>IF((G151+H151)&lt;15,(G151+H151+2.95), ((G151+H151)*1.2))</f>
        <v>166.03439999999998</v>
      </c>
      <c r="W151" s="3">
        <f>IF((G151+I151)&lt;15,(G151+I151+2.95), ((G151+I151)*1.2))</f>
        <v>136.3854</v>
      </c>
      <c r="X151" t="s">
        <v>505</v>
      </c>
    </row>
    <row r="152" spans="1:24">
      <c r="A152">
        <v>195</v>
      </c>
      <c r="B152" s="12">
        <v>45748</v>
      </c>
      <c r="C152" t="s">
        <v>631</v>
      </c>
      <c r="D152" t="s">
        <v>48</v>
      </c>
      <c r="E152" t="s">
        <v>507</v>
      </c>
      <c r="F152" t="s">
        <v>472</v>
      </c>
      <c r="G152" s="3">
        <v>124.52</v>
      </c>
      <c r="H152" s="3">
        <f>G152*0.4</f>
        <v>49.808</v>
      </c>
      <c r="I152" s="8">
        <f>G152*0.15</f>
        <v>18.677999999999997</v>
      </c>
      <c r="J152" s="3">
        <f>G152+H152</f>
        <v>174.328</v>
      </c>
      <c r="K152" s="3">
        <f>J152*1.13</f>
        <v>196.99063999999998</v>
      </c>
      <c r="L152" s="25">
        <v>0</v>
      </c>
      <c r="M152" s="7" t="s">
        <v>606</v>
      </c>
      <c r="O152" s="3">
        <v>155</v>
      </c>
      <c r="P152" s="3">
        <v>69.75</v>
      </c>
      <c r="Q152" s="3">
        <f>P152-G152</f>
        <v>-54.769999999999996</v>
      </c>
      <c r="R152" s="10">
        <f>Q152/O152</f>
        <v>-0.35335483870967738</v>
      </c>
      <c r="S152" s="13">
        <v>45778</v>
      </c>
      <c r="T152" s="7">
        <f ca="1">IF(S152&lt;&gt;"",S152-B152,TODAY()-B152)</f>
        <v>30</v>
      </c>
      <c r="V152" s="3">
        <f>IF((G152+H152)&lt;15,(G152+H152+2.95), ((G152+H152)*1.2))</f>
        <v>209.1936</v>
      </c>
      <c r="W152" s="3">
        <f>IF((G152+I152)&lt;15,(G152+I152+2.95), ((G152+I152)*1.2))</f>
        <v>171.83759999999998</v>
      </c>
      <c r="X152" t="s">
        <v>508</v>
      </c>
    </row>
    <row r="153" spans="1:24" hidden="1">
      <c r="A153">
        <v>196</v>
      </c>
      <c r="B153" s="12">
        <v>45748</v>
      </c>
      <c r="C153" t="s">
        <v>18</v>
      </c>
      <c r="D153" t="s">
        <v>48</v>
      </c>
      <c r="E153" t="s">
        <v>509</v>
      </c>
      <c r="F153" t="s">
        <v>226</v>
      </c>
      <c r="G153" s="3">
        <v>91.85</v>
      </c>
      <c r="H153" s="3">
        <f>G153*0.4</f>
        <v>36.74</v>
      </c>
      <c r="I153" s="8">
        <f>G153*0.15</f>
        <v>13.777499999999998</v>
      </c>
      <c r="J153" s="3">
        <f>G153+H153</f>
        <v>128.59</v>
      </c>
      <c r="K153" s="3">
        <f>J153*1.13</f>
        <v>145.30669999999998</v>
      </c>
      <c r="L153" s="25">
        <v>1</v>
      </c>
      <c r="M153" s="7" t="s">
        <v>606</v>
      </c>
      <c r="Q153" s="3">
        <f>P153-G153</f>
        <v>-91.85</v>
      </c>
      <c r="R153" s="10" t="e">
        <f>Q153/O153</f>
        <v>#DIV/0!</v>
      </c>
      <c r="T153" s="7">
        <f ca="1">IF(S153&lt;&gt;"",S153-B153,TODAY()-B153)</f>
        <v>118</v>
      </c>
      <c r="V153" s="3">
        <f>IF((G153+H153)&lt;15,(G153+H153+2.95), ((G153+H153)*1.2))</f>
        <v>154.30799999999999</v>
      </c>
      <c r="W153" s="3">
        <f>IF((G153+I153)&lt;15,(G153+I153+2.95), ((G153+I153)*1.2))</f>
        <v>126.75299999999999</v>
      </c>
      <c r="X153" t="s">
        <v>510</v>
      </c>
    </row>
    <row r="154" spans="1:24" hidden="1">
      <c r="A154">
        <v>197</v>
      </c>
      <c r="B154" s="12">
        <v>45750</v>
      </c>
      <c r="C154" t="s">
        <v>18</v>
      </c>
      <c r="D154" t="s">
        <v>48</v>
      </c>
      <c r="E154" t="s">
        <v>511</v>
      </c>
      <c r="F154" t="s">
        <v>472</v>
      </c>
      <c r="G154" s="3">
        <v>109.13</v>
      </c>
      <c r="H154" s="3">
        <f>G154*0.4</f>
        <v>43.652000000000001</v>
      </c>
      <c r="I154" s="8">
        <f>G154*0.15</f>
        <v>16.369499999999999</v>
      </c>
      <c r="J154" s="3">
        <f>G154+H154</f>
        <v>152.78199999999998</v>
      </c>
      <c r="K154" s="3">
        <f>J154*1.13</f>
        <v>172.64365999999995</v>
      </c>
      <c r="L154" s="25">
        <v>1</v>
      </c>
      <c r="M154" s="7" t="s">
        <v>606</v>
      </c>
      <c r="Q154" s="3">
        <f>P154-G154</f>
        <v>-109.13</v>
      </c>
      <c r="R154" s="10" t="e">
        <f>Q154/O154</f>
        <v>#DIV/0!</v>
      </c>
      <c r="T154" s="7">
        <f ca="1">IF(S154&lt;&gt;"",S154-B154,TODAY()-B154)</f>
        <v>116</v>
      </c>
      <c r="V154" s="3">
        <f>IF((G154+H154)&lt;15,(G154+H154+2.95), ((G154+H154)*1.2))</f>
        <v>183.33839999999998</v>
      </c>
      <c r="W154" s="3">
        <f>IF((G154+I154)&lt;15,(G154+I154+2.95), ((G154+I154)*1.2))</f>
        <v>150.5994</v>
      </c>
      <c r="X154" t="s">
        <v>517</v>
      </c>
    </row>
    <row r="155" spans="1:24" hidden="1">
      <c r="A155">
        <v>198</v>
      </c>
      <c r="B155" s="12">
        <v>45750</v>
      </c>
      <c r="C155" t="s">
        <v>18</v>
      </c>
      <c r="D155" t="s">
        <v>48</v>
      </c>
      <c r="E155" t="s">
        <v>512</v>
      </c>
      <c r="F155" t="s">
        <v>472</v>
      </c>
      <c r="G155" s="3">
        <v>80.59</v>
      </c>
      <c r="H155" s="3">
        <f>G155*0.4</f>
        <v>32.236000000000004</v>
      </c>
      <c r="I155" s="8">
        <f>G155*0.15</f>
        <v>12.0885</v>
      </c>
      <c r="J155" s="3">
        <f>G155+H155</f>
        <v>112.82600000000001</v>
      </c>
      <c r="K155" s="3">
        <f>J155*1.13</f>
        <v>127.49338</v>
      </c>
      <c r="L155" s="25">
        <v>1</v>
      </c>
      <c r="M155" s="7" t="s">
        <v>606</v>
      </c>
      <c r="Q155" s="3">
        <f>P155-G155</f>
        <v>-80.59</v>
      </c>
      <c r="R155" s="10" t="e">
        <f>Q155/O155</f>
        <v>#DIV/0!</v>
      </c>
      <c r="T155" s="7">
        <f ca="1">IF(S155&lt;&gt;"",S155-B155,TODAY()-B155)</f>
        <v>116</v>
      </c>
      <c r="V155" s="3">
        <f>IF((G155+H155)&lt;15,(G155+H155+2.95), ((G155+H155)*1.2))</f>
        <v>135.3912</v>
      </c>
      <c r="W155" s="3">
        <f>IF((G155+I155)&lt;15,(G155+I155+2.95), ((G155+I155)*1.2))</f>
        <v>111.21419999999999</v>
      </c>
      <c r="X155" t="s">
        <v>518</v>
      </c>
    </row>
    <row r="156" spans="1:24" hidden="1">
      <c r="A156">
        <v>199</v>
      </c>
      <c r="B156" s="12">
        <v>45750</v>
      </c>
      <c r="C156" t="s">
        <v>18</v>
      </c>
      <c r="D156" t="s">
        <v>48</v>
      </c>
      <c r="E156" t="s">
        <v>513</v>
      </c>
      <c r="F156" t="s">
        <v>472</v>
      </c>
      <c r="G156" s="3">
        <v>155.46</v>
      </c>
      <c r="H156" s="3">
        <f>G156*0.4</f>
        <v>62.184000000000005</v>
      </c>
      <c r="I156" s="8">
        <f>G156*0.15</f>
        <v>23.318999999999999</v>
      </c>
      <c r="J156" s="3">
        <f>G156+H156</f>
        <v>217.64400000000001</v>
      </c>
      <c r="K156" s="3">
        <f>J156*1.13</f>
        <v>245.93771999999998</v>
      </c>
      <c r="L156" s="25">
        <v>1</v>
      </c>
      <c r="M156" s="7" t="s">
        <v>606</v>
      </c>
      <c r="Q156" s="3">
        <f>P156-G156</f>
        <v>-155.46</v>
      </c>
      <c r="R156" s="10" t="e">
        <f>Q156/O156</f>
        <v>#DIV/0!</v>
      </c>
      <c r="T156" s="7">
        <f ca="1">IF(S156&lt;&gt;"",S156-B156,TODAY()-B156)</f>
        <v>116</v>
      </c>
      <c r="V156" s="3">
        <f>IF((G156+H156)&lt;15,(G156+H156+2.95), ((G156+H156)*1.2))</f>
        <v>261.1728</v>
      </c>
      <c r="W156" s="3">
        <f>IF((G156+I156)&lt;15,(G156+I156+2.95), ((G156+I156)*1.2))</f>
        <v>214.53479999999999</v>
      </c>
      <c r="X156" t="s">
        <v>519</v>
      </c>
    </row>
    <row r="157" spans="1:24" hidden="1">
      <c r="A157">
        <v>200</v>
      </c>
      <c r="B157" s="12">
        <v>45750</v>
      </c>
      <c r="C157" t="s">
        <v>18</v>
      </c>
      <c r="D157" t="s">
        <v>48</v>
      </c>
      <c r="E157" t="s">
        <v>514</v>
      </c>
      <c r="F157" t="s">
        <v>472</v>
      </c>
      <c r="G157" s="3">
        <v>115.81</v>
      </c>
      <c r="H157" s="3">
        <f>G157*0.4</f>
        <v>46.324000000000005</v>
      </c>
      <c r="I157" s="8">
        <f>G157*0.15</f>
        <v>17.371500000000001</v>
      </c>
      <c r="J157" s="3">
        <f>G157+H157</f>
        <v>162.13400000000001</v>
      </c>
      <c r="K157" s="3">
        <f>J157*1.13</f>
        <v>183.21142</v>
      </c>
      <c r="L157" s="25">
        <v>1</v>
      </c>
      <c r="M157" s="7" t="s">
        <v>606</v>
      </c>
      <c r="Q157" s="3">
        <f>P157-G157</f>
        <v>-115.81</v>
      </c>
      <c r="R157" s="10" t="e">
        <f>Q157/O157</f>
        <v>#DIV/0!</v>
      </c>
      <c r="T157" s="7">
        <f ca="1">IF(S157&lt;&gt;"",S157-B157,TODAY()-B157)</f>
        <v>116</v>
      </c>
      <c r="V157" s="3">
        <f>IF((G157+H157)&lt;15,(G157+H157+2.95), ((G157+H157)*1.2))</f>
        <v>194.5608</v>
      </c>
      <c r="W157" s="3">
        <f>IF((G157+I157)&lt;15,(G157+I157+2.95), ((G157+I157)*1.2))</f>
        <v>159.81780000000001</v>
      </c>
      <c r="X157" t="s">
        <v>520</v>
      </c>
    </row>
    <row r="158" spans="1:24" hidden="1">
      <c r="A158">
        <v>201</v>
      </c>
      <c r="B158" s="12">
        <v>45750</v>
      </c>
      <c r="C158" t="s">
        <v>18</v>
      </c>
      <c r="D158" t="s">
        <v>48</v>
      </c>
      <c r="E158" t="s">
        <v>515</v>
      </c>
      <c r="F158" t="s">
        <v>226</v>
      </c>
      <c r="G158" s="3">
        <v>88.58</v>
      </c>
      <c r="H158" s="3">
        <f>G158*0.4</f>
        <v>35.432000000000002</v>
      </c>
      <c r="I158" s="8">
        <f>G158*0.15</f>
        <v>13.286999999999999</v>
      </c>
      <c r="J158" s="3">
        <f>G158+H158</f>
        <v>124.012</v>
      </c>
      <c r="K158" s="3">
        <f>J158*1.13</f>
        <v>140.13355999999999</v>
      </c>
      <c r="L158" s="25">
        <v>1</v>
      </c>
      <c r="M158" s="7" t="s">
        <v>606</v>
      </c>
      <c r="Q158" s="3">
        <f>P158-G158</f>
        <v>-88.58</v>
      </c>
      <c r="R158" s="10" t="e">
        <f>Q158/O158</f>
        <v>#DIV/0!</v>
      </c>
      <c r="T158" s="7">
        <f ca="1">IF(S158&lt;&gt;"",S158-B158,TODAY()-B158)</f>
        <v>116</v>
      </c>
      <c r="V158" s="3">
        <f>IF((G158+H158)&lt;15,(G158+H158+2.95), ((G158+H158)*1.2))</f>
        <v>148.81440000000001</v>
      </c>
      <c r="W158" s="3">
        <f>IF((G158+I158)&lt;15,(G158+I158+2.95), ((G158+I158)*1.2))</f>
        <v>122.24039999999998</v>
      </c>
      <c r="X158" t="s">
        <v>521</v>
      </c>
    </row>
    <row r="159" spans="1:24">
      <c r="A159">
        <v>202</v>
      </c>
      <c r="B159" s="12">
        <v>45750</v>
      </c>
      <c r="C159" t="s">
        <v>18</v>
      </c>
      <c r="D159" t="s">
        <v>48</v>
      </c>
      <c r="E159" t="s">
        <v>516</v>
      </c>
      <c r="F159" t="s">
        <v>472</v>
      </c>
      <c r="G159" s="3">
        <v>100.58</v>
      </c>
      <c r="H159" s="3">
        <f>G159*0.4</f>
        <v>40.231999999999999</v>
      </c>
      <c r="I159" s="8">
        <f>G159*0.15</f>
        <v>15.087</v>
      </c>
      <c r="J159" s="3">
        <f>G159+H159</f>
        <v>140.81200000000001</v>
      </c>
      <c r="K159" s="3">
        <f>J159*1.13</f>
        <v>159.11756</v>
      </c>
      <c r="L159" s="25">
        <v>0</v>
      </c>
      <c r="M159" s="7" t="s">
        <v>606</v>
      </c>
      <c r="O159" s="3">
        <v>108</v>
      </c>
      <c r="P159" s="3">
        <v>32.4</v>
      </c>
      <c r="Q159" s="3">
        <f>P159-G159</f>
        <v>-68.180000000000007</v>
      </c>
      <c r="R159" s="10">
        <f>Q159/O159</f>
        <v>-0.63129629629629636</v>
      </c>
      <c r="S159" s="13">
        <v>45839</v>
      </c>
      <c r="T159" s="7">
        <f ca="1">IF(S159&lt;&gt;"",S159-B159,TODAY()-B159)</f>
        <v>89</v>
      </c>
      <c r="V159" s="3">
        <f>IF((G159+H159)&lt;15,(G159+H159+2.95), ((G159+H159)*1.2))</f>
        <v>168.9744</v>
      </c>
      <c r="W159" s="3">
        <f>IF((G159+I159)&lt;15,(G159+I159+2.95), ((G159+I159)*1.2))</f>
        <v>138.8004</v>
      </c>
      <c r="X159" t="s">
        <v>522</v>
      </c>
    </row>
    <row r="160" spans="1:24" hidden="1">
      <c r="A160">
        <v>203</v>
      </c>
      <c r="B160" s="12">
        <v>45750</v>
      </c>
      <c r="C160" t="s">
        <v>18</v>
      </c>
      <c r="D160" t="s">
        <v>48</v>
      </c>
      <c r="E160" t="s">
        <v>511</v>
      </c>
      <c r="F160" t="s">
        <v>472</v>
      </c>
      <c r="G160" s="3">
        <v>94.09</v>
      </c>
      <c r="H160" s="3">
        <f>G160*0.4</f>
        <v>37.636000000000003</v>
      </c>
      <c r="I160" s="8">
        <f>G160*0.15</f>
        <v>14.1135</v>
      </c>
      <c r="J160" s="3">
        <f>G160+H160</f>
        <v>131.726</v>
      </c>
      <c r="K160" s="3">
        <f>J160*1.13</f>
        <v>148.85037999999997</v>
      </c>
      <c r="L160" s="25">
        <v>1</v>
      </c>
      <c r="M160" s="7" t="s">
        <v>606</v>
      </c>
      <c r="Q160" s="3">
        <f>P160-G160</f>
        <v>-94.09</v>
      </c>
      <c r="R160" s="10" t="e">
        <f>Q160/O160</f>
        <v>#DIV/0!</v>
      </c>
      <c r="T160" s="7">
        <f ca="1">IF(S160&lt;&gt;"",S160-B160,TODAY()-B160)</f>
        <v>116</v>
      </c>
      <c r="V160" s="3">
        <f>IF((G160+H160)&lt;15,(G160+H160+2.95), ((G160+H160)*1.2))</f>
        <v>158.0712</v>
      </c>
      <c r="W160" s="3">
        <f>IF((G160+I160)&lt;15,(G160+I160+2.95), ((G160+I160)*1.2))</f>
        <v>129.8442</v>
      </c>
      <c r="X160" t="s">
        <v>523</v>
      </c>
    </row>
    <row r="161" spans="1:23" hidden="1">
      <c r="A161">
        <v>204</v>
      </c>
      <c r="B161" s="12">
        <v>45751</v>
      </c>
      <c r="C161" t="s">
        <v>18</v>
      </c>
      <c r="D161" t="s">
        <v>48</v>
      </c>
      <c r="E161" t="s">
        <v>524</v>
      </c>
      <c r="F161" t="s">
        <v>472</v>
      </c>
      <c r="G161" s="3">
        <v>133.09</v>
      </c>
      <c r="H161" s="3">
        <f>G161*0.4</f>
        <v>53.236000000000004</v>
      </c>
      <c r="I161" s="8">
        <f>G161*0.15</f>
        <v>19.9635</v>
      </c>
      <c r="J161" s="3">
        <f>G161+H161</f>
        <v>186.32600000000002</v>
      </c>
      <c r="K161" s="3">
        <f>J161*1.13</f>
        <v>210.54838000000001</v>
      </c>
      <c r="L161" s="25">
        <v>1</v>
      </c>
      <c r="M161" s="7" t="s">
        <v>606</v>
      </c>
      <c r="Q161" s="3">
        <f>P161-G161</f>
        <v>-133.09</v>
      </c>
      <c r="R161" s="10" t="e">
        <f>Q161/O161</f>
        <v>#DIV/0!</v>
      </c>
      <c r="T161" s="7">
        <f ca="1">IF(S161&lt;&gt;"",S161-B161,TODAY()-B161)</f>
        <v>115</v>
      </c>
      <c r="V161" s="3">
        <f>IF((G161+H161)&lt;15,(G161+H161+2.95), ((G161+H161)*1.2))</f>
        <v>223.59120000000001</v>
      </c>
      <c r="W161" s="3">
        <f>IF((G161+I161)&lt;15,(G161+I161+2.95), ((G161+I161)*1.2))</f>
        <v>183.66420000000002</v>
      </c>
    </row>
    <row r="162" spans="1:23">
      <c r="A162">
        <v>205</v>
      </c>
      <c r="B162" s="12">
        <v>45751</v>
      </c>
      <c r="C162" t="s">
        <v>18</v>
      </c>
      <c r="D162" t="s">
        <v>48</v>
      </c>
      <c r="E162" s="15" t="s">
        <v>440</v>
      </c>
      <c r="F162" t="s">
        <v>226</v>
      </c>
      <c r="G162" s="3">
        <v>83.85</v>
      </c>
      <c r="H162" s="2">
        <f>G162*0.3</f>
        <v>25.154999999999998</v>
      </c>
      <c r="I162" s="8">
        <f>G162*0.15</f>
        <v>12.577499999999999</v>
      </c>
      <c r="J162" s="3">
        <f>G162+H162</f>
        <v>109.005</v>
      </c>
      <c r="K162" s="3">
        <f>J162*1.13</f>
        <v>123.17564999999999</v>
      </c>
      <c r="L162" s="25">
        <v>0</v>
      </c>
      <c r="M162" s="7" t="s">
        <v>606</v>
      </c>
      <c r="O162" s="3">
        <v>70</v>
      </c>
      <c r="P162" s="3">
        <v>61.81</v>
      </c>
      <c r="Q162" s="3">
        <f>P162-G162</f>
        <v>-22.039999999999992</v>
      </c>
      <c r="R162" s="10">
        <f>Q162/O162</f>
        <v>-0.31485714285714272</v>
      </c>
      <c r="S162" s="13">
        <v>45805</v>
      </c>
      <c r="T162" s="7">
        <f ca="1">IF(S162&lt;&gt;"",S162-B162,TODAY()-B162)</f>
        <v>54</v>
      </c>
      <c r="V162" s="3">
        <f>IF((G162+H162)&lt;15,(G162+H162+2.95), ((G162+H162)*1.2))</f>
        <v>130.80599999999998</v>
      </c>
      <c r="W162" s="3">
        <f>IF((G162+I162)&lt;15,(G162+I162+2.95), ((G162+I162)*1.2))</f>
        <v>115.71299999999999</v>
      </c>
    </row>
    <row r="163" spans="1:23" hidden="1">
      <c r="A163">
        <v>206</v>
      </c>
      <c r="B163" s="12">
        <v>45751</v>
      </c>
      <c r="C163" t="s">
        <v>18</v>
      </c>
      <c r="D163" t="s">
        <v>48</v>
      </c>
      <c r="E163" t="s">
        <v>525</v>
      </c>
      <c r="F163" t="s">
        <v>472</v>
      </c>
      <c r="G163" s="3">
        <v>102.1</v>
      </c>
      <c r="H163" s="3">
        <f>G163*0.4</f>
        <v>40.840000000000003</v>
      </c>
      <c r="I163" s="8">
        <f>G163*0.15</f>
        <v>15.314999999999998</v>
      </c>
      <c r="J163" s="3">
        <f>G163+H163</f>
        <v>142.94</v>
      </c>
      <c r="K163" s="3">
        <f>J163*1.13</f>
        <v>161.52219999999997</v>
      </c>
      <c r="L163" s="25">
        <v>1</v>
      </c>
      <c r="M163" s="7" t="s">
        <v>606</v>
      </c>
      <c r="Q163" s="3">
        <f>P163-G163</f>
        <v>-102.1</v>
      </c>
      <c r="R163" s="10" t="e">
        <f>Q163/O163</f>
        <v>#DIV/0!</v>
      </c>
      <c r="T163" s="7">
        <f ca="1">IF(S163&lt;&gt;"",S163-B163,TODAY()-B163)</f>
        <v>115</v>
      </c>
      <c r="V163" s="3">
        <f>IF((G163+H163)&lt;15,(G163+H163+2.95), ((G163+H163)*1.2))</f>
        <v>171.52799999999999</v>
      </c>
      <c r="W163" s="3">
        <f>IF((G163+I163)&lt;15,(G163+I163+2.95), ((G163+I163)*1.2))</f>
        <v>140.898</v>
      </c>
    </row>
    <row r="164" spans="1:23" hidden="1">
      <c r="A164">
        <v>207</v>
      </c>
      <c r="B164" s="12">
        <v>45751</v>
      </c>
      <c r="C164" t="s">
        <v>18</v>
      </c>
      <c r="D164" t="s">
        <v>48</v>
      </c>
      <c r="E164" t="s">
        <v>526</v>
      </c>
      <c r="F164" t="s">
        <v>472</v>
      </c>
      <c r="G164" s="3">
        <v>99.47</v>
      </c>
      <c r="H164" s="3">
        <f>G164*0.4</f>
        <v>39.788000000000004</v>
      </c>
      <c r="I164" s="8">
        <f>G164*0.15</f>
        <v>14.920499999999999</v>
      </c>
      <c r="J164" s="3">
        <f>G164+H164</f>
        <v>139.25800000000001</v>
      </c>
      <c r="K164" s="3">
        <f>J164*1.13</f>
        <v>157.36153999999999</v>
      </c>
      <c r="L164" s="25">
        <v>1</v>
      </c>
      <c r="M164" s="7" t="s">
        <v>606</v>
      </c>
      <c r="Q164" s="3">
        <f>P164-G164</f>
        <v>-99.47</v>
      </c>
      <c r="R164" s="10" t="e">
        <f>Q164/O164</f>
        <v>#DIV/0!</v>
      </c>
      <c r="T164" s="7">
        <f ca="1">IF(S164&lt;&gt;"",S164-B164,TODAY()-B164)</f>
        <v>115</v>
      </c>
      <c r="V164" s="3">
        <f>IF((G164+H164)&lt;15,(G164+H164+2.95), ((G164+H164)*1.2))</f>
        <v>167.1096</v>
      </c>
      <c r="W164" s="3">
        <f>IF((G164+I164)&lt;15,(G164+I164+2.95), ((G164+I164)*1.2))</f>
        <v>137.26859999999999</v>
      </c>
    </row>
    <row r="165" spans="1:23" hidden="1">
      <c r="A165">
        <v>208</v>
      </c>
      <c r="B165" s="12">
        <v>45754</v>
      </c>
      <c r="C165" t="s">
        <v>18</v>
      </c>
      <c r="D165" t="s">
        <v>48</v>
      </c>
      <c r="E165" t="s">
        <v>527</v>
      </c>
      <c r="F165" t="s">
        <v>472</v>
      </c>
      <c r="G165" s="3">
        <v>97.15</v>
      </c>
      <c r="H165" s="3">
        <f>G165*0.4</f>
        <v>38.860000000000007</v>
      </c>
      <c r="I165" s="8">
        <f>G165*0.15</f>
        <v>14.5725</v>
      </c>
      <c r="J165" s="3">
        <f>G165+H165</f>
        <v>136.01000000000002</v>
      </c>
      <c r="K165" s="3">
        <f>J165*1.13</f>
        <v>153.69130000000001</v>
      </c>
      <c r="L165" s="25">
        <v>1</v>
      </c>
      <c r="M165" s="7" t="s">
        <v>606</v>
      </c>
      <c r="Q165" s="3">
        <f>P165-G165</f>
        <v>-97.15</v>
      </c>
      <c r="R165" s="10" t="e">
        <f>Q165/O165</f>
        <v>#DIV/0!</v>
      </c>
      <c r="T165" s="7">
        <f ca="1">IF(S165&lt;&gt;"",S165-B165,TODAY()-B165)</f>
        <v>112</v>
      </c>
      <c r="V165" s="3">
        <f>IF((G165+H165)&lt;15,(G165+H165+2.95), ((G165+H165)*1.2))</f>
        <v>163.21200000000002</v>
      </c>
      <c r="W165" s="3">
        <f>IF((G165+I165)&lt;15,(G165+I165+2.95), ((G165+I165)*1.2))</f>
        <v>134.06700000000001</v>
      </c>
    </row>
    <row r="166" spans="1:23" hidden="1">
      <c r="A166">
        <v>209</v>
      </c>
      <c r="B166" s="12">
        <v>45754</v>
      </c>
      <c r="C166" t="s">
        <v>18</v>
      </c>
      <c r="D166" t="s">
        <v>48</v>
      </c>
      <c r="E166" t="s">
        <v>528</v>
      </c>
      <c r="F166" t="s">
        <v>226</v>
      </c>
      <c r="G166" s="3">
        <v>79.5</v>
      </c>
      <c r="H166" s="3">
        <f>G166*0.4</f>
        <v>31.8</v>
      </c>
      <c r="I166" s="8">
        <f>G166*0.15</f>
        <v>11.924999999999999</v>
      </c>
      <c r="J166" s="3">
        <f>G166+H166</f>
        <v>111.3</v>
      </c>
      <c r="K166" s="3">
        <f>J166*1.13</f>
        <v>125.76899999999999</v>
      </c>
      <c r="L166" s="25">
        <v>1</v>
      </c>
      <c r="M166" s="7" t="s">
        <v>606</v>
      </c>
      <c r="Q166" s="3">
        <f>P166-G166</f>
        <v>-79.5</v>
      </c>
      <c r="R166" s="10" t="e">
        <f>Q166/O166</f>
        <v>#DIV/0!</v>
      </c>
      <c r="T166" s="7">
        <f ca="1">IF(S166&lt;&gt;"",S166-B166,TODAY()-B166)</f>
        <v>112</v>
      </c>
      <c r="V166" s="3">
        <f>IF((G166+H166)&lt;15,(G166+H166+2.95), ((G166+H166)*1.2))</f>
        <v>133.56</v>
      </c>
      <c r="W166" s="3">
        <f>IF((G166+I166)&lt;15,(G166+I166+2.95), ((G166+I166)*1.2))</f>
        <v>109.71</v>
      </c>
    </row>
    <row r="167" spans="1:23" hidden="1">
      <c r="A167">
        <v>210</v>
      </c>
      <c r="B167" s="12">
        <v>45754</v>
      </c>
      <c r="C167" t="s">
        <v>18</v>
      </c>
      <c r="D167" t="s">
        <v>48</v>
      </c>
      <c r="E167" t="s">
        <v>529</v>
      </c>
      <c r="F167" t="s">
        <v>472</v>
      </c>
      <c r="G167" s="3">
        <v>95.57</v>
      </c>
      <c r="H167" s="3">
        <f>G167*0.4</f>
        <v>38.228000000000002</v>
      </c>
      <c r="I167" s="8">
        <f>G167*0.15</f>
        <v>14.335499999999998</v>
      </c>
      <c r="J167" s="3">
        <f>G167+H167</f>
        <v>133.798</v>
      </c>
      <c r="K167" s="3">
        <f>J167*1.13</f>
        <v>151.19173999999998</v>
      </c>
      <c r="L167" s="25">
        <v>1</v>
      </c>
      <c r="M167" s="7" t="s">
        <v>606</v>
      </c>
      <c r="Q167" s="3">
        <f>P167-G167</f>
        <v>-95.57</v>
      </c>
      <c r="R167" s="10" t="e">
        <f>Q167/O167</f>
        <v>#DIV/0!</v>
      </c>
      <c r="T167" s="7">
        <f ca="1">IF(S167&lt;&gt;"",S167-B167,TODAY()-B167)</f>
        <v>112</v>
      </c>
      <c r="V167" s="3">
        <f>IF((G167+H167)&lt;15,(G167+H167+2.95), ((G167+H167)*1.2))</f>
        <v>160.55760000000001</v>
      </c>
      <c r="W167" s="3">
        <f>IF((G167+I167)&lt;15,(G167+I167+2.95), ((G167+I167)*1.2))</f>
        <v>131.88659999999999</v>
      </c>
    </row>
    <row r="168" spans="1:23" hidden="1">
      <c r="A168">
        <v>211</v>
      </c>
      <c r="B168" s="12">
        <v>45755</v>
      </c>
      <c r="C168" t="s">
        <v>18</v>
      </c>
      <c r="D168" t="s">
        <v>48</v>
      </c>
      <c r="E168" t="s">
        <v>530</v>
      </c>
      <c r="F168" t="s">
        <v>472</v>
      </c>
      <c r="G168" s="3">
        <v>102.6</v>
      </c>
      <c r="H168" s="3">
        <f>G168*0.4</f>
        <v>41.04</v>
      </c>
      <c r="I168" s="8">
        <f>G168*0.15</f>
        <v>15.389999999999999</v>
      </c>
      <c r="J168" s="3">
        <f>G168+H168</f>
        <v>143.63999999999999</v>
      </c>
      <c r="K168" s="3">
        <f>J168*1.13</f>
        <v>162.31319999999997</v>
      </c>
      <c r="L168" s="25">
        <v>1</v>
      </c>
      <c r="M168" s="7" t="s">
        <v>606</v>
      </c>
      <c r="Q168" s="3">
        <f>P168-G168</f>
        <v>-102.6</v>
      </c>
      <c r="R168" s="10" t="e">
        <f>Q168/O168</f>
        <v>#DIV/0!</v>
      </c>
      <c r="T168" s="7">
        <f ca="1">IF(S168&lt;&gt;"",S168-B168,TODAY()-B168)</f>
        <v>111</v>
      </c>
      <c r="V168" s="3">
        <f>IF((G168+H168)&lt;15,(G168+H168+2.95), ((G168+H168)*1.2))</f>
        <v>172.36799999999997</v>
      </c>
      <c r="W168" s="3">
        <f>IF((G168+I168)&lt;15,(G168+I168+2.95), ((G168+I168)*1.2))</f>
        <v>141.58799999999999</v>
      </c>
    </row>
    <row r="169" spans="1:23" hidden="1">
      <c r="A169">
        <v>212</v>
      </c>
      <c r="B169" s="12">
        <v>45755</v>
      </c>
      <c r="C169" t="s">
        <v>18</v>
      </c>
      <c r="D169" t="s">
        <v>48</v>
      </c>
      <c r="E169" t="s">
        <v>512</v>
      </c>
      <c r="F169" t="s">
        <v>472</v>
      </c>
      <c r="G169" s="3">
        <v>109.99</v>
      </c>
      <c r="H169" s="3">
        <f>G169*0.4</f>
        <v>43.996000000000002</v>
      </c>
      <c r="I169" s="8">
        <f>G169*0.15</f>
        <v>16.4985</v>
      </c>
      <c r="J169" s="3">
        <f>G169+H169</f>
        <v>153.98599999999999</v>
      </c>
      <c r="K169" s="3">
        <f>J169*1.13</f>
        <v>174.00417999999996</v>
      </c>
      <c r="L169" s="25">
        <v>1</v>
      </c>
      <c r="M169" s="7" t="s">
        <v>606</v>
      </c>
      <c r="Q169" s="3">
        <f>P169-G169</f>
        <v>-109.99</v>
      </c>
      <c r="R169" s="10" t="e">
        <f>Q169/O169</f>
        <v>#DIV/0!</v>
      </c>
      <c r="T169" s="7">
        <f ca="1">IF(S169&lt;&gt;"",S169-B169,TODAY()-B169)</f>
        <v>111</v>
      </c>
      <c r="V169" s="3">
        <f>IF((G169+H169)&lt;15,(G169+H169+2.95), ((G169+H169)*1.2))</f>
        <v>184.78319999999999</v>
      </c>
      <c r="W169" s="3">
        <f>IF((G169+I169)&lt;15,(G169+I169+2.95), ((G169+I169)*1.2))</f>
        <v>151.78619999999998</v>
      </c>
    </row>
    <row r="170" spans="1:23" hidden="1">
      <c r="A170">
        <v>213</v>
      </c>
      <c r="B170" s="12">
        <v>45755</v>
      </c>
      <c r="C170" t="s">
        <v>18</v>
      </c>
      <c r="D170" t="s">
        <v>48</v>
      </c>
      <c r="E170" t="s">
        <v>531</v>
      </c>
      <c r="F170" t="s">
        <v>472</v>
      </c>
      <c r="G170" s="3">
        <v>95.57</v>
      </c>
      <c r="H170" s="3">
        <f>G170*0.4</f>
        <v>38.228000000000002</v>
      </c>
      <c r="I170" s="8">
        <f>G170*0.15</f>
        <v>14.335499999999998</v>
      </c>
      <c r="J170" s="3">
        <f>G170+H170</f>
        <v>133.798</v>
      </c>
      <c r="K170" s="3">
        <f>J170*1.13</f>
        <v>151.19173999999998</v>
      </c>
      <c r="L170" s="25">
        <v>1</v>
      </c>
      <c r="M170" s="7" t="s">
        <v>606</v>
      </c>
      <c r="Q170" s="3">
        <f>P170-G170</f>
        <v>-95.57</v>
      </c>
      <c r="R170" s="10" t="e">
        <f>Q170/O170</f>
        <v>#DIV/0!</v>
      </c>
      <c r="T170" s="7">
        <f ca="1">IF(S170&lt;&gt;"",S170-B170,TODAY()-B170)</f>
        <v>111</v>
      </c>
      <c r="V170" s="3">
        <f>IF((G170+H170)&lt;15,(G170+H170+2.95), ((G170+H170)*1.2))</f>
        <v>160.55760000000001</v>
      </c>
      <c r="W170" s="3">
        <f>IF((G170+I170)&lt;15,(G170+I170+2.95), ((G170+I170)*1.2))</f>
        <v>131.88659999999999</v>
      </c>
    </row>
    <row r="171" spans="1:23">
      <c r="A171">
        <v>214</v>
      </c>
      <c r="B171" s="12">
        <v>45755</v>
      </c>
      <c r="C171" t="s">
        <v>18</v>
      </c>
      <c r="D171" t="s">
        <v>48</v>
      </c>
      <c r="E171" t="s">
        <v>532</v>
      </c>
      <c r="F171" t="s">
        <v>472</v>
      </c>
      <c r="G171" s="3">
        <v>156.1</v>
      </c>
      <c r="H171" s="3">
        <f>G171*0.4</f>
        <v>62.44</v>
      </c>
      <c r="I171" s="8">
        <f>G171*0.15</f>
        <v>23.414999999999999</v>
      </c>
      <c r="J171" s="3">
        <f>G171+H171</f>
        <v>218.54</v>
      </c>
      <c r="K171" s="3">
        <f>J171*1.13</f>
        <v>246.95019999999997</v>
      </c>
      <c r="L171" s="25">
        <v>0</v>
      </c>
      <c r="O171" s="3">
        <v>150.5</v>
      </c>
      <c r="P171" s="3">
        <v>67.72</v>
      </c>
      <c r="Q171" s="3">
        <f>P171-G171</f>
        <v>-88.38</v>
      </c>
      <c r="R171" s="10">
        <f>Q171/O171</f>
        <v>-0.58724252491694351</v>
      </c>
      <c r="S171" s="13">
        <v>45839</v>
      </c>
      <c r="T171" s="7">
        <f ca="1">IF(S171&lt;&gt;"",S171-B171,TODAY()-B171)</f>
        <v>84</v>
      </c>
      <c r="V171" s="3">
        <f>IF((G171+H171)&lt;15,(G171+H171+2.95), ((G171+H171)*1.2))</f>
        <v>262.24799999999999</v>
      </c>
      <c r="W171" s="3">
        <f>IF((G171+I171)&lt;15,(G171+I171+2.95), ((G171+I171)*1.2))</f>
        <v>215.41799999999998</v>
      </c>
    </row>
    <row r="172" spans="1:23">
      <c r="A172">
        <v>215</v>
      </c>
      <c r="B172" s="12">
        <v>45757</v>
      </c>
      <c r="C172" t="s">
        <v>18</v>
      </c>
      <c r="D172" t="s">
        <v>533</v>
      </c>
      <c r="E172" s="15" t="s">
        <v>534</v>
      </c>
      <c r="F172" t="s">
        <v>226</v>
      </c>
      <c r="G172" s="3">
        <v>87.12</v>
      </c>
      <c r="H172" s="2">
        <f>G172*0.3</f>
        <v>26.135999999999999</v>
      </c>
      <c r="I172" s="8">
        <f>G172*0.15</f>
        <v>13.068</v>
      </c>
      <c r="J172" s="3">
        <f>G172+H172</f>
        <v>113.256</v>
      </c>
      <c r="K172" s="3">
        <f>J172*1.13</f>
        <v>127.97927999999999</v>
      </c>
      <c r="L172" s="25">
        <v>0</v>
      </c>
      <c r="M172" s="7" t="s">
        <v>606</v>
      </c>
      <c r="O172" s="3">
        <v>0</v>
      </c>
      <c r="P172" s="3">
        <v>0</v>
      </c>
      <c r="Q172" s="3">
        <f>P172-G172</f>
        <v>-87.12</v>
      </c>
      <c r="R172" s="10" t="e">
        <f>Q172/O172</f>
        <v>#DIV/0!</v>
      </c>
      <c r="S172" s="13">
        <v>45786</v>
      </c>
      <c r="T172" s="7">
        <f ca="1">IF(S172&lt;&gt;"",S172-B172,TODAY()-B172)</f>
        <v>29</v>
      </c>
      <c r="V172" s="3">
        <f>IF((G172+H172)&lt;15,(G172+H172+2.95), ((G172+H172)*1.2))</f>
        <v>135.90719999999999</v>
      </c>
      <c r="W172" s="3">
        <f>IF((G172+I172)&lt;15,(G172+I172+2.95), ((G172+I172)*1.2))</f>
        <v>120.2256</v>
      </c>
    </row>
    <row r="173" spans="1:23" hidden="1">
      <c r="A173">
        <v>216</v>
      </c>
      <c r="B173" s="12">
        <v>45757</v>
      </c>
      <c r="C173" t="s">
        <v>18</v>
      </c>
      <c r="D173" t="s">
        <v>48</v>
      </c>
      <c r="E173" t="s">
        <v>535</v>
      </c>
      <c r="F173" t="s">
        <v>226</v>
      </c>
      <c r="G173" s="3">
        <v>104.77</v>
      </c>
      <c r="H173" s="3">
        <f>G173*0.4</f>
        <v>41.908000000000001</v>
      </c>
      <c r="I173" s="8">
        <f>G173*0.15</f>
        <v>15.715499999999999</v>
      </c>
      <c r="J173" s="3">
        <f>G173+H173</f>
        <v>146.678</v>
      </c>
      <c r="K173" s="3">
        <f>J173*1.13</f>
        <v>165.74613999999997</v>
      </c>
      <c r="L173" s="25">
        <v>1</v>
      </c>
      <c r="Q173" s="3">
        <f>P173-G173</f>
        <v>-104.77</v>
      </c>
      <c r="R173" s="10" t="e">
        <f>Q173/O173</f>
        <v>#DIV/0!</v>
      </c>
      <c r="T173" s="7">
        <f ca="1">IF(S173&lt;&gt;"",S173-B173,TODAY()-B173)</f>
        <v>109</v>
      </c>
      <c r="V173" s="3">
        <f>IF((G173+H173)&lt;15,(G173+H173+2.95), ((G173+H173)*1.2))</f>
        <v>176.0136</v>
      </c>
      <c r="W173" s="3">
        <f>IF((G173+I173)&lt;15,(G173+I173+2.95), ((G173+I173)*1.2))</f>
        <v>144.58259999999999</v>
      </c>
    </row>
    <row r="174" spans="1:23" hidden="1">
      <c r="A174">
        <v>217</v>
      </c>
      <c r="B174" s="12">
        <v>45757</v>
      </c>
      <c r="C174" t="s">
        <v>18</v>
      </c>
      <c r="D174" t="s">
        <v>48</v>
      </c>
      <c r="E174" t="s">
        <v>536</v>
      </c>
      <c r="F174" t="s">
        <v>472</v>
      </c>
      <c r="G174" s="3">
        <v>108.9</v>
      </c>
      <c r="H174" s="3">
        <f>G174*0.4</f>
        <v>43.56</v>
      </c>
      <c r="I174" s="8">
        <f>G174*0.15</f>
        <v>16.335000000000001</v>
      </c>
      <c r="J174" s="3">
        <f>G174+H174</f>
        <v>152.46</v>
      </c>
      <c r="K174" s="3">
        <f>J174*1.13</f>
        <v>172.27979999999999</v>
      </c>
      <c r="L174" s="25">
        <v>1</v>
      </c>
      <c r="Q174" s="3">
        <f>P174-G174</f>
        <v>-108.9</v>
      </c>
      <c r="R174" s="10" t="e">
        <f>Q174/O174</f>
        <v>#DIV/0!</v>
      </c>
      <c r="T174" s="7">
        <f ca="1">IF(S174&lt;&gt;"",S174-B174,TODAY()-B174)</f>
        <v>109</v>
      </c>
      <c r="V174" s="3">
        <f>IF((G174+H174)&lt;15,(G174+H174+2.95), ((G174+H174)*1.2))</f>
        <v>182.952</v>
      </c>
      <c r="W174" s="3">
        <f>IF((G174+I174)&lt;15,(G174+I174+2.95), ((G174+I174)*1.2))</f>
        <v>150.28200000000001</v>
      </c>
    </row>
    <row r="175" spans="1:23" hidden="1">
      <c r="A175">
        <v>218</v>
      </c>
      <c r="B175" s="12">
        <v>45758</v>
      </c>
      <c r="C175" t="s">
        <v>18</v>
      </c>
      <c r="D175" t="s">
        <v>48</v>
      </c>
      <c r="E175" t="s">
        <v>537</v>
      </c>
      <c r="F175" t="s">
        <v>226</v>
      </c>
      <c r="G175" s="3">
        <v>37.26</v>
      </c>
      <c r="H175" s="3">
        <f>G175*0.4</f>
        <v>14.904</v>
      </c>
      <c r="I175" s="8">
        <f>G175*0.15</f>
        <v>5.5889999999999995</v>
      </c>
      <c r="J175" s="3">
        <f>G175+H175</f>
        <v>52.164000000000001</v>
      </c>
      <c r="K175" s="3">
        <f>J175*1.13</f>
        <v>58.945319999999995</v>
      </c>
      <c r="L175" s="25">
        <v>1</v>
      </c>
      <c r="Q175" s="3">
        <f>P175-G175</f>
        <v>-37.26</v>
      </c>
      <c r="R175" s="10" t="e">
        <f>Q175/O175</f>
        <v>#DIV/0!</v>
      </c>
      <c r="T175" s="7">
        <f ca="1">IF(S175&lt;&gt;"",S175-B175,TODAY()-B175)</f>
        <v>108</v>
      </c>
      <c r="V175" s="3">
        <f>IF((G175+H175)&lt;15,(G175+H175+2.95), ((G175+H175)*1.2))</f>
        <v>62.596800000000002</v>
      </c>
      <c r="W175" s="3">
        <f>IF((G175+I175)&lt;15,(G175+I175+2.95), ((G175+I175)*1.2))</f>
        <v>51.418799999999997</v>
      </c>
    </row>
    <row r="176" spans="1:23" hidden="1">
      <c r="A176">
        <v>219</v>
      </c>
      <c r="B176" s="12">
        <v>45759</v>
      </c>
      <c r="C176" t="s">
        <v>18</v>
      </c>
      <c r="D176" t="s">
        <v>48</v>
      </c>
      <c r="E176" t="s">
        <v>332</v>
      </c>
      <c r="F176" t="s">
        <v>226</v>
      </c>
      <c r="G176" s="3">
        <v>100.42</v>
      </c>
      <c r="H176" s="3">
        <f>G176*0.4</f>
        <v>40.168000000000006</v>
      </c>
      <c r="I176" s="8">
        <f>G176*0.15</f>
        <v>15.062999999999999</v>
      </c>
      <c r="J176" s="3">
        <f>G176+H176</f>
        <v>140.58800000000002</v>
      </c>
      <c r="K176" s="3">
        <f>J176*1.13</f>
        <v>158.86444</v>
      </c>
      <c r="L176" s="25">
        <v>1</v>
      </c>
      <c r="M176" s="7" t="s">
        <v>606</v>
      </c>
      <c r="Q176" s="3">
        <f>P176-G176</f>
        <v>-100.42</v>
      </c>
      <c r="R176" s="10" t="e">
        <f>Q176/O176</f>
        <v>#DIV/0!</v>
      </c>
      <c r="T176" s="7">
        <f ca="1">IF(S176&lt;&gt;"",S176-B176,TODAY()-B176)</f>
        <v>107</v>
      </c>
      <c r="V176" s="3">
        <f>IF((G176+H176)&lt;15,(G176+H176+2.95), ((G176+H176)*1.2))</f>
        <v>168.70560000000003</v>
      </c>
      <c r="W176" s="3">
        <f>IF((G176+I176)&lt;15,(G176+I176+2.95), ((G176+I176)*1.2))</f>
        <v>138.5796</v>
      </c>
    </row>
    <row r="177" spans="1:24">
      <c r="A177">
        <v>220</v>
      </c>
      <c r="B177" s="12">
        <v>45759</v>
      </c>
      <c r="C177" t="s">
        <v>18</v>
      </c>
      <c r="D177" t="s">
        <v>48</v>
      </c>
      <c r="E177" t="s">
        <v>539</v>
      </c>
      <c r="F177" t="s">
        <v>309</v>
      </c>
      <c r="G177" s="3">
        <v>101.28</v>
      </c>
      <c r="H177" s="3">
        <f>G177*0.4</f>
        <v>40.512</v>
      </c>
      <c r="I177" s="8">
        <f>G177*0.15</f>
        <v>15.192</v>
      </c>
      <c r="J177" s="3">
        <f>G177+H177</f>
        <v>141.792</v>
      </c>
      <c r="K177" s="3">
        <f>J177*1.13</f>
        <v>160.22495999999998</v>
      </c>
      <c r="L177" s="25">
        <v>0</v>
      </c>
      <c r="M177" s="7" t="s">
        <v>606</v>
      </c>
      <c r="O177" s="3">
        <v>168.75</v>
      </c>
      <c r="P177" s="3">
        <v>75.94</v>
      </c>
      <c r="Q177" s="3">
        <f>P177-G177</f>
        <v>-25.340000000000003</v>
      </c>
      <c r="R177" s="10">
        <f>Q177/O177</f>
        <v>-0.15016296296296297</v>
      </c>
      <c r="S177" s="13">
        <v>45839</v>
      </c>
      <c r="T177" s="7">
        <f ca="1">IF(S177&lt;&gt;"",S177-B177,TODAY()-B177)</f>
        <v>80</v>
      </c>
      <c r="V177" s="3">
        <f>IF((G177+H177)&lt;15,(G177+H177+2.95), ((G177+H177)*1.2))</f>
        <v>170.15039999999999</v>
      </c>
      <c r="W177" s="3">
        <f>IF((G177+I177)&lt;15,(G177+I177+2.95), ((G177+I177)*1.2))</f>
        <v>139.7664</v>
      </c>
    </row>
    <row r="178" spans="1:24" hidden="1">
      <c r="A178">
        <v>221</v>
      </c>
      <c r="B178" s="12">
        <v>45759</v>
      </c>
      <c r="C178" t="s">
        <v>18</v>
      </c>
      <c r="D178" t="s">
        <v>48</v>
      </c>
      <c r="E178" t="s">
        <v>540</v>
      </c>
      <c r="F178" t="s">
        <v>309</v>
      </c>
      <c r="G178" s="3">
        <v>112.99</v>
      </c>
      <c r="H178" s="3">
        <f>G178*0.4</f>
        <v>45.195999999999998</v>
      </c>
      <c r="I178" s="8">
        <f>G178*0.15</f>
        <v>16.948499999999999</v>
      </c>
      <c r="J178" s="3">
        <f>G178+H178</f>
        <v>158.18599999999998</v>
      </c>
      <c r="K178" s="3">
        <f>J178*1.13</f>
        <v>178.75017999999997</v>
      </c>
      <c r="L178" s="25">
        <v>1</v>
      </c>
      <c r="M178" s="7" t="s">
        <v>606</v>
      </c>
      <c r="Q178" s="3">
        <f>P178-G178</f>
        <v>-112.99</v>
      </c>
      <c r="R178" s="10" t="e">
        <f>Q178/O178</f>
        <v>#DIV/0!</v>
      </c>
      <c r="T178" s="7">
        <f ca="1">IF(S178&lt;&gt;"",S178-B178,TODAY()-B178)</f>
        <v>107</v>
      </c>
      <c r="V178" s="3">
        <f>IF((G178+H178)&lt;15,(G178+H178+2.95), ((G178+H178)*1.2))</f>
        <v>189.82319999999996</v>
      </c>
      <c r="W178" s="3">
        <f>IF((G178+I178)&lt;15,(G178+I178+2.95), ((G178+I178)*1.2))</f>
        <v>155.92619999999999</v>
      </c>
    </row>
    <row r="179" spans="1:24">
      <c r="A179">
        <v>222</v>
      </c>
      <c r="B179" s="12">
        <v>45759</v>
      </c>
      <c r="C179" t="s">
        <v>18</v>
      </c>
      <c r="D179" t="s">
        <v>538</v>
      </c>
      <c r="E179" t="s">
        <v>541</v>
      </c>
      <c r="F179" t="s">
        <v>254</v>
      </c>
      <c r="G179" s="3">
        <v>391.18</v>
      </c>
      <c r="H179" s="2">
        <f>G179*0.3</f>
        <v>117.354</v>
      </c>
      <c r="I179" s="8">
        <f>G179*0.15</f>
        <v>58.677</v>
      </c>
      <c r="J179" s="3">
        <f>G179+H179</f>
        <v>508.53399999999999</v>
      </c>
      <c r="K179" s="3">
        <f>J179*1.13</f>
        <v>574.64341999999999</v>
      </c>
      <c r="L179" s="25">
        <v>0</v>
      </c>
      <c r="O179" s="3">
        <v>492</v>
      </c>
      <c r="P179" s="3">
        <v>436.7</v>
      </c>
      <c r="Q179" s="3">
        <f>P179-G179</f>
        <v>45.519999999999982</v>
      </c>
      <c r="R179" s="10">
        <f>Q179/O179</f>
        <v>9.2520325203251999E-2</v>
      </c>
      <c r="S179" s="13">
        <v>45772</v>
      </c>
      <c r="T179" s="7">
        <f ca="1">IF(S179&lt;&gt;"",S179-B179,TODAY()-B179)</f>
        <v>13</v>
      </c>
      <c r="V179" s="3">
        <f>IF((G179+H179)&lt;15,(G179+H179+2.95), ((G179+H179)*1.2))</f>
        <v>610.24079999999992</v>
      </c>
      <c r="W179" s="3">
        <f>IF((G179+I179)&lt;15,(G179+I179+2.95), ((G179+I179)*1.2))</f>
        <v>539.82839999999999</v>
      </c>
    </row>
    <row r="180" spans="1:24">
      <c r="A180">
        <v>223</v>
      </c>
      <c r="B180" s="12">
        <v>45760</v>
      </c>
      <c r="C180" t="s">
        <v>18</v>
      </c>
      <c r="D180" t="s">
        <v>55</v>
      </c>
      <c r="E180" t="s">
        <v>610</v>
      </c>
      <c r="F180" t="s">
        <v>226</v>
      </c>
      <c r="G180" s="3">
        <v>82.99</v>
      </c>
      <c r="H180" s="2">
        <f>G180*0.3</f>
        <v>24.896999999999998</v>
      </c>
      <c r="I180" s="8">
        <f>G180*0.15</f>
        <v>12.448499999999999</v>
      </c>
      <c r="J180" s="3">
        <f>G180+H180</f>
        <v>107.887</v>
      </c>
      <c r="K180" s="3">
        <f>J180*1.13</f>
        <v>121.91230999999999</v>
      </c>
      <c r="L180" s="25">
        <v>0</v>
      </c>
      <c r="M180" s="7" t="s">
        <v>606</v>
      </c>
      <c r="O180" s="3">
        <f>66+54</f>
        <v>120</v>
      </c>
      <c r="P180" s="3">
        <f>58.19+47.58</f>
        <v>105.77</v>
      </c>
      <c r="Q180" s="3">
        <f>P180-G180</f>
        <v>22.78</v>
      </c>
      <c r="R180" s="10">
        <f>Q180/O180</f>
        <v>0.18983333333333335</v>
      </c>
      <c r="S180" s="13">
        <v>45802</v>
      </c>
      <c r="T180" s="7">
        <f ca="1">IF(S180&lt;&gt;"",S180-B180,TODAY()-B180)</f>
        <v>42</v>
      </c>
      <c r="V180" s="3">
        <f>IF((G180+H180)&lt;15,(G180+H180+2.95), ((G180+H180)*1.2))</f>
        <v>129.46439999999998</v>
      </c>
      <c r="W180" s="3">
        <f>IF((G180+I180)&lt;15,(G180+I180+2.95), ((G180+I180)*1.2))</f>
        <v>114.52619999999999</v>
      </c>
    </row>
    <row r="181" spans="1:24">
      <c r="A181">
        <v>224</v>
      </c>
      <c r="B181" s="12">
        <v>45761</v>
      </c>
      <c r="C181" t="s">
        <v>18</v>
      </c>
      <c r="D181" t="s">
        <v>546</v>
      </c>
      <c r="E181" t="s">
        <v>542</v>
      </c>
      <c r="F181" t="s">
        <v>309</v>
      </c>
      <c r="G181" s="3">
        <v>66.58</v>
      </c>
      <c r="H181" s="2">
        <f>G181*0.3</f>
        <v>19.974</v>
      </c>
      <c r="I181" s="8">
        <f>G181*0.15</f>
        <v>9.9870000000000001</v>
      </c>
      <c r="J181" s="3">
        <f>G181+H181</f>
        <v>86.554000000000002</v>
      </c>
      <c r="K181" s="3">
        <f>J181*1.13</f>
        <v>97.80601999999999</v>
      </c>
      <c r="L181" s="25">
        <v>0</v>
      </c>
      <c r="O181" s="3">
        <v>120</v>
      </c>
      <c r="P181" s="3">
        <v>107.64</v>
      </c>
      <c r="Q181" s="3">
        <f>P181-G181</f>
        <v>41.06</v>
      </c>
      <c r="R181" s="10">
        <f>Q181/O181</f>
        <v>0.34216666666666667</v>
      </c>
      <c r="S181" s="13">
        <v>45791</v>
      </c>
      <c r="T181" s="7">
        <f ca="1">IF(S181&lt;&gt;"",S181-B181,TODAY()-B181)</f>
        <v>30</v>
      </c>
      <c r="V181" s="3">
        <f>IF((G181+H181)&lt;15,(G181+H181+2.95), ((G181+H181)*1.2))</f>
        <v>103.8648</v>
      </c>
      <c r="W181" s="3">
        <f>IF((G181+I181)&lt;15,(G181+I181+2.95), ((G181+I181)*1.2))</f>
        <v>91.880399999999995</v>
      </c>
    </row>
    <row r="182" spans="1:24">
      <c r="A182">
        <v>225</v>
      </c>
      <c r="B182" s="12">
        <v>45761</v>
      </c>
      <c r="C182" t="s">
        <v>18</v>
      </c>
      <c r="D182" t="s">
        <v>546</v>
      </c>
      <c r="E182" t="s">
        <v>543</v>
      </c>
      <c r="F182" t="s">
        <v>309</v>
      </c>
      <c r="G182" s="3">
        <v>92</v>
      </c>
      <c r="H182" s="2">
        <f>G182*0.3</f>
        <v>27.599999999999998</v>
      </c>
      <c r="I182" s="8">
        <f>G182*0.15</f>
        <v>13.799999999999999</v>
      </c>
      <c r="J182" s="3">
        <f>G182+H182</f>
        <v>119.6</v>
      </c>
      <c r="K182" s="3">
        <f>J182*1.13</f>
        <v>135.14799999999997</v>
      </c>
      <c r="L182" s="25">
        <v>0</v>
      </c>
      <c r="O182" s="3">
        <v>150</v>
      </c>
      <c r="P182" s="3">
        <v>133.01</v>
      </c>
      <c r="Q182" s="3">
        <f>P182-G182</f>
        <v>41.009999999999991</v>
      </c>
      <c r="R182" s="10">
        <f>Q182/O182</f>
        <v>0.27339999999999992</v>
      </c>
      <c r="S182" s="13">
        <v>45795</v>
      </c>
      <c r="T182" s="7">
        <f ca="1">IF(S182&lt;&gt;"",S182-B182,TODAY()-B182)</f>
        <v>34</v>
      </c>
      <c r="V182" s="3">
        <f>IF((G182+H182)&lt;15,(G182+H182+2.95), ((G182+H182)*1.2))</f>
        <v>143.51999999999998</v>
      </c>
      <c r="W182" s="3">
        <f>IF((G182+I182)&lt;15,(G182+I182+2.95), ((G182+I182)*1.2))</f>
        <v>126.96</v>
      </c>
    </row>
    <row r="183" spans="1:24">
      <c r="A183">
        <v>226</v>
      </c>
      <c r="B183" s="12">
        <v>45761</v>
      </c>
      <c r="C183" t="s">
        <v>18</v>
      </c>
      <c r="D183" t="s">
        <v>546</v>
      </c>
      <c r="E183" t="s">
        <v>544</v>
      </c>
      <c r="F183" t="s">
        <v>309</v>
      </c>
      <c r="G183" s="3">
        <v>42.57</v>
      </c>
      <c r="H183" s="3">
        <f>G183*0.4</f>
        <v>17.028000000000002</v>
      </c>
      <c r="I183" s="8">
        <f>G183*0.15</f>
        <v>6.3854999999999995</v>
      </c>
      <c r="J183" s="3">
        <f>G183+H183</f>
        <v>59.597999999999999</v>
      </c>
      <c r="K183" s="3">
        <f>J183*1.13</f>
        <v>67.345739999999992</v>
      </c>
      <c r="L183" s="25">
        <v>0</v>
      </c>
      <c r="O183" s="3">
        <v>69</v>
      </c>
      <c r="P183" s="3">
        <v>60.85</v>
      </c>
      <c r="Q183" s="3">
        <f>P183-G183</f>
        <v>18.28</v>
      </c>
      <c r="R183" s="10">
        <f>Q183/O183</f>
        <v>0.26492753623188409</v>
      </c>
      <c r="S183" s="13">
        <v>45833</v>
      </c>
      <c r="T183" s="7">
        <f ca="1">IF(S183&lt;&gt;"",S183-B183,TODAY()-B183)</f>
        <v>72</v>
      </c>
      <c r="V183" s="3">
        <f>IF((G183+H183)&lt;15,(G183+H183+2.95), ((G183+H183)*1.2))</f>
        <v>71.517600000000002</v>
      </c>
      <c r="W183" s="3">
        <f>IF((G183+I183)&lt;15,(G183+I183+2.95), ((G183+I183)*1.2))</f>
        <v>58.746600000000001</v>
      </c>
    </row>
    <row r="184" spans="1:24">
      <c r="A184">
        <v>227</v>
      </c>
      <c r="B184" s="12">
        <v>45761</v>
      </c>
      <c r="C184" t="s">
        <v>18</v>
      </c>
      <c r="D184" t="s">
        <v>546</v>
      </c>
      <c r="E184" t="s">
        <v>545</v>
      </c>
      <c r="F184" t="s">
        <v>472</v>
      </c>
      <c r="G184" s="3">
        <v>187.35</v>
      </c>
      <c r="H184" s="2">
        <f>G184*0.3</f>
        <v>56.204999999999998</v>
      </c>
      <c r="I184" s="8">
        <f>G184*0.15</f>
        <v>28.102499999999999</v>
      </c>
      <c r="J184" s="3">
        <f>G184+H184</f>
        <v>243.55500000000001</v>
      </c>
      <c r="K184" s="3">
        <f>J184*1.13</f>
        <v>275.21715</v>
      </c>
      <c r="L184" s="25">
        <v>0</v>
      </c>
      <c r="O184" s="3">
        <v>258.75</v>
      </c>
      <c r="P184" s="3">
        <v>229.4</v>
      </c>
      <c r="Q184" s="3">
        <f>P184-G184</f>
        <v>42.050000000000011</v>
      </c>
      <c r="R184" s="10">
        <f>Q184/O184</f>
        <v>0.16251207729468603</v>
      </c>
      <c r="S184" s="13">
        <v>45779</v>
      </c>
      <c r="T184" s="7">
        <f ca="1">IF(S184&lt;&gt;"",S184-B184,TODAY()-B184)</f>
        <v>18</v>
      </c>
      <c r="V184" s="3">
        <f>IF((G184+H184)&lt;15,(G184+H184+2.95), ((G184+H184)*1.2))</f>
        <v>292.26600000000002</v>
      </c>
      <c r="W184" s="3">
        <f>IF((G184+I184)&lt;15,(G184+I184+2.95), ((G184+I184)*1.2))</f>
        <v>258.54299999999995</v>
      </c>
    </row>
    <row r="185" spans="1:24">
      <c r="A185">
        <v>228</v>
      </c>
      <c r="B185" s="12">
        <v>45762</v>
      </c>
      <c r="C185" t="s">
        <v>18</v>
      </c>
      <c r="D185" t="s">
        <v>48</v>
      </c>
      <c r="E185" t="s">
        <v>548</v>
      </c>
      <c r="F185" t="s">
        <v>226</v>
      </c>
      <c r="G185" s="3">
        <v>121.11</v>
      </c>
      <c r="H185" s="2">
        <f>G185*0.3</f>
        <v>36.332999999999998</v>
      </c>
      <c r="I185" s="8">
        <f>G185*0.15</f>
        <v>18.166499999999999</v>
      </c>
      <c r="J185" s="3">
        <f>G185+H185</f>
        <v>157.44299999999998</v>
      </c>
      <c r="K185" s="3">
        <f>J185*1.13</f>
        <v>177.91058999999996</v>
      </c>
      <c r="L185" s="25">
        <v>0</v>
      </c>
      <c r="N185" s="3">
        <v>315</v>
      </c>
      <c r="O185" s="3">
        <v>279</v>
      </c>
      <c r="P185" s="3">
        <v>268.13</v>
      </c>
      <c r="Q185" s="3">
        <f>P185-G185</f>
        <v>147.01999999999998</v>
      </c>
      <c r="R185" s="10">
        <f>Q185/O185</f>
        <v>0.52695340501792109</v>
      </c>
      <c r="T185" s="7">
        <f ca="1">IF(S185&lt;&gt;"",S185-B185,TODAY()-B185)</f>
        <v>104</v>
      </c>
      <c r="V185" s="3">
        <f>IF((G185+H185)&lt;15,(G185+H185+2.95), ((G185+H185)*1.2))</f>
        <v>188.93159999999997</v>
      </c>
      <c r="W185" s="3">
        <f>IF((G185+I185)&lt;15,(G185+I185+2.95), ((G185+I185)*1.2))</f>
        <v>167.1318</v>
      </c>
    </row>
    <row r="186" spans="1:24" hidden="1">
      <c r="A186">
        <v>229</v>
      </c>
      <c r="B186" s="12">
        <v>45762</v>
      </c>
      <c r="C186" t="s">
        <v>18</v>
      </c>
      <c r="D186" t="s">
        <v>48</v>
      </c>
      <c r="E186" t="s">
        <v>549</v>
      </c>
      <c r="F186" t="s">
        <v>309</v>
      </c>
      <c r="G186" s="3">
        <v>95.83</v>
      </c>
      <c r="H186" s="3">
        <f>G186*0.4</f>
        <v>38.332000000000001</v>
      </c>
      <c r="I186" s="8">
        <f>G186*0.15</f>
        <v>14.374499999999999</v>
      </c>
      <c r="J186" s="3">
        <f>G186+H186</f>
        <v>134.16200000000001</v>
      </c>
      <c r="K186" s="3">
        <f>J186*1.13</f>
        <v>151.60306</v>
      </c>
      <c r="L186" s="25">
        <v>1</v>
      </c>
      <c r="M186" s="7" t="s">
        <v>611</v>
      </c>
      <c r="Q186" s="3">
        <f>P186-G186</f>
        <v>-95.83</v>
      </c>
      <c r="R186" s="10" t="e">
        <f>Q186/O186</f>
        <v>#DIV/0!</v>
      </c>
      <c r="T186" s="7">
        <f ca="1">IF(S186&lt;&gt;"",S186-B186,TODAY()-B186)</f>
        <v>104</v>
      </c>
      <c r="V186" s="3">
        <f>IF((G186+H186)&lt;15,(G186+H186+2.95), ((G186+H186)*1.2))</f>
        <v>160.99440000000001</v>
      </c>
      <c r="W186" s="3">
        <f>IF((G186+I186)&lt;15,(G186+I186+2.95), ((G186+I186)*1.2))</f>
        <v>132.24539999999999</v>
      </c>
    </row>
    <row r="187" spans="1:24">
      <c r="A187">
        <v>230</v>
      </c>
      <c r="B187" s="12">
        <v>45762</v>
      </c>
      <c r="C187" t="s">
        <v>18</v>
      </c>
      <c r="D187" t="s">
        <v>48</v>
      </c>
      <c r="E187" t="s">
        <v>550</v>
      </c>
      <c r="F187" t="s">
        <v>226</v>
      </c>
      <c r="G187" s="3">
        <v>110.81</v>
      </c>
      <c r="H187" s="2">
        <f>G187*0.3</f>
        <v>33.243000000000002</v>
      </c>
      <c r="I187" s="8">
        <f>G187*0.15</f>
        <v>16.621500000000001</v>
      </c>
      <c r="J187" s="3">
        <f>G187+H187</f>
        <v>144.053</v>
      </c>
      <c r="K187" s="3">
        <f>J187*1.13</f>
        <v>162.77988999999999</v>
      </c>
      <c r="L187" s="25">
        <v>0</v>
      </c>
      <c r="M187" s="7" t="s">
        <v>606</v>
      </c>
      <c r="O187" s="3">
        <v>175</v>
      </c>
      <c r="P187" s="3">
        <v>155.16999999999999</v>
      </c>
      <c r="Q187" s="3">
        <f>P187-G187</f>
        <v>44.359999999999985</v>
      </c>
      <c r="R187" s="10">
        <f>Q187/O187</f>
        <v>0.2534857142857142</v>
      </c>
      <c r="S187" s="13">
        <v>45833</v>
      </c>
      <c r="T187" s="7">
        <f ca="1">IF(S187&lt;&gt;"",S187-B187,TODAY()-B187)</f>
        <v>71</v>
      </c>
      <c r="V187" s="3">
        <f>IF((G187+H187)&lt;15,(G187+H187+2.95), ((G187+H187)*1.2))</f>
        <v>172.86359999999999</v>
      </c>
      <c r="W187" s="3">
        <f>IF((G187+I187)&lt;15,(G187+I187+2.95), ((G187+I187)*1.2))</f>
        <v>152.9178</v>
      </c>
    </row>
    <row r="188" spans="1:24" hidden="1">
      <c r="A188">
        <v>231</v>
      </c>
      <c r="B188" s="12">
        <v>45762</v>
      </c>
      <c r="C188" t="s">
        <v>18</v>
      </c>
      <c r="D188" t="s">
        <v>48</v>
      </c>
      <c r="E188" t="s">
        <v>551</v>
      </c>
      <c r="F188" t="s">
        <v>309</v>
      </c>
      <c r="G188" s="3">
        <v>104.92</v>
      </c>
      <c r="H188" s="3">
        <f>G188*0.4</f>
        <v>41.968000000000004</v>
      </c>
      <c r="I188" s="8">
        <f>G188*0.15</f>
        <v>15.738</v>
      </c>
      <c r="J188" s="3">
        <f>G188+H188</f>
        <v>146.88800000000001</v>
      </c>
      <c r="K188" s="3">
        <f>J188*1.13</f>
        <v>165.98344</v>
      </c>
      <c r="L188" s="25">
        <v>1</v>
      </c>
      <c r="Q188" s="3">
        <f>P188-G188</f>
        <v>-104.92</v>
      </c>
      <c r="R188" s="10" t="e">
        <f>Q188/O188</f>
        <v>#DIV/0!</v>
      </c>
      <c r="T188" s="7">
        <f ca="1">IF(S188&lt;&gt;"",S188-B188,TODAY()-B188)</f>
        <v>104</v>
      </c>
      <c r="V188" s="3">
        <f>IF((G188+H188)&lt;15,(G188+H188+2.95), ((G188+H188)*1.2))</f>
        <v>176.26560000000001</v>
      </c>
      <c r="W188" s="3">
        <f>IF((G188+I188)&lt;15,(G188+I188+2.95), ((G188+I188)*1.2))</f>
        <v>144.78960000000001</v>
      </c>
    </row>
    <row r="189" spans="1:24" hidden="1">
      <c r="A189">
        <v>232</v>
      </c>
      <c r="B189" s="12">
        <v>45762</v>
      </c>
      <c r="C189" t="s">
        <v>18</v>
      </c>
      <c r="D189" t="s">
        <v>48</v>
      </c>
      <c r="E189" t="s">
        <v>552</v>
      </c>
      <c r="F189" t="s">
        <v>309</v>
      </c>
      <c r="G189" s="3">
        <v>93.38</v>
      </c>
      <c r="H189" s="3">
        <f>G189*0.4</f>
        <v>37.351999999999997</v>
      </c>
      <c r="I189" s="8">
        <f>G189*0.15</f>
        <v>14.007</v>
      </c>
      <c r="J189" s="3">
        <f>G189+H189</f>
        <v>130.732</v>
      </c>
      <c r="K189" s="3">
        <f>J189*1.13</f>
        <v>147.72716</v>
      </c>
      <c r="L189" s="25">
        <v>1</v>
      </c>
      <c r="Q189" s="3">
        <f>P189-G189</f>
        <v>-93.38</v>
      </c>
      <c r="R189" s="10" t="e">
        <f>Q189/O189</f>
        <v>#DIV/0!</v>
      </c>
      <c r="T189" s="7">
        <f ca="1">IF(S189&lt;&gt;"",S189-B189,TODAY()-B189)</f>
        <v>104</v>
      </c>
      <c r="V189" s="3">
        <f>IF((G189+H189)&lt;15,(G189+H189+2.95), ((G189+H189)*1.2))</f>
        <v>156.8784</v>
      </c>
      <c r="W189" s="3">
        <f>IF((G189+I189)&lt;15,(G189+I189+2.95), ((G189+I189)*1.2))</f>
        <v>128.86439999999999</v>
      </c>
    </row>
    <row r="190" spans="1:24">
      <c r="A190">
        <v>234</v>
      </c>
      <c r="B190" s="12">
        <v>45762</v>
      </c>
      <c r="C190" t="s">
        <v>18</v>
      </c>
      <c r="D190" t="s">
        <v>48</v>
      </c>
      <c r="E190" t="s">
        <v>553</v>
      </c>
      <c r="F190" t="s">
        <v>294</v>
      </c>
      <c r="G190" s="3">
        <v>30.88</v>
      </c>
      <c r="H190" s="2">
        <f>G190*0.3</f>
        <v>9.2639999999999993</v>
      </c>
      <c r="I190" s="8">
        <f>G190*0.15</f>
        <v>4.6319999999999997</v>
      </c>
      <c r="J190" s="3">
        <f>G190+H190</f>
        <v>40.143999999999998</v>
      </c>
      <c r="K190" s="3">
        <f>J190*1.13</f>
        <v>45.362719999999996</v>
      </c>
      <c r="L190" s="25">
        <v>0</v>
      </c>
      <c r="N190" s="3">
        <v>0</v>
      </c>
      <c r="O190" s="3">
        <v>0</v>
      </c>
      <c r="P190" s="3">
        <v>0</v>
      </c>
      <c r="Q190" s="3">
        <v>0</v>
      </c>
      <c r="R190" s="10" t="e">
        <f>Q190/O190</f>
        <v>#DIV/0!</v>
      </c>
      <c r="T190" s="7">
        <f ca="1">IF(S190&lt;&gt;"",S190-B190,TODAY()-B190)</f>
        <v>104</v>
      </c>
      <c r="V190" s="3">
        <f>IF((G190+H190)&lt;15,(G190+H190+2.95), ((G190+H190)*1.2))</f>
        <v>48.172799999999995</v>
      </c>
      <c r="W190" s="3">
        <f>IF((G190+I190)&lt;15,(G190+I190+2.95), ((G190+I190)*1.2))</f>
        <v>42.614399999999996</v>
      </c>
      <c r="X190" t="s">
        <v>547</v>
      </c>
    </row>
    <row r="191" spans="1:24">
      <c r="A191">
        <v>235</v>
      </c>
      <c r="B191" s="12">
        <v>45762</v>
      </c>
      <c r="C191" t="s">
        <v>18</v>
      </c>
      <c r="D191" t="s">
        <v>48</v>
      </c>
      <c r="E191" t="s">
        <v>554</v>
      </c>
      <c r="F191" t="s">
        <v>309</v>
      </c>
      <c r="G191" s="3">
        <v>0.01</v>
      </c>
      <c r="H191" s="3">
        <f>G191*0.4</f>
        <v>4.0000000000000001E-3</v>
      </c>
      <c r="I191" s="8">
        <f>G191*0.15</f>
        <v>1.5E-3</v>
      </c>
      <c r="J191" s="3">
        <f>G191+H191</f>
        <v>1.4E-2</v>
      </c>
      <c r="K191" s="3">
        <f>J191*1.13</f>
        <v>1.5819999999999997E-2</v>
      </c>
      <c r="L191" s="25">
        <v>0</v>
      </c>
      <c r="M191" s="7" t="s">
        <v>606</v>
      </c>
      <c r="O191" s="3">
        <v>27</v>
      </c>
      <c r="P191" s="3">
        <v>23.5</v>
      </c>
      <c r="Q191" s="3">
        <f>P191-G191</f>
        <v>23.49</v>
      </c>
      <c r="R191" s="10">
        <f>Q191/O191</f>
        <v>0.87</v>
      </c>
      <c r="S191" s="13">
        <v>45859</v>
      </c>
      <c r="T191" s="7">
        <f ca="1">IF(S191&lt;&gt;"",S191-B191,TODAY()-B191)</f>
        <v>97</v>
      </c>
      <c r="V191" s="3">
        <f>IF((G191+H191)&lt;15,(G191+H191+2.95), ((G191+H191)*1.2))</f>
        <v>2.964</v>
      </c>
      <c r="W191" s="3">
        <f>IF((G191+I191)&lt;15,(G191+I191+2.95), ((G191+I191)*1.2))</f>
        <v>2.9615</v>
      </c>
    </row>
    <row r="192" spans="1:24">
      <c r="A192">
        <v>236</v>
      </c>
      <c r="B192" s="12">
        <v>45741</v>
      </c>
      <c r="C192" t="s">
        <v>557</v>
      </c>
      <c r="D192" t="s">
        <v>558</v>
      </c>
      <c r="E192" t="s">
        <v>555</v>
      </c>
      <c r="F192" t="s">
        <v>309</v>
      </c>
      <c r="G192" s="3">
        <v>145</v>
      </c>
      <c r="H192" s="2">
        <f>G192*0.3</f>
        <v>43.5</v>
      </c>
      <c r="I192" s="8">
        <f>G192*0.15</f>
        <v>21.75</v>
      </c>
      <c r="J192" s="3">
        <f>G192+H192</f>
        <v>188.5</v>
      </c>
      <c r="K192" s="3">
        <f>J192*1.13</f>
        <v>213.00499999999997</v>
      </c>
      <c r="L192" s="25">
        <v>0</v>
      </c>
      <c r="N192" s="3">
        <v>249</v>
      </c>
      <c r="O192" s="3">
        <v>199</v>
      </c>
      <c r="P192" s="3">
        <v>176.74</v>
      </c>
      <c r="Q192" s="3">
        <f>P192-G192</f>
        <v>31.740000000000009</v>
      </c>
      <c r="R192" s="10">
        <f>Q192/O192</f>
        <v>0.15949748743718598</v>
      </c>
      <c r="S192" s="13">
        <v>45766</v>
      </c>
      <c r="T192" s="7">
        <f ca="1">IF(S192&lt;&gt;"",S192-B192,TODAY()-B192)</f>
        <v>25</v>
      </c>
      <c r="V192" s="3">
        <f>IF((G192+H192)&lt;15,(G192+H192+2.95), ((G192+H192)*1.2))</f>
        <v>226.2</v>
      </c>
      <c r="W192" s="3">
        <f>IF((G192+I192)&lt;15,(G192+I192+2.95), ((G192+I192)*1.2))</f>
        <v>200.1</v>
      </c>
      <c r="X192" t="s">
        <v>556</v>
      </c>
    </row>
    <row r="193" spans="1:24" hidden="1">
      <c r="A193">
        <v>237</v>
      </c>
      <c r="B193" s="12">
        <v>45763</v>
      </c>
      <c r="C193" t="s">
        <v>18</v>
      </c>
      <c r="D193" t="s">
        <v>48</v>
      </c>
      <c r="E193" t="s">
        <v>559</v>
      </c>
      <c r="F193" t="s">
        <v>226</v>
      </c>
      <c r="G193" s="3">
        <v>120.88</v>
      </c>
      <c r="H193" s="3">
        <f>G193*0.4</f>
        <v>48.352000000000004</v>
      </c>
      <c r="I193" s="8">
        <f>G193*0.15</f>
        <v>18.131999999999998</v>
      </c>
      <c r="J193" s="3">
        <f>G193+H193</f>
        <v>169.232</v>
      </c>
      <c r="K193" s="3">
        <f>J193*1.13</f>
        <v>191.23215999999999</v>
      </c>
      <c r="L193" s="25">
        <v>1</v>
      </c>
      <c r="M193" s="7" t="s">
        <v>606</v>
      </c>
      <c r="Q193" s="3">
        <f>P193-G193</f>
        <v>-120.88</v>
      </c>
      <c r="R193" s="10" t="e">
        <f>Q193/O193</f>
        <v>#DIV/0!</v>
      </c>
      <c r="T193" s="7">
        <f ca="1">IF(S193&lt;&gt;"",S193-B193,TODAY()-B193)</f>
        <v>103</v>
      </c>
      <c r="V193" s="3">
        <f>IF((G193+H193)&lt;15,(G193+H193+2.95), ((G193+H193)*1.2))</f>
        <v>203.07839999999999</v>
      </c>
      <c r="W193" s="3">
        <f>IF((G193+I193)&lt;15,(G193+I193+2.95), ((G193+I193)*1.2))</f>
        <v>166.81440000000001</v>
      </c>
    </row>
    <row r="194" spans="1:24" hidden="1">
      <c r="A194">
        <v>238</v>
      </c>
      <c r="B194" s="12">
        <v>45763</v>
      </c>
      <c r="C194" t="s">
        <v>18</v>
      </c>
      <c r="D194" t="s">
        <v>48</v>
      </c>
      <c r="E194" t="s">
        <v>560</v>
      </c>
      <c r="F194" t="s">
        <v>472</v>
      </c>
      <c r="G194" s="3">
        <v>105.37</v>
      </c>
      <c r="H194" s="3">
        <f>G194*0.4</f>
        <v>42.148000000000003</v>
      </c>
      <c r="I194" s="8">
        <f>G194*0.15</f>
        <v>15.8055</v>
      </c>
      <c r="J194" s="3">
        <f>G194+H194</f>
        <v>147.518</v>
      </c>
      <c r="K194" s="3">
        <f>J194*1.13</f>
        <v>166.69533999999999</v>
      </c>
      <c r="L194" s="25">
        <v>1</v>
      </c>
      <c r="M194" s="7" t="s">
        <v>606</v>
      </c>
      <c r="Q194" s="3">
        <f>P194-G194</f>
        <v>-105.37</v>
      </c>
      <c r="R194" s="10" t="e">
        <f>Q194/O194</f>
        <v>#DIV/0!</v>
      </c>
      <c r="T194" s="7">
        <f ca="1">IF(S194&lt;&gt;"",S194-B194,TODAY()-B194)</f>
        <v>103</v>
      </c>
      <c r="V194" s="3">
        <f>IF((G194+H194)&lt;15,(G194+H194+2.95), ((G194+H194)*1.2))</f>
        <v>177.02160000000001</v>
      </c>
      <c r="W194" s="3">
        <f>IF((G194+I194)&lt;15,(G194+I194+2.95), ((G194+I194)*1.2))</f>
        <v>145.41059999999999</v>
      </c>
    </row>
    <row r="195" spans="1:24">
      <c r="A195">
        <v>239</v>
      </c>
      <c r="B195" s="12">
        <v>45763</v>
      </c>
      <c r="C195" t="s">
        <v>18</v>
      </c>
      <c r="D195" t="s">
        <v>48</v>
      </c>
      <c r="E195" t="s">
        <v>561</v>
      </c>
      <c r="F195" t="s">
        <v>472</v>
      </c>
      <c r="G195" s="3">
        <v>73.33</v>
      </c>
      <c r="H195" s="3">
        <f>G195*0.4</f>
        <v>29.332000000000001</v>
      </c>
      <c r="I195" s="8">
        <f>G195*0.15</f>
        <v>10.999499999999999</v>
      </c>
      <c r="J195" s="3">
        <f>G195+H195</f>
        <v>102.66200000000001</v>
      </c>
      <c r="K195" s="3">
        <f>J195*1.13</f>
        <v>116.00806</v>
      </c>
      <c r="L195" s="25">
        <v>0</v>
      </c>
      <c r="M195" s="7" t="s">
        <v>606</v>
      </c>
      <c r="O195" s="3">
        <v>145</v>
      </c>
      <c r="P195" s="3">
        <v>43.5</v>
      </c>
      <c r="Q195" s="3">
        <f>P195-G195</f>
        <v>-29.83</v>
      </c>
      <c r="R195" s="10">
        <f>Q195/O195</f>
        <v>-0.20572413793103447</v>
      </c>
      <c r="S195" s="13">
        <v>45778</v>
      </c>
      <c r="T195" s="7">
        <f ca="1">IF(S195&lt;&gt;"",S195-B195,TODAY()-B195)</f>
        <v>15</v>
      </c>
      <c r="V195" s="3">
        <f>IF((G195+H195)&lt;15,(G195+H195+2.95), ((G195+H195)*1.2))</f>
        <v>123.1944</v>
      </c>
      <c r="W195" s="3">
        <f>IF((G195+I195)&lt;15,(G195+I195+2.95), ((G195+I195)*1.2))</f>
        <v>101.19539999999999</v>
      </c>
    </row>
    <row r="196" spans="1:24">
      <c r="A196">
        <v>240</v>
      </c>
      <c r="B196" s="12">
        <v>45764</v>
      </c>
      <c r="C196" t="s">
        <v>18</v>
      </c>
      <c r="D196" t="s">
        <v>58</v>
      </c>
      <c r="E196" t="s">
        <v>562</v>
      </c>
      <c r="F196" t="s">
        <v>472</v>
      </c>
      <c r="G196" s="3">
        <v>96.06</v>
      </c>
      <c r="H196" s="2">
        <f>G196*0.3</f>
        <v>28.817999999999998</v>
      </c>
      <c r="I196" s="8">
        <f>G196*0.15</f>
        <v>14.408999999999999</v>
      </c>
      <c r="J196" s="3">
        <f>G196+H196</f>
        <v>124.878</v>
      </c>
      <c r="K196" s="3">
        <f>J196*1.13</f>
        <v>141.11213999999998</v>
      </c>
      <c r="L196" s="25">
        <v>0</v>
      </c>
      <c r="M196" s="7" t="s">
        <v>606</v>
      </c>
      <c r="N196" s="3">
        <v>150</v>
      </c>
      <c r="O196" s="3">
        <v>131.75</v>
      </c>
      <c r="P196" s="3">
        <v>116.66</v>
      </c>
      <c r="Q196" s="3">
        <f>P196-G196</f>
        <v>20.599999999999994</v>
      </c>
      <c r="R196" s="10">
        <f>Q196/O196</f>
        <v>0.15635673624288421</v>
      </c>
      <c r="S196" s="13">
        <v>45786</v>
      </c>
      <c r="T196" s="7">
        <f ca="1">IF(S196&lt;&gt;"",S196-B196,TODAY()-B196)</f>
        <v>22</v>
      </c>
      <c r="V196" s="3">
        <f>IF((G196+H196)&lt;15,(G196+H196+2.95), ((G196+H196)*1.2))</f>
        <v>149.8536</v>
      </c>
      <c r="W196" s="3">
        <f>IF((G196+I196)&lt;15,(G196+I196+2.95), ((G196+I196)*1.2))</f>
        <v>132.56279999999998</v>
      </c>
    </row>
    <row r="197" spans="1:24">
      <c r="A197">
        <v>241</v>
      </c>
      <c r="B197" s="12">
        <v>45764</v>
      </c>
      <c r="C197" t="s">
        <v>18</v>
      </c>
      <c r="D197" t="s">
        <v>48</v>
      </c>
      <c r="E197" t="s">
        <v>563</v>
      </c>
      <c r="F197" t="s">
        <v>472</v>
      </c>
      <c r="G197" s="3">
        <v>70.39</v>
      </c>
      <c r="H197" s="2">
        <f>G197*0.3</f>
        <v>21.117000000000001</v>
      </c>
      <c r="I197" s="8">
        <f>G197*0.15</f>
        <v>10.5585</v>
      </c>
      <c r="J197" s="3">
        <f>G197+H197</f>
        <v>91.507000000000005</v>
      </c>
      <c r="K197" s="3">
        <f>J197*1.13</f>
        <v>103.40290999999999</v>
      </c>
      <c r="L197" s="25">
        <v>0</v>
      </c>
      <c r="M197" s="7" t="s">
        <v>606</v>
      </c>
      <c r="O197" s="3">
        <v>130</v>
      </c>
      <c r="P197" s="3">
        <v>115.23</v>
      </c>
      <c r="Q197" s="3">
        <f>P197-G197</f>
        <v>44.84</v>
      </c>
      <c r="R197" s="10">
        <f>Q197/O197</f>
        <v>0.34492307692307694</v>
      </c>
      <c r="S197" s="13">
        <v>45802</v>
      </c>
      <c r="T197" s="7">
        <f ca="1">IF(S197&lt;&gt;"",S197-B197,TODAY()-B197)</f>
        <v>38</v>
      </c>
      <c r="V197" s="3">
        <f>IF((G197+H197)&lt;15,(G197+H197+2.95), ((G197+H197)*1.2))</f>
        <v>109.80840000000001</v>
      </c>
      <c r="W197" s="3">
        <f>IF((G197+I197)&lt;15,(G197+I197+2.95), ((G197+I197)*1.2))</f>
        <v>97.138199999999998</v>
      </c>
    </row>
    <row r="198" spans="1:24" hidden="1">
      <c r="A198">
        <v>242</v>
      </c>
      <c r="B198" s="12">
        <v>45764</v>
      </c>
      <c r="C198" t="s">
        <v>18</v>
      </c>
      <c r="D198" t="s">
        <v>132</v>
      </c>
      <c r="E198" s="15" t="s">
        <v>564</v>
      </c>
      <c r="F198" t="s">
        <v>226</v>
      </c>
      <c r="G198" s="3">
        <v>81.45</v>
      </c>
      <c r="H198" s="3">
        <f>G198*0.4</f>
        <v>32.580000000000005</v>
      </c>
      <c r="I198" s="8">
        <f>G198*0.15</f>
        <v>12.217499999999999</v>
      </c>
      <c r="J198" s="3">
        <f>G198+H198</f>
        <v>114.03</v>
      </c>
      <c r="K198" s="3">
        <f>J198*1.13</f>
        <v>128.85389999999998</v>
      </c>
      <c r="L198" s="25">
        <v>1</v>
      </c>
      <c r="M198" s="7" t="s">
        <v>606</v>
      </c>
      <c r="Q198" s="3">
        <f>P198-G198</f>
        <v>-81.45</v>
      </c>
      <c r="R198" s="10" t="e">
        <f>Q198/O198</f>
        <v>#DIV/0!</v>
      </c>
      <c r="T198" s="7">
        <f ca="1">IF(S198&lt;&gt;"",S198-B198,TODAY()-B198)</f>
        <v>102</v>
      </c>
      <c r="V198" s="3">
        <f>IF((G198+H198)&lt;15,(G198+H198+2.95), ((G198+H198)*1.2))</f>
        <v>136.83599999999998</v>
      </c>
      <c r="W198" s="3">
        <f>IF((G198+I198)&lt;15,(G198+I198+2.95), ((G198+I198)*1.2))</f>
        <v>112.401</v>
      </c>
    </row>
    <row r="199" spans="1:24">
      <c r="A199">
        <v>243</v>
      </c>
      <c r="B199" s="12">
        <v>45764</v>
      </c>
      <c r="C199" t="s">
        <v>18</v>
      </c>
      <c r="D199" t="s">
        <v>132</v>
      </c>
      <c r="E199" t="s">
        <v>694</v>
      </c>
      <c r="F199" t="s">
        <v>472</v>
      </c>
      <c r="G199" s="3">
        <v>331.5</v>
      </c>
      <c r="H199" s="2">
        <f>G199*0.3</f>
        <v>99.45</v>
      </c>
      <c r="I199" s="8">
        <f>G199*0.15</f>
        <v>49.725000000000001</v>
      </c>
      <c r="J199" s="3">
        <f>G199+H199</f>
        <v>430.95</v>
      </c>
      <c r="K199" s="3">
        <f>J199*1.13</f>
        <v>486.97349999999994</v>
      </c>
      <c r="L199" s="25">
        <v>0</v>
      </c>
      <c r="M199" s="7" t="s">
        <v>606</v>
      </c>
      <c r="O199" s="3">
        <v>466.65</v>
      </c>
      <c r="P199" s="3">
        <v>414.34</v>
      </c>
      <c r="Q199" s="3">
        <f>P199-G199</f>
        <v>82.839999999999975</v>
      </c>
      <c r="R199" s="10">
        <f>Q199/O199</f>
        <v>0.17752062573663341</v>
      </c>
      <c r="T199" s="7">
        <f ca="1">IF(S199&lt;&gt;"",S199-B199,TODAY()-B199)</f>
        <v>102</v>
      </c>
      <c r="V199" s="3">
        <f>IF((G199+H199)&lt;15,(G199+H199+2.95), ((G199+H199)*1.2))</f>
        <v>517.14</v>
      </c>
      <c r="W199" s="3">
        <f>IF((G199+I199)&lt;15,(G199+I199+2.95), ((G199+I199)*1.2))</f>
        <v>457.47</v>
      </c>
    </row>
    <row r="200" spans="1:24">
      <c r="A200">
        <v>244</v>
      </c>
      <c r="B200" s="12">
        <v>45764</v>
      </c>
      <c r="C200" t="s">
        <v>18</v>
      </c>
      <c r="D200" t="s">
        <v>19</v>
      </c>
      <c r="E200" s="34" t="s">
        <v>565</v>
      </c>
      <c r="F200" t="s">
        <v>472</v>
      </c>
      <c r="G200" s="3">
        <v>98.24</v>
      </c>
      <c r="H200" s="3">
        <f>G200*0.4</f>
        <v>39.295999999999999</v>
      </c>
      <c r="I200" s="8">
        <f>G200*0.15</f>
        <v>14.735999999999999</v>
      </c>
      <c r="J200" s="3">
        <f>G200+H200</f>
        <v>137.536</v>
      </c>
      <c r="K200" s="3">
        <f>J200*1.13</f>
        <v>155.41567999999998</v>
      </c>
      <c r="L200" s="25">
        <v>0</v>
      </c>
      <c r="M200" s="7" t="s">
        <v>606</v>
      </c>
      <c r="O200" s="3">
        <v>168.75</v>
      </c>
      <c r="P200" s="3">
        <v>75.94</v>
      </c>
      <c r="Q200" s="3">
        <f>P200-G200</f>
        <v>-22.299999999999997</v>
      </c>
      <c r="R200" s="10">
        <f>Q200/O200</f>
        <v>-0.13214814814814813</v>
      </c>
      <c r="S200" s="13">
        <v>45809</v>
      </c>
      <c r="T200" s="7">
        <f ca="1">IF(S200&lt;&gt;"",S200-B200,TODAY()-B200)</f>
        <v>45</v>
      </c>
      <c r="V200" s="3">
        <f>IF((G200+H200)&lt;15,(G200+H200+2.95), ((G200+H200)*1.2))</f>
        <v>165.04319999999998</v>
      </c>
      <c r="W200" s="3">
        <f>IF((G200+I200)&lt;15,(G200+I200+2.95), ((G200+I200)*1.2))</f>
        <v>135.5712</v>
      </c>
      <c r="X200" t="s">
        <v>845</v>
      </c>
    </row>
    <row r="201" spans="1:24" hidden="1">
      <c r="A201">
        <v>245</v>
      </c>
      <c r="B201" s="12">
        <v>45764</v>
      </c>
      <c r="C201" t="s">
        <v>18</v>
      </c>
      <c r="D201" t="s">
        <v>48</v>
      </c>
      <c r="E201" t="s">
        <v>566</v>
      </c>
      <c r="F201" t="s">
        <v>472</v>
      </c>
      <c r="G201" s="3">
        <v>124.15</v>
      </c>
      <c r="H201" s="3">
        <f>G201*0.4</f>
        <v>49.660000000000004</v>
      </c>
      <c r="I201" s="8">
        <f>G201*0.15</f>
        <v>18.622499999999999</v>
      </c>
      <c r="J201" s="3">
        <f>G201+H201</f>
        <v>173.81</v>
      </c>
      <c r="K201" s="3">
        <f>J201*1.13</f>
        <v>196.40529999999998</v>
      </c>
      <c r="L201" s="25">
        <v>1</v>
      </c>
      <c r="M201" s="7" t="s">
        <v>606</v>
      </c>
      <c r="Q201" s="3">
        <f>P201-G201</f>
        <v>-124.15</v>
      </c>
      <c r="R201" s="10" t="e">
        <f>Q201/O201</f>
        <v>#DIV/0!</v>
      </c>
      <c r="T201" s="7">
        <f ca="1">IF(S201&lt;&gt;"",S201-B201,TODAY()-B201)</f>
        <v>102</v>
      </c>
      <c r="V201" s="3">
        <f>IF((G201+H201)&lt;15,(G201+H201+2.95), ((G201+H201)*1.2))</f>
        <v>208.572</v>
      </c>
      <c r="W201" s="3">
        <f>IF((G201+I201)&lt;15,(G201+I201+2.95), ((G201+I201)*1.2))</f>
        <v>171.327</v>
      </c>
    </row>
    <row r="202" spans="1:24" hidden="1">
      <c r="A202">
        <v>246</v>
      </c>
      <c r="B202" s="12">
        <v>45765</v>
      </c>
      <c r="C202" t="s">
        <v>18</v>
      </c>
      <c r="D202" t="s">
        <v>132</v>
      </c>
      <c r="E202" t="s">
        <v>567</v>
      </c>
      <c r="F202" t="s">
        <v>46</v>
      </c>
      <c r="G202" s="3">
        <v>116.3</v>
      </c>
      <c r="H202" s="3">
        <f>G202*0.4</f>
        <v>46.52</v>
      </c>
      <c r="I202" s="8">
        <f>G202*0.15</f>
        <v>17.445</v>
      </c>
      <c r="J202" s="3">
        <f>G202+H202</f>
        <v>162.82</v>
      </c>
      <c r="K202" s="3">
        <f>J202*1.13</f>
        <v>183.98659999999998</v>
      </c>
      <c r="L202" s="25">
        <v>1</v>
      </c>
      <c r="Q202" s="3">
        <f>P202-G202</f>
        <v>-116.3</v>
      </c>
      <c r="R202" s="10" t="e">
        <f>Q202/O202</f>
        <v>#DIV/0!</v>
      </c>
      <c r="T202" s="7">
        <f ca="1">IF(S202&lt;&gt;"",S202-B202,TODAY()-B202)</f>
        <v>101</v>
      </c>
      <c r="V202" s="3">
        <f>IF((G202+H202)&lt;15,(G202+H202+2.95), ((G202+H202)*1.2))</f>
        <v>195.38399999999999</v>
      </c>
      <c r="W202" s="3">
        <f>IF((G202+I202)&lt;15,(G202+I202+2.95), ((G202+I202)*1.2))</f>
        <v>160.494</v>
      </c>
    </row>
    <row r="203" spans="1:24" hidden="1">
      <c r="A203">
        <v>247</v>
      </c>
      <c r="B203" s="12">
        <v>45765</v>
      </c>
      <c r="C203" t="s">
        <v>18</v>
      </c>
      <c r="D203" t="s">
        <v>132</v>
      </c>
      <c r="E203" t="s">
        <v>568</v>
      </c>
      <c r="F203" t="s">
        <v>46</v>
      </c>
      <c r="G203" s="3">
        <v>149.5</v>
      </c>
      <c r="H203" s="3">
        <f>G203*0.4</f>
        <v>59.800000000000004</v>
      </c>
      <c r="I203" s="8">
        <f>G203*0.15</f>
        <v>22.425000000000001</v>
      </c>
      <c r="J203" s="3">
        <f>G203+H203</f>
        <v>209.3</v>
      </c>
      <c r="K203" s="3">
        <f>J203*1.13</f>
        <v>236.50899999999999</v>
      </c>
      <c r="L203" s="25">
        <v>1</v>
      </c>
      <c r="Q203" s="3">
        <f>P203-G203</f>
        <v>-149.5</v>
      </c>
      <c r="R203" s="10" t="e">
        <f>Q203/O203</f>
        <v>#DIV/0!</v>
      </c>
      <c r="T203" s="7">
        <f ca="1">IF(S203&lt;&gt;"",S203-B203,TODAY()-B203)</f>
        <v>101</v>
      </c>
      <c r="V203" s="3">
        <f>IF((G203+H203)&lt;15,(G203+H203+2.95), ((G203+H203)*1.2))</f>
        <v>251.16</v>
      </c>
      <c r="W203" s="3">
        <f>IF((G203+I203)&lt;15,(G203+I203+2.95), ((G203+I203)*1.2))</f>
        <v>206.31</v>
      </c>
    </row>
    <row r="204" spans="1:24">
      <c r="A204">
        <v>248</v>
      </c>
      <c r="B204" s="12">
        <v>45765</v>
      </c>
      <c r="C204" t="s">
        <v>18</v>
      </c>
      <c r="D204" t="s">
        <v>19</v>
      </c>
      <c r="E204" t="s">
        <v>569</v>
      </c>
      <c r="F204" t="s">
        <v>254</v>
      </c>
      <c r="G204" s="3">
        <v>500</v>
      </c>
      <c r="H204" s="3">
        <f>G204*0.4</f>
        <v>200</v>
      </c>
      <c r="I204" s="8">
        <f>G204*0.15</f>
        <v>75</v>
      </c>
      <c r="J204" s="3">
        <f>G204+H204</f>
        <v>700</v>
      </c>
      <c r="K204" s="3">
        <f>J204*1.13</f>
        <v>790.99999999999989</v>
      </c>
      <c r="L204" s="25">
        <v>0</v>
      </c>
      <c r="O204" s="3">
        <v>769</v>
      </c>
      <c r="P204" s="3">
        <v>682.71</v>
      </c>
      <c r="Q204" s="3">
        <f>P204-G204</f>
        <v>182.71000000000004</v>
      </c>
      <c r="R204" s="10">
        <f>Q204/O204</f>
        <v>0.23759427828348509</v>
      </c>
      <c r="S204" s="13">
        <v>45835</v>
      </c>
      <c r="T204" s="7">
        <f ca="1">IF(S204&lt;&gt;"",S204-B204,TODAY()-B204)</f>
        <v>70</v>
      </c>
      <c r="V204" s="3">
        <f>IF((G204+H204)&lt;15,(G204+H204+2.95), ((G204+H204)*1.2))</f>
        <v>840</v>
      </c>
      <c r="W204" s="3">
        <f>IF((G204+I204)&lt;15,(G204+I204+2.95), ((G204+I204)*1.2))</f>
        <v>690</v>
      </c>
    </row>
    <row r="205" spans="1:24" hidden="1">
      <c r="A205">
        <v>249</v>
      </c>
      <c r="B205" s="12">
        <v>45766</v>
      </c>
      <c r="C205" t="s">
        <v>18</v>
      </c>
      <c r="D205" t="s">
        <v>533</v>
      </c>
      <c r="E205" t="s">
        <v>570</v>
      </c>
      <c r="G205" s="3">
        <v>17.920000000000002</v>
      </c>
      <c r="H205" s="2">
        <f>G205*0.3</f>
        <v>5.3760000000000003</v>
      </c>
      <c r="I205" s="8">
        <f>G205*0.15</f>
        <v>2.6880000000000002</v>
      </c>
      <c r="J205" s="3">
        <f>G205+H205</f>
        <v>23.296000000000003</v>
      </c>
      <c r="K205" s="3">
        <f>J205*1.13</f>
        <v>26.324480000000001</v>
      </c>
      <c r="L205" s="25">
        <v>0</v>
      </c>
      <c r="Q205" s="3">
        <f>P205-G205</f>
        <v>-17.920000000000002</v>
      </c>
      <c r="R205" s="10" t="e">
        <f>Q205/O205</f>
        <v>#DIV/0!</v>
      </c>
      <c r="T205" s="7">
        <f ca="1">IF(S205&lt;&gt;"",S205-B205,TODAY()-B205)</f>
        <v>100</v>
      </c>
      <c r="V205" s="3">
        <f>IF((G205+H205)&lt;15,(G205+H205+2.95), ((G205+H205)*1.2))</f>
        <v>27.955200000000001</v>
      </c>
      <c r="W205" s="3">
        <f>IF((G205+I205)&lt;15,(G205+I205+2.95), ((G205+I205)*1.2))</f>
        <v>24.729600000000001</v>
      </c>
    </row>
    <row r="206" spans="1:24" hidden="1">
      <c r="A206">
        <v>250</v>
      </c>
      <c r="B206" s="12">
        <v>45766</v>
      </c>
      <c r="C206" t="s">
        <v>18</v>
      </c>
      <c r="D206" t="s">
        <v>58</v>
      </c>
      <c r="E206" t="s">
        <v>590</v>
      </c>
      <c r="F206" t="s">
        <v>573</v>
      </c>
      <c r="G206" s="3">
        <v>246.34</v>
      </c>
      <c r="H206" s="3">
        <f>G206*0.4</f>
        <v>98.536000000000001</v>
      </c>
      <c r="I206" s="8">
        <f>G206*0.15</f>
        <v>36.951000000000001</v>
      </c>
      <c r="J206" s="3">
        <f>G206+H206</f>
        <v>344.87599999999998</v>
      </c>
      <c r="K206" s="3">
        <f>J206*1.13</f>
        <v>389.70987999999994</v>
      </c>
      <c r="L206" s="25">
        <v>1</v>
      </c>
      <c r="Q206" s="3">
        <f>P206-G206</f>
        <v>-246.34</v>
      </c>
      <c r="R206" s="10" t="e">
        <f>Q206/O206</f>
        <v>#DIV/0!</v>
      </c>
      <c r="T206" s="7">
        <f ca="1">IF(S206&lt;&gt;"",S206-B206,TODAY()-B206)</f>
        <v>100</v>
      </c>
      <c r="V206" s="3">
        <f>IF((G206+H206)&lt;15,(G206+H206+2.95), ((G206+H206)*1.2))</f>
        <v>413.85119999999995</v>
      </c>
      <c r="W206" s="3">
        <f>IF((G206+I206)&lt;15,(G206+I206+2.95), ((G206+I206)*1.2))</f>
        <v>339.94919999999996</v>
      </c>
      <c r="X206" t="s">
        <v>845</v>
      </c>
    </row>
    <row r="207" spans="1:24" hidden="1">
      <c r="A207">
        <v>251</v>
      </c>
      <c r="B207" s="12">
        <v>45766</v>
      </c>
      <c r="C207" t="s">
        <v>18</v>
      </c>
      <c r="D207" t="s">
        <v>58</v>
      </c>
      <c r="E207" t="s">
        <v>572</v>
      </c>
      <c r="F207" t="s">
        <v>226</v>
      </c>
      <c r="G207" s="3">
        <v>210.41</v>
      </c>
      <c r="H207" s="3">
        <f>G207*0.4</f>
        <v>84.164000000000001</v>
      </c>
      <c r="I207" s="8">
        <f>G207*0.15</f>
        <v>31.561499999999999</v>
      </c>
      <c r="J207" s="3">
        <f>G207+H207</f>
        <v>294.57400000000001</v>
      </c>
      <c r="K207" s="3">
        <f>J207*1.13</f>
        <v>332.86861999999996</v>
      </c>
      <c r="L207" s="25">
        <v>1</v>
      </c>
      <c r="Q207" s="3">
        <f>P207-G207</f>
        <v>-210.41</v>
      </c>
      <c r="R207" s="10" t="e">
        <f>Q207/O207</f>
        <v>#DIV/0!</v>
      </c>
      <c r="T207" s="7">
        <f ca="1">IF(S207&lt;&gt;"",S207-B207,TODAY()-B207)</f>
        <v>100</v>
      </c>
      <c r="V207" s="3">
        <f>IF((G207+H207)&lt;15,(G207+H207+2.95), ((G207+H207)*1.2))</f>
        <v>353.48880000000003</v>
      </c>
      <c r="W207" s="3">
        <f>IF((G207+I207)&lt;15,(G207+I207+2.95), ((G207+I207)*1.2))</f>
        <v>290.36579999999998</v>
      </c>
      <c r="X207" t="s">
        <v>845</v>
      </c>
    </row>
    <row r="208" spans="1:24" hidden="1">
      <c r="A208">
        <v>252</v>
      </c>
      <c r="B208" s="12">
        <v>45766</v>
      </c>
      <c r="C208" t="s">
        <v>18</v>
      </c>
      <c r="D208" t="s">
        <v>58</v>
      </c>
      <c r="E208" t="s">
        <v>571</v>
      </c>
      <c r="F208" t="s">
        <v>573</v>
      </c>
      <c r="G208" s="3">
        <v>152.69</v>
      </c>
      <c r="H208" s="3">
        <f>G208*0.4</f>
        <v>61.076000000000001</v>
      </c>
      <c r="I208" s="8">
        <f>G208*0.15</f>
        <v>22.903499999999998</v>
      </c>
      <c r="J208" s="3">
        <f>G208+H208</f>
        <v>213.76599999999999</v>
      </c>
      <c r="K208" s="3">
        <f>J208*1.13</f>
        <v>241.55557999999996</v>
      </c>
      <c r="L208" s="25">
        <v>1</v>
      </c>
      <c r="Q208" s="3">
        <f>P208-G208</f>
        <v>-152.69</v>
      </c>
      <c r="R208" s="10" t="e">
        <f>Q208/O208</f>
        <v>#DIV/0!</v>
      </c>
      <c r="T208" s="7">
        <f ca="1">IF(S208&lt;&gt;"",S208-B208,TODAY()-B208)</f>
        <v>100</v>
      </c>
      <c r="V208" s="3">
        <f>IF((G208+H208)&lt;15,(G208+H208+2.95), ((G208+H208)*1.2))</f>
        <v>256.51919999999996</v>
      </c>
      <c r="W208" s="3">
        <f>IF((G208+I208)&lt;15,(G208+I208+2.95), ((G208+I208)*1.2))</f>
        <v>210.7122</v>
      </c>
    </row>
    <row r="209" spans="1:24" hidden="1">
      <c r="A209">
        <v>253</v>
      </c>
      <c r="B209" s="12">
        <v>45766</v>
      </c>
      <c r="C209" t="s">
        <v>18</v>
      </c>
      <c r="D209" t="s">
        <v>58</v>
      </c>
      <c r="E209" t="s">
        <v>579</v>
      </c>
      <c r="F209" t="s">
        <v>226</v>
      </c>
      <c r="G209" s="3">
        <v>346.53</v>
      </c>
      <c r="H209" s="3">
        <f>G209*0.4</f>
        <v>138.61199999999999</v>
      </c>
      <c r="I209" s="8">
        <f>G209*0.15</f>
        <v>51.979499999999994</v>
      </c>
      <c r="J209" s="3">
        <f>G209+H209</f>
        <v>485.14199999999994</v>
      </c>
      <c r="K209" s="3">
        <f>J209*1.13</f>
        <v>548.2104599999999</v>
      </c>
      <c r="L209" s="25">
        <v>1</v>
      </c>
      <c r="Q209" s="3">
        <f>P209-G209</f>
        <v>-346.53</v>
      </c>
      <c r="R209" s="10" t="e">
        <f>Q209/O209</f>
        <v>#DIV/0!</v>
      </c>
      <c r="T209" s="7">
        <f ca="1">IF(S209&lt;&gt;"",S209-B209,TODAY()-B209)</f>
        <v>100</v>
      </c>
      <c r="V209" s="3">
        <f>IF((G209+H209)&lt;15,(G209+H209+2.95), ((G209+H209)*1.2))</f>
        <v>582.17039999999986</v>
      </c>
      <c r="W209" s="3">
        <f>IF((G209+I209)&lt;15,(G209+I209+2.95), ((G209+I209)*1.2))</f>
        <v>478.21139999999991</v>
      </c>
    </row>
    <row r="210" spans="1:24">
      <c r="A210">
        <v>254</v>
      </c>
      <c r="B210" s="12">
        <v>45766</v>
      </c>
      <c r="C210" t="s">
        <v>18</v>
      </c>
      <c r="D210" t="s">
        <v>58</v>
      </c>
      <c r="E210" t="s">
        <v>580</v>
      </c>
      <c r="F210" t="s">
        <v>309</v>
      </c>
      <c r="G210" s="3">
        <v>118.93</v>
      </c>
      <c r="H210" s="3">
        <f>G210*0.4</f>
        <v>47.572000000000003</v>
      </c>
      <c r="I210" s="8">
        <f>G210*0.15</f>
        <v>17.839500000000001</v>
      </c>
      <c r="J210" s="3">
        <f>G210+H210</f>
        <v>166.50200000000001</v>
      </c>
      <c r="K210" s="3">
        <f>J210*1.13</f>
        <v>188.14725999999999</v>
      </c>
      <c r="L210" s="25">
        <v>0</v>
      </c>
      <c r="O210" s="3">
        <v>188</v>
      </c>
      <c r="P210" s="3">
        <v>84.6</v>
      </c>
      <c r="Q210" s="3">
        <f>P210-G210</f>
        <v>-34.330000000000013</v>
      </c>
      <c r="R210" s="10">
        <f>Q210/O210</f>
        <v>-0.18260638297872347</v>
      </c>
      <c r="S210" s="13">
        <v>45809</v>
      </c>
      <c r="T210" s="7">
        <f ca="1">IF(S210&lt;&gt;"",S210-B210,TODAY()-B210)</f>
        <v>43</v>
      </c>
      <c r="V210" s="3">
        <f>IF((G210+H210)&lt;15,(G210+H210+2.95), ((G210+H210)*1.2))</f>
        <v>199.80240000000001</v>
      </c>
      <c r="W210" s="3">
        <f>IF((G210+I210)&lt;15,(G210+I210+2.95), ((G210+I210)*1.2))</f>
        <v>164.12339999999998</v>
      </c>
      <c r="X210" t="s">
        <v>845</v>
      </c>
    </row>
    <row r="211" spans="1:24">
      <c r="A211">
        <v>255</v>
      </c>
      <c r="B211" s="12">
        <v>45766</v>
      </c>
      <c r="C211" t="s">
        <v>18</v>
      </c>
      <c r="D211" t="s">
        <v>576</v>
      </c>
      <c r="E211" t="s">
        <v>574</v>
      </c>
      <c r="F211" t="s">
        <v>575</v>
      </c>
      <c r="G211" s="3">
        <v>114.12</v>
      </c>
      <c r="H211" s="3">
        <f>G211*0.4</f>
        <v>45.648000000000003</v>
      </c>
      <c r="I211" s="8">
        <f>G211*0.15</f>
        <v>17.117999999999999</v>
      </c>
      <c r="J211" s="3">
        <f>G211+H211</f>
        <v>159.768</v>
      </c>
      <c r="K211" s="3">
        <f>J211*1.13</f>
        <v>180.53783999999999</v>
      </c>
      <c r="L211" s="25">
        <v>0</v>
      </c>
      <c r="M211" s="7" t="s">
        <v>607</v>
      </c>
      <c r="O211" s="3">
        <v>67</v>
      </c>
      <c r="P211" s="3">
        <v>61.94</v>
      </c>
      <c r="Q211" s="3">
        <f>P211-G211</f>
        <v>-52.180000000000007</v>
      </c>
      <c r="R211" s="10">
        <f>Q211/O211</f>
        <v>-0.77880597014925379</v>
      </c>
      <c r="S211" s="13">
        <v>45842</v>
      </c>
      <c r="T211" s="7">
        <f ca="1">IF(S211&lt;&gt;"",S211-B211,TODAY()-B211)</f>
        <v>76</v>
      </c>
      <c r="V211" s="3">
        <f>IF((G211+H211)&lt;15,(G211+H211+2.95), ((G211+H211)*1.2))</f>
        <v>191.7216</v>
      </c>
      <c r="W211" s="3">
        <f>IF((G211+I211)&lt;15,(G211+I211+2.95), ((G211+I211)*1.2))</f>
        <v>157.48560000000001</v>
      </c>
    </row>
    <row r="212" spans="1:24" hidden="1">
      <c r="A212">
        <v>256</v>
      </c>
      <c r="B212" s="12">
        <v>45766</v>
      </c>
      <c r="C212" t="s">
        <v>18</v>
      </c>
      <c r="D212" t="s">
        <v>576</v>
      </c>
      <c r="E212" t="s">
        <v>577</v>
      </c>
      <c r="F212" t="s">
        <v>309</v>
      </c>
      <c r="G212" s="3">
        <v>549.29999999999995</v>
      </c>
      <c r="H212" s="3">
        <f>G212*0.4</f>
        <v>219.72</v>
      </c>
      <c r="I212" s="8">
        <f>G212*0.15</f>
        <v>82.394999999999996</v>
      </c>
      <c r="J212" s="3">
        <f>G212+H212</f>
        <v>769.02</v>
      </c>
      <c r="K212" s="3">
        <f>J212*1.13</f>
        <v>868.99259999999992</v>
      </c>
      <c r="L212" s="25">
        <v>1</v>
      </c>
      <c r="M212" s="7" t="s">
        <v>606</v>
      </c>
      <c r="Q212" s="3">
        <f>P212-G212</f>
        <v>-549.29999999999995</v>
      </c>
      <c r="R212" s="10" t="e">
        <f>Q212/O212</f>
        <v>#DIV/0!</v>
      </c>
      <c r="T212" s="7">
        <f ca="1">IF(S212&lt;&gt;"",S212-B212,TODAY()-B212)</f>
        <v>100</v>
      </c>
      <c r="V212" s="3">
        <f>IF((G212+H212)&lt;15,(G212+H212+2.95), ((G212+H212)*1.2))</f>
        <v>922.82399999999996</v>
      </c>
      <c r="W212" s="3">
        <f>IF((G212+I212)&lt;15,(G212+I212+2.95), ((G212+I212)*1.2))</f>
        <v>758.03399999999988</v>
      </c>
    </row>
    <row r="213" spans="1:24" hidden="1">
      <c r="A213">
        <v>257</v>
      </c>
      <c r="B213" s="12">
        <v>45767</v>
      </c>
      <c r="C213" t="s">
        <v>18</v>
      </c>
      <c r="D213" t="s">
        <v>576</v>
      </c>
      <c r="E213" t="s">
        <v>578</v>
      </c>
      <c r="F213" t="s">
        <v>309</v>
      </c>
      <c r="G213" s="3">
        <v>234.77</v>
      </c>
      <c r="H213" s="3">
        <f>G213*0.4</f>
        <v>93.908000000000015</v>
      </c>
      <c r="I213" s="8">
        <f>G213*0.15</f>
        <v>35.215499999999999</v>
      </c>
      <c r="J213" s="3">
        <f>G213+H213</f>
        <v>328.678</v>
      </c>
      <c r="K213" s="3">
        <f>J213*1.13</f>
        <v>371.40613999999994</v>
      </c>
      <c r="L213" s="25">
        <v>1</v>
      </c>
      <c r="M213" s="7" t="s">
        <v>606</v>
      </c>
      <c r="Q213" s="3">
        <f>P213-G213</f>
        <v>-234.77</v>
      </c>
      <c r="R213" s="10" t="e">
        <f>Q213/O213</f>
        <v>#DIV/0!</v>
      </c>
      <c r="T213" s="7">
        <f ca="1">IF(S213&lt;&gt;"",S213-B213,TODAY()-B213)</f>
        <v>99</v>
      </c>
      <c r="V213" s="3">
        <f>IF((G213+H213)&lt;15,(G213+H213+2.95), ((G213+H213)*1.2))</f>
        <v>394.41359999999997</v>
      </c>
      <c r="W213" s="3">
        <f>IF((G213+I213)&lt;15,(G213+I213+2.95), ((G213+I213)*1.2))</f>
        <v>323.98259999999999</v>
      </c>
    </row>
    <row r="214" spans="1:24">
      <c r="A214">
        <v>259</v>
      </c>
      <c r="B214" s="12">
        <v>45767</v>
      </c>
      <c r="C214" t="s">
        <v>18</v>
      </c>
      <c r="D214" t="s">
        <v>582</v>
      </c>
      <c r="E214" s="34" t="s">
        <v>583</v>
      </c>
      <c r="F214" t="s">
        <v>584</v>
      </c>
      <c r="G214" s="3">
        <v>65.650000000000006</v>
      </c>
      <c r="H214" s="3">
        <f>G214*0.4</f>
        <v>26.260000000000005</v>
      </c>
      <c r="I214" s="8">
        <f>G214*0.15</f>
        <v>9.8475000000000001</v>
      </c>
      <c r="J214" s="3">
        <f>G214+H214</f>
        <v>91.910000000000011</v>
      </c>
      <c r="K214" s="3">
        <f>J214*1.13</f>
        <v>103.8583</v>
      </c>
      <c r="L214" s="25">
        <v>0</v>
      </c>
      <c r="M214" s="7" t="s">
        <v>606</v>
      </c>
      <c r="O214" s="3">
        <v>115.5</v>
      </c>
      <c r="P214" s="3">
        <v>102.02</v>
      </c>
      <c r="Q214" s="3">
        <f>P214-G214</f>
        <v>36.36999999999999</v>
      </c>
      <c r="R214" s="10">
        <f>Q214/O214</f>
        <v>0.31489177489177483</v>
      </c>
      <c r="S214" s="13">
        <v>45859</v>
      </c>
      <c r="T214" s="7">
        <f ca="1">IF(S214&lt;&gt;"",S214-B214,TODAY()-B214)</f>
        <v>92</v>
      </c>
      <c r="V214" s="3">
        <f>IF((G214+H214)&lt;15,(G214+H214+2.95), ((G214+H214)*1.2))</f>
        <v>110.29200000000002</v>
      </c>
      <c r="W214" s="3">
        <f>IF((G214+I214)&lt;15,(G214+I214+2.95), ((G214+I214)*1.2))</f>
        <v>90.596999999999994</v>
      </c>
    </row>
    <row r="215" spans="1:24" hidden="1">
      <c r="A215">
        <v>260</v>
      </c>
      <c r="B215" s="12">
        <v>45767</v>
      </c>
      <c r="C215" t="s">
        <v>18</v>
      </c>
      <c r="D215" t="s">
        <v>582</v>
      </c>
      <c r="E215" t="s">
        <v>586</v>
      </c>
      <c r="F215" t="s">
        <v>575</v>
      </c>
      <c r="G215" s="3">
        <v>247.87</v>
      </c>
      <c r="H215" s="3">
        <f>G215*0.4</f>
        <v>99.14800000000001</v>
      </c>
      <c r="I215" s="8">
        <f>G215*0.15</f>
        <v>37.180500000000002</v>
      </c>
      <c r="J215" s="3">
        <f>G215+H215</f>
        <v>347.01800000000003</v>
      </c>
      <c r="K215" s="3">
        <f>J215*1.13</f>
        <v>392.13033999999999</v>
      </c>
      <c r="L215" s="25">
        <v>1</v>
      </c>
      <c r="M215" s="7" t="s">
        <v>606</v>
      </c>
      <c r="N215" s="3">
        <v>499</v>
      </c>
      <c r="Q215" s="3">
        <f>P215-G215</f>
        <v>-247.87</v>
      </c>
      <c r="R215" s="10" t="e">
        <f>Q215/O215</f>
        <v>#DIV/0!</v>
      </c>
      <c r="T215" s="7">
        <f ca="1">IF(S215&lt;&gt;"",S215-B215,TODAY()-B215)</f>
        <v>99</v>
      </c>
      <c r="V215" s="3">
        <f>IF((G215+H215)&lt;15,(G215+H215+2.95), ((G215+H215)*1.2))</f>
        <v>416.42160000000001</v>
      </c>
      <c r="W215" s="3">
        <f>IF((G215+I215)&lt;15,(G215+I215+2.95), ((G215+I215)*1.2))</f>
        <v>342.06059999999997</v>
      </c>
      <c r="X215" t="s">
        <v>585</v>
      </c>
    </row>
    <row r="216" spans="1:24">
      <c r="A216">
        <v>261</v>
      </c>
      <c r="B216" s="12">
        <v>45767</v>
      </c>
      <c r="C216" t="s">
        <v>18</v>
      </c>
      <c r="D216" t="s">
        <v>582</v>
      </c>
      <c r="E216" t="s">
        <v>587</v>
      </c>
      <c r="F216" t="s">
        <v>224</v>
      </c>
      <c r="G216" s="3">
        <v>307.43</v>
      </c>
      <c r="H216" s="2">
        <f>G216*0.3</f>
        <v>92.228999999999999</v>
      </c>
      <c r="I216" s="8">
        <f>G216*0.15</f>
        <v>46.1145</v>
      </c>
      <c r="J216" s="3">
        <f>G216+H216</f>
        <v>399.65899999999999</v>
      </c>
      <c r="K216" s="3">
        <f>J216*1.13</f>
        <v>451.61466999999993</v>
      </c>
      <c r="L216" s="25">
        <v>0</v>
      </c>
      <c r="M216" s="7" t="s">
        <v>606</v>
      </c>
      <c r="O216" s="3">
        <v>410</v>
      </c>
      <c r="P216" s="3">
        <v>363.58</v>
      </c>
      <c r="Q216" s="3">
        <f>P216-G216</f>
        <v>56.149999999999977</v>
      </c>
      <c r="R216" s="10">
        <f>Q216/O216</f>
        <v>0.13695121951219508</v>
      </c>
      <c r="S216" s="13">
        <v>45793</v>
      </c>
      <c r="T216" s="7">
        <f ca="1">IF(S216&lt;&gt;"",S216-B216,TODAY()-B216)</f>
        <v>26</v>
      </c>
      <c r="V216" s="3">
        <f>IF((G216+H216)&lt;15,(G216+H216+2.95), ((G216+H216)*1.2))</f>
        <v>479.59079999999994</v>
      </c>
      <c r="W216" s="3">
        <f>IF((G216+I216)&lt;15,(G216+I216+2.95), ((G216+I216)*1.2))</f>
        <v>424.2534</v>
      </c>
    </row>
    <row r="217" spans="1:24">
      <c r="A217">
        <v>262</v>
      </c>
      <c r="B217" s="12">
        <v>45767</v>
      </c>
      <c r="C217" t="s">
        <v>18</v>
      </c>
      <c r="D217" t="s">
        <v>588</v>
      </c>
      <c r="E217" t="s">
        <v>589</v>
      </c>
      <c r="F217" t="s">
        <v>309</v>
      </c>
      <c r="G217" s="3">
        <v>189.72</v>
      </c>
      <c r="H217" s="2">
        <f>G217*0.3</f>
        <v>56.915999999999997</v>
      </c>
      <c r="I217" s="8">
        <f>G217*0.15</f>
        <v>28.457999999999998</v>
      </c>
      <c r="J217" s="3">
        <f>G217+H217</f>
        <v>246.636</v>
      </c>
      <c r="K217" s="3">
        <f>J217*1.13</f>
        <v>278.69867999999997</v>
      </c>
      <c r="L217" s="25">
        <v>0</v>
      </c>
      <c r="O217" s="3">
        <v>340.71</v>
      </c>
      <c r="P217" s="3">
        <v>296.42</v>
      </c>
      <c r="Q217" s="3">
        <f>P217-G217</f>
        <v>106.70000000000002</v>
      </c>
      <c r="R217" s="10">
        <f>Q217/O217</f>
        <v>0.31316955768835675</v>
      </c>
      <c r="S217" s="13">
        <v>45780</v>
      </c>
      <c r="T217" s="7">
        <f ca="1">IF(S217&lt;&gt;"",S217-B217,TODAY()-B217)</f>
        <v>13</v>
      </c>
      <c r="V217" s="3">
        <f>IF((G217+H217)&lt;15,(G217+H217+2.95), ((G217+H217)*1.2))</f>
        <v>295.96319999999997</v>
      </c>
      <c r="W217" s="3">
        <f>IF((G217+I217)&lt;15,(G217+I217+2.95), ((G217+I217)*1.2))</f>
        <v>261.81360000000001</v>
      </c>
    </row>
    <row r="218" spans="1:24">
      <c r="A218">
        <v>263</v>
      </c>
      <c r="B218" s="12">
        <v>45750</v>
      </c>
      <c r="C218" t="s">
        <v>18</v>
      </c>
      <c r="D218" t="s">
        <v>19</v>
      </c>
      <c r="E218" t="s">
        <v>591</v>
      </c>
      <c r="F218" t="s">
        <v>224</v>
      </c>
      <c r="G218" s="3">
        <v>93.88</v>
      </c>
      <c r="H218" s="2">
        <f>G218*0.3</f>
        <v>28.163999999999998</v>
      </c>
      <c r="I218" s="8">
        <f>G218*0.15</f>
        <v>14.081999999999999</v>
      </c>
      <c r="J218" s="3">
        <f>G218+H218</f>
        <v>122.044</v>
      </c>
      <c r="K218" s="3">
        <f>J218*1.13</f>
        <v>137.90971999999999</v>
      </c>
      <c r="L218" s="25">
        <v>0</v>
      </c>
      <c r="M218" s="7" t="s">
        <v>606</v>
      </c>
      <c r="O218" s="3">
        <v>160</v>
      </c>
      <c r="P218" s="3">
        <v>140.69</v>
      </c>
      <c r="Q218" s="3">
        <f>P218-G218</f>
        <v>46.81</v>
      </c>
      <c r="R218" s="10">
        <f>Q218/O218</f>
        <v>0.2925625</v>
      </c>
      <c r="T218" s="7">
        <f ca="1">IF(S218&lt;&gt;"",S218-B218,TODAY()-B218)</f>
        <v>116</v>
      </c>
      <c r="V218" s="3">
        <f>IF((G218+H218)&lt;15,(G218+H218+2.95), ((G218+H218)*1.2))</f>
        <v>146.4528</v>
      </c>
      <c r="W218" s="3">
        <f>IF((G218+I218)&lt;15,(G218+I218+2.95), ((G218+I218)*1.2))</f>
        <v>129.55439999999999</v>
      </c>
    </row>
    <row r="219" spans="1:24">
      <c r="A219">
        <v>264</v>
      </c>
      <c r="B219" s="12">
        <v>45767</v>
      </c>
      <c r="C219" t="s">
        <v>18</v>
      </c>
      <c r="D219" t="s">
        <v>39</v>
      </c>
      <c r="E219" t="s">
        <v>592</v>
      </c>
      <c r="F219" t="s">
        <v>46</v>
      </c>
      <c r="G219" s="3">
        <v>26.94</v>
      </c>
      <c r="H219" s="2">
        <f>G219*0.3</f>
        <v>8.0820000000000007</v>
      </c>
      <c r="I219" s="8">
        <f>G219*0.15</f>
        <v>4.0410000000000004</v>
      </c>
      <c r="J219" s="3">
        <f>G219+H219</f>
        <v>35.022000000000006</v>
      </c>
      <c r="K219" s="3">
        <f>J219*1.13</f>
        <v>39.574860000000001</v>
      </c>
      <c r="L219" s="25">
        <v>0</v>
      </c>
      <c r="O219" s="3">
        <v>0</v>
      </c>
      <c r="P219" s="3">
        <v>0</v>
      </c>
      <c r="Q219" s="3">
        <f>P219-G219</f>
        <v>-26.94</v>
      </c>
      <c r="R219" s="10" t="e">
        <f>Q219/O219</f>
        <v>#DIV/0!</v>
      </c>
      <c r="S219" s="13">
        <v>45802</v>
      </c>
      <c r="T219" s="7">
        <f ca="1">IF(S219&lt;&gt;"",S219-B219,TODAY()-B219)</f>
        <v>35</v>
      </c>
      <c r="V219" s="3">
        <f>IF((G219+H219)&lt;15,(G219+H219+2.95), ((G219+H219)*1.2))</f>
        <v>42.026400000000002</v>
      </c>
      <c r="W219" s="3">
        <f>IF((G219+I219)&lt;15,(G219+I219+2.95), ((G219+I219)*1.2))</f>
        <v>37.177199999999999</v>
      </c>
      <c r="X219" t="s">
        <v>672</v>
      </c>
    </row>
    <row r="220" spans="1:24" hidden="1">
      <c r="A220">
        <v>265</v>
      </c>
      <c r="B220" s="12">
        <v>45767</v>
      </c>
      <c r="C220" t="s">
        <v>18</v>
      </c>
      <c r="D220" t="s">
        <v>39</v>
      </c>
      <c r="E220" t="s">
        <v>593</v>
      </c>
      <c r="F220" t="s">
        <v>46</v>
      </c>
      <c r="G220" s="3">
        <v>29.5</v>
      </c>
      <c r="H220" s="3">
        <f>G220*0.4</f>
        <v>11.8</v>
      </c>
      <c r="I220" s="8">
        <f>G220*0.15</f>
        <v>4.4249999999999998</v>
      </c>
      <c r="J220" s="3">
        <f>G220+H220</f>
        <v>41.3</v>
      </c>
      <c r="K220" s="3">
        <f>J220*1.13</f>
        <v>46.66899999999999</v>
      </c>
      <c r="L220" s="25">
        <v>1</v>
      </c>
      <c r="Q220" s="3">
        <f>P220-G220</f>
        <v>-29.5</v>
      </c>
      <c r="R220" s="10" t="e">
        <f>Q220/O220</f>
        <v>#DIV/0!</v>
      </c>
      <c r="T220" s="7">
        <f ca="1">IF(S220&lt;&gt;"",S220-B220,TODAY()-B220)</f>
        <v>99</v>
      </c>
      <c r="V220" s="3">
        <f>IF((G220+H220)&lt;15,(G220+H220+2.95), ((G220+H220)*1.2))</f>
        <v>49.559999999999995</v>
      </c>
      <c r="W220" s="3">
        <f>IF((G220+I220)&lt;15,(G220+I220+2.95), ((G220+I220)*1.2))</f>
        <v>40.709999999999994</v>
      </c>
    </row>
    <row r="221" spans="1:24" hidden="1">
      <c r="A221">
        <v>268</v>
      </c>
      <c r="B221" s="12">
        <v>45767</v>
      </c>
      <c r="C221" t="s">
        <v>18</v>
      </c>
      <c r="D221" t="s">
        <v>594</v>
      </c>
      <c r="E221" t="s">
        <v>595</v>
      </c>
      <c r="F221" t="s">
        <v>226</v>
      </c>
      <c r="G221" s="3">
        <v>456.52</v>
      </c>
      <c r="H221" s="3">
        <f>G221*0.4</f>
        <v>182.608</v>
      </c>
      <c r="I221" s="8">
        <f>G221*0.15</f>
        <v>68.477999999999994</v>
      </c>
      <c r="J221" s="3">
        <f>G221+H221</f>
        <v>639.12799999999993</v>
      </c>
      <c r="K221" s="3">
        <f>J221*1.13</f>
        <v>722.2146399999998</v>
      </c>
      <c r="L221" s="25">
        <v>1</v>
      </c>
      <c r="M221" s="7" t="s">
        <v>612</v>
      </c>
      <c r="Q221" s="3">
        <f>P221-G221</f>
        <v>-456.52</v>
      </c>
      <c r="R221" s="10" t="e">
        <f>Q221/O221</f>
        <v>#DIV/0!</v>
      </c>
      <c r="T221" s="7">
        <f ca="1">IF(S221&lt;&gt;"",S221-B221,TODAY()-B221)</f>
        <v>99</v>
      </c>
      <c r="V221" s="3">
        <f>IF((G221+H221)&lt;15,(G221+H221+2.95), ((G221+H221)*1.2))</f>
        <v>766.95359999999994</v>
      </c>
      <c r="W221" s="3">
        <f>IF((G221+I221)&lt;15,(G221+I221+2.95), ((G221+I221)*1.2))</f>
        <v>629.99759999999992</v>
      </c>
    </row>
    <row r="222" spans="1:24" hidden="1">
      <c r="A222">
        <v>269</v>
      </c>
      <c r="B222" s="12">
        <v>45769</v>
      </c>
      <c r="C222" t="s">
        <v>18</v>
      </c>
      <c r="D222" t="s">
        <v>48</v>
      </c>
      <c r="E222" t="s">
        <v>596</v>
      </c>
      <c r="F222" t="s">
        <v>597</v>
      </c>
      <c r="G222" s="3">
        <v>57.95</v>
      </c>
      <c r="H222" s="2">
        <f>G222*0.3</f>
        <v>17.385000000000002</v>
      </c>
      <c r="I222" s="8">
        <f>G222*0.15</f>
        <v>8.6925000000000008</v>
      </c>
      <c r="J222" s="3">
        <f>G222+H222</f>
        <v>75.335000000000008</v>
      </c>
      <c r="K222" s="3">
        <f>J222*1.13</f>
        <v>85.128550000000004</v>
      </c>
      <c r="L222" s="25">
        <v>0</v>
      </c>
      <c r="Q222" s="3">
        <f>P222-G222</f>
        <v>-57.95</v>
      </c>
      <c r="R222" s="10" t="e">
        <f>Q222/O222</f>
        <v>#DIV/0!</v>
      </c>
      <c r="T222" s="7">
        <f ca="1">IF(S222&lt;&gt;"",S222-B222,TODAY()-B222)</f>
        <v>97</v>
      </c>
      <c r="V222" s="3">
        <f>IF((G222+H222)&lt;15,(G222+H222+2.95), ((G222+H222)*1.2))</f>
        <v>90.402000000000001</v>
      </c>
      <c r="W222" s="3">
        <f>IF((G222+I222)&lt;15,(G222+I222+2.95), ((G222+I222)*1.2))</f>
        <v>79.970999999999989</v>
      </c>
    </row>
    <row r="223" spans="1:24" hidden="1">
      <c r="A223">
        <v>270</v>
      </c>
      <c r="B223" s="12">
        <v>45769</v>
      </c>
      <c r="C223" t="s">
        <v>18</v>
      </c>
      <c r="D223" t="s">
        <v>58</v>
      </c>
      <c r="E223" t="s">
        <v>598</v>
      </c>
      <c r="F223" t="s">
        <v>573</v>
      </c>
      <c r="G223" s="3">
        <v>113.49</v>
      </c>
      <c r="H223" s="3">
        <f>G223*0.4</f>
        <v>45.396000000000001</v>
      </c>
      <c r="I223" s="8">
        <f>G223*0.15</f>
        <v>17.023499999999999</v>
      </c>
      <c r="J223" s="3">
        <f>G223+H223</f>
        <v>158.886</v>
      </c>
      <c r="K223" s="3">
        <f>J223*1.13</f>
        <v>179.54117999999997</v>
      </c>
      <c r="L223" s="25">
        <v>1</v>
      </c>
      <c r="Q223" s="3">
        <f>P223-G223</f>
        <v>-113.49</v>
      </c>
      <c r="R223" s="10" t="e">
        <f>Q223/O223</f>
        <v>#DIV/0!</v>
      </c>
      <c r="T223" s="7">
        <f ca="1">IF(S223&lt;&gt;"",S223-B223,TODAY()-B223)</f>
        <v>97</v>
      </c>
      <c r="V223" s="3">
        <f>IF((G223+H223)&lt;15,(G223+H223+2.95), ((G223+H223)*1.2))</f>
        <v>190.66319999999999</v>
      </c>
      <c r="W223" s="3">
        <f>IF((G223+I223)&lt;15,(G223+I223+2.95), ((G223+I223)*1.2))</f>
        <v>156.61619999999999</v>
      </c>
      <c r="X223" t="s">
        <v>845</v>
      </c>
    </row>
    <row r="224" spans="1:24" hidden="1">
      <c r="A224">
        <v>271</v>
      </c>
      <c r="B224" s="12">
        <v>45770</v>
      </c>
      <c r="C224" t="s">
        <v>18</v>
      </c>
      <c r="D224" t="s">
        <v>48</v>
      </c>
      <c r="E224" t="s">
        <v>599</v>
      </c>
      <c r="F224" t="s">
        <v>226</v>
      </c>
      <c r="G224" s="3">
        <v>58.81</v>
      </c>
      <c r="H224" s="2">
        <f>G224*0.3</f>
        <v>17.643000000000001</v>
      </c>
      <c r="I224" s="8">
        <f>G224*0.15</f>
        <v>8.8215000000000003</v>
      </c>
      <c r="J224" s="3">
        <f>G224+H224</f>
        <v>76.453000000000003</v>
      </c>
      <c r="K224" s="3">
        <f>J224*1.13</f>
        <v>86.391889999999989</v>
      </c>
      <c r="L224" s="25">
        <v>0</v>
      </c>
      <c r="Q224" s="3">
        <f>P224-G224</f>
        <v>-58.81</v>
      </c>
      <c r="R224" s="10" t="e">
        <f>Q224/O224</f>
        <v>#DIV/0!</v>
      </c>
      <c r="T224" s="7">
        <f ca="1">IF(S224&lt;&gt;"",S224-B224,TODAY()-B224)</f>
        <v>96</v>
      </c>
      <c r="V224" s="3">
        <f>IF((G224+H224)&lt;15,(G224+H224+2.95), ((G224+H224)*1.2))</f>
        <v>91.743600000000001</v>
      </c>
      <c r="W224" s="3">
        <f>IF((G224+I224)&lt;15,(G224+I224+2.95), ((G224+I224)*1.2))</f>
        <v>81.157799999999995</v>
      </c>
    </row>
    <row r="225" spans="1:24" hidden="1">
      <c r="A225">
        <v>272</v>
      </c>
      <c r="B225" s="12">
        <v>45771</v>
      </c>
      <c r="C225" t="s">
        <v>18</v>
      </c>
      <c r="D225" t="s">
        <v>48</v>
      </c>
      <c r="E225" t="s">
        <v>600</v>
      </c>
      <c r="F225" t="s">
        <v>226</v>
      </c>
      <c r="G225" s="3">
        <v>164.67</v>
      </c>
      <c r="H225" s="3">
        <f>G225*0.4</f>
        <v>65.867999999999995</v>
      </c>
      <c r="I225" s="8">
        <f>G225*0.15</f>
        <v>24.700499999999998</v>
      </c>
      <c r="J225" s="3">
        <f>G225+H225</f>
        <v>230.53799999999998</v>
      </c>
      <c r="K225" s="3">
        <f>J225*1.13</f>
        <v>260.50793999999996</v>
      </c>
      <c r="L225" s="25">
        <v>1</v>
      </c>
      <c r="Q225" s="3">
        <f>P225-G225</f>
        <v>-164.67</v>
      </c>
      <c r="R225" s="10" t="e">
        <f>Q225/O225</f>
        <v>#DIV/0!</v>
      </c>
      <c r="T225" s="7">
        <f ca="1">IF(S225&lt;&gt;"",S225-B225,TODAY()-B225)</f>
        <v>95</v>
      </c>
      <c r="V225" s="3">
        <f>IF((G225+H225)&lt;15,(G225+H225+2.95), ((G225+H225)*1.2))</f>
        <v>276.64559999999994</v>
      </c>
      <c r="W225" s="3">
        <f>IF((G225+I225)&lt;15,(G225+I225+2.95), ((G225+I225)*1.2))</f>
        <v>227.24459999999999</v>
      </c>
    </row>
    <row r="226" spans="1:24" hidden="1">
      <c r="A226">
        <v>273</v>
      </c>
      <c r="B226" s="12">
        <v>45771</v>
      </c>
      <c r="C226" t="s">
        <v>18</v>
      </c>
      <c r="D226" t="s">
        <v>48</v>
      </c>
      <c r="E226" t="s">
        <v>601</v>
      </c>
      <c r="F226" t="s">
        <v>309</v>
      </c>
      <c r="G226" s="3">
        <v>125.24</v>
      </c>
      <c r="H226" s="3">
        <f>G226*0.4</f>
        <v>50.096000000000004</v>
      </c>
      <c r="I226" s="8">
        <f>G226*0.15</f>
        <v>18.785999999999998</v>
      </c>
      <c r="J226" s="3">
        <f>G226+H226</f>
        <v>175.33600000000001</v>
      </c>
      <c r="K226" s="3">
        <f>J226*1.13</f>
        <v>198.12968000000001</v>
      </c>
      <c r="L226" s="25">
        <v>1</v>
      </c>
      <c r="Q226" s="3">
        <f>P226-G226</f>
        <v>-125.24</v>
      </c>
      <c r="R226" s="10" t="e">
        <f>Q226/O226</f>
        <v>#DIV/0!</v>
      </c>
      <c r="T226" s="7">
        <f ca="1">IF(S226&lt;&gt;"",S226-B226,TODAY()-B226)</f>
        <v>95</v>
      </c>
      <c r="V226" s="3">
        <f>IF((G226+H226)&lt;15,(G226+H226+2.95), ((G226+H226)*1.2))</f>
        <v>210.4032</v>
      </c>
      <c r="W226" s="3">
        <f>IF((G226+I226)&lt;15,(G226+I226+2.95), ((G226+I226)*1.2))</f>
        <v>172.83119999999997</v>
      </c>
    </row>
    <row r="227" spans="1:24" hidden="1">
      <c r="A227">
        <v>274</v>
      </c>
      <c r="B227" s="12">
        <v>45771</v>
      </c>
      <c r="C227" t="s">
        <v>18</v>
      </c>
      <c r="D227" t="s">
        <v>48</v>
      </c>
      <c r="E227" t="s">
        <v>602</v>
      </c>
      <c r="F227" t="s">
        <v>309</v>
      </c>
      <c r="G227" s="3">
        <v>79.5</v>
      </c>
      <c r="H227" s="3">
        <f>G227*0.4</f>
        <v>31.8</v>
      </c>
      <c r="I227" s="8">
        <f>G227*0.15</f>
        <v>11.924999999999999</v>
      </c>
      <c r="J227" s="3">
        <f>G227+H227</f>
        <v>111.3</v>
      </c>
      <c r="K227" s="3">
        <f>J227*1.13</f>
        <v>125.76899999999999</v>
      </c>
      <c r="L227" s="25">
        <v>1</v>
      </c>
      <c r="Q227" s="3">
        <f>P227-G227</f>
        <v>-79.5</v>
      </c>
      <c r="R227" s="10" t="e">
        <f>Q227/O227</f>
        <v>#DIV/0!</v>
      </c>
      <c r="T227" s="7">
        <f ca="1">IF(S227&lt;&gt;"",S227-B227,TODAY()-B227)</f>
        <v>95</v>
      </c>
      <c r="V227" s="3">
        <f>IF((G227+H227)&lt;15,(G227+H227+2.95), ((G227+H227)*1.2))</f>
        <v>133.56</v>
      </c>
      <c r="W227" s="3">
        <f>IF((G227+I227)&lt;15,(G227+I227+2.95), ((G227+I227)*1.2))</f>
        <v>109.71</v>
      </c>
    </row>
    <row r="228" spans="1:24" hidden="1">
      <c r="A228">
        <v>275</v>
      </c>
      <c r="B228" s="12">
        <v>45773</v>
      </c>
      <c r="C228" t="s">
        <v>18</v>
      </c>
      <c r="D228" t="s">
        <v>58</v>
      </c>
      <c r="E228" t="s">
        <v>603</v>
      </c>
      <c r="F228" t="s">
        <v>309</v>
      </c>
      <c r="G228" s="3">
        <v>249.61</v>
      </c>
      <c r="H228" s="3">
        <f>G228*0.4</f>
        <v>99.844000000000008</v>
      </c>
      <c r="I228" s="8">
        <f>G228*0.15</f>
        <v>37.441499999999998</v>
      </c>
      <c r="J228" s="3">
        <f>G228+H228</f>
        <v>349.45400000000001</v>
      </c>
      <c r="K228" s="3">
        <f>J228*1.13</f>
        <v>394.88301999999999</v>
      </c>
      <c r="L228" s="25">
        <v>1</v>
      </c>
      <c r="Q228" s="3">
        <f>P228-G228</f>
        <v>-249.61</v>
      </c>
      <c r="R228" s="10" t="e">
        <f>Q228/O228</f>
        <v>#DIV/0!</v>
      </c>
      <c r="T228" s="7">
        <f ca="1">IF(S228&lt;&gt;"",S228-B228,TODAY()-B228)</f>
        <v>93</v>
      </c>
      <c r="V228" s="3">
        <f>IF((G228+H228)&lt;15,(G228+H228+2.95), ((G228+H228)*1.2))</f>
        <v>419.34480000000002</v>
      </c>
      <c r="W228" s="3">
        <f>IF((G228+I228)&lt;15,(G228+I228+2.95), ((G228+I228)*1.2))</f>
        <v>344.46180000000004</v>
      </c>
    </row>
    <row r="229" spans="1:24" hidden="1">
      <c r="A229">
        <v>276</v>
      </c>
      <c r="B229" s="12">
        <v>45773</v>
      </c>
      <c r="C229" t="s">
        <v>18</v>
      </c>
      <c r="D229" t="s">
        <v>58</v>
      </c>
      <c r="E229" t="s">
        <v>604</v>
      </c>
      <c r="F229" t="s">
        <v>224</v>
      </c>
      <c r="G229" s="3">
        <v>282.27999999999997</v>
      </c>
      <c r="H229" s="3">
        <f>G229*0.4</f>
        <v>112.91199999999999</v>
      </c>
      <c r="I229" s="8">
        <f>G229*0.15</f>
        <v>42.341999999999992</v>
      </c>
      <c r="J229" s="3">
        <f>G229+H229</f>
        <v>395.19199999999995</v>
      </c>
      <c r="K229" s="3">
        <f>J229*1.13</f>
        <v>446.56695999999988</v>
      </c>
      <c r="L229" s="25">
        <v>1</v>
      </c>
      <c r="Q229" s="3">
        <f>P229-G229</f>
        <v>-282.27999999999997</v>
      </c>
      <c r="R229" s="10" t="e">
        <f>Q229/O229</f>
        <v>#DIV/0!</v>
      </c>
      <c r="T229" s="7">
        <f ca="1">IF(S229&lt;&gt;"",S229-B229,TODAY()-B229)</f>
        <v>93</v>
      </c>
      <c r="V229" s="3">
        <f>IF((G229+H229)&lt;15,(G229+H229+2.95), ((G229+H229)*1.2))</f>
        <v>474.23039999999992</v>
      </c>
      <c r="W229" s="3">
        <f>IF((G229+I229)&lt;15,(G229+I229+2.95), ((G229+I229)*1.2))</f>
        <v>389.54639999999995</v>
      </c>
    </row>
    <row r="230" spans="1:24">
      <c r="A230">
        <v>277</v>
      </c>
      <c r="B230" s="12">
        <v>45773</v>
      </c>
      <c r="C230" t="s">
        <v>18</v>
      </c>
      <c r="D230" t="s">
        <v>613</v>
      </c>
      <c r="E230" t="s">
        <v>614</v>
      </c>
      <c r="F230" t="s">
        <v>224</v>
      </c>
      <c r="G230" s="3">
        <f>203.54/2</f>
        <v>101.77</v>
      </c>
      <c r="H230" s="2">
        <f>G230*0.3</f>
        <v>30.530999999999999</v>
      </c>
      <c r="I230" s="8">
        <f>G230*0.15</f>
        <v>15.265499999999999</v>
      </c>
      <c r="J230" s="3">
        <f>G230+H230</f>
        <v>132.30099999999999</v>
      </c>
      <c r="K230" s="3">
        <f>J230*1.13</f>
        <v>149.50012999999998</v>
      </c>
      <c r="L230" s="25">
        <v>0</v>
      </c>
      <c r="O230" s="3">
        <v>191.25</v>
      </c>
      <c r="P230" s="3">
        <v>169.49</v>
      </c>
      <c r="Q230" s="3">
        <f>P230-G230</f>
        <v>67.720000000000013</v>
      </c>
      <c r="R230" s="10">
        <f>Q230/O230</f>
        <v>0.35409150326797395</v>
      </c>
      <c r="S230" s="13">
        <v>45795</v>
      </c>
      <c r="T230" s="7">
        <f ca="1">IF(S230&lt;&gt;"",S230-B230,TODAY()-B230)</f>
        <v>22</v>
      </c>
      <c r="V230" s="3">
        <f>IF((G230+H230)&lt;15,(G230+H230+2.95), ((G230+H230)*1.2))</f>
        <v>158.76119999999997</v>
      </c>
      <c r="W230" s="3">
        <f>IF((G230+I230)&lt;15,(G230+I230+2.95), ((G230+I230)*1.2))</f>
        <v>140.4426</v>
      </c>
    </row>
    <row r="231" spans="1:24" hidden="1">
      <c r="A231">
        <v>278</v>
      </c>
      <c r="B231" s="12">
        <v>45773</v>
      </c>
      <c r="C231" t="s">
        <v>18</v>
      </c>
      <c r="D231" t="s">
        <v>613</v>
      </c>
      <c r="E231" t="s">
        <v>615</v>
      </c>
      <c r="F231" t="s">
        <v>224</v>
      </c>
      <c r="G231" s="3">
        <f>203.54/2</f>
        <v>101.77</v>
      </c>
      <c r="H231" s="3">
        <f>G231*0.4</f>
        <v>40.707999999999998</v>
      </c>
      <c r="I231" s="8">
        <f>G231*0.15</f>
        <v>15.265499999999999</v>
      </c>
      <c r="J231" s="3">
        <f>G231+H231</f>
        <v>142.47800000000001</v>
      </c>
      <c r="K231" s="3">
        <f>J231*1.13</f>
        <v>161.00013999999999</v>
      </c>
      <c r="L231" s="25">
        <v>1</v>
      </c>
      <c r="Q231" s="3">
        <f>P231-G231</f>
        <v>-101.77</v>
      </c>
      <c r="R231" s="10" t="e">
        <f>Q231/O231</f>
        <v>#DIV/0!</v>
      </c>
      <c r="T231" s="7">
        <f ca="1">IF(S231&lt;&gt;"",S231-B231,TODAY()-B231)</f>
        <v>93</v>
      </c>
      <c r="V231" s="3">
        <f>IF((G231+H231)&lt;15,(G231+H231+2.95), ((G231+H231)*1.2))</f>
        <v>170.9736</v>
      </c>
      <c r="W231" s="3">
        <f>IF((G231+I231)&lt;15,(G231+I231+2.95), ((G231+I231)*1.2))</f>
        <v>140.4426</v>
      </c>
    </row>
    <row r="232" spans="1:24">
      <c r="A232">
        <v>279</v>
      </c>
      <c r="B232" s="12">
        <v>45773</v>
      </c>
      <c r="C232" t="s">
        <v>18</v>
      </c>
      <c r="D232" t="s">
        <v>613</v>
      </c>
      <c r="E232" t="s">
        <v>616</v>
      </c>
      <c r="F232" t="s">
        <v>226</v>
      </c>
      <c r="G232" s="3">
        <v>149.53</v>
      </c>
      <c r="H232" s="2">
        <f>G232*0.3</f>
        <v>44.859000000000002</v>
      </c>
      <c r="I232" s="8">
        <f>G232*0.15</f>
        <v>22.429500000000001</v>
      </c>
      <c r="J232" s="3">
        <f>G232+H232</f>
        <v>194.38900000000001</v>
      </c>
      <c r="K232" s="3">
        <f>J232*1.13</f>
        <v>219.65957</v>
      </c>
      <c r="L232" s="25">
        <v>0</v>
      </c>
      <c r="O232" s="3">
        <v>250</v>
      </c>
      <c r="P232" s="3">
        <v>222.11</v>
      </c>
      <c r="Q232" s="3">
        <f>P232-G232</f>
        <v>72.580000000000013</v>
      </c>
      <c r="R232" s="10">
        <f>Q232/O232</f>
        <v>0.29032000000000002</v>
      </c>
      <c r="S232" s="13">
        <v>45798</v>
      </c>
      <c r="T232" s="7">
        <f ca="1">IF(S232&lt;&gt;"",S232-B232,TODAY()-B232)</f>
        <v>25</v>
      </c>
      <c r="V232" s="3">
        <f>IF((G232+H232)&lt;15,(G232+H232+2.95), ((G232+H232)*1.2))</f>
        <v>233.26679999999999</v>
      </c>
      <c r="W232" s="3">
        <f>IF((G232+I232)&lt;15,(G232+I232+2.95), ((G232+I232)*1.2))</f>
        <v>206.35139999999998</v>
      </c>
    </row>
    <row r="233" spans="1:24">
      <c r="A233">
        <v>280</v>
      </c>
      <c r="B233" s="12">
        <v>45773</v>
      </c>
      <c r="C233" t="s">
        <v>18</v>
      </c>
      <c r="D233" t="s">
        <v>613</v>
      </c>
      <c r="E233" t="s">
        <v>617</v>
      </c>
      <c r="F233" t="s">
        <v>309</v>
      </c>
      <c r="G233" s="3">
        <f>219.34/2</f>
        <v>109.67</v>
      </c>
      <c r="H233" s="3">
        <f>G233*0.4</f>
        <v>43.868000000000002</v>
      </c>
      <c r="I233" s="8">
        <f>G233*0.15</f>
        <v>16.450499999999998</v>
      </c>
      <c r="J233" s="3">
        <f>G233+H233</f>
        <v>153.53800000000001</v>
      </c>
      <c r="K233" s="3">
        <f>J233*1.13</f>
        <v>173.49794</v>
      </c>
      <c r="L233" s="25">
        <v>0</v>
      </c>
      <c r="O233" s="3">
        <v>120</v>
      </c>
      <c r="P233" s="3">
        <v>106.27</v>
      </c>
      <c r="Q233" s="3">
        <f>P233-G233</f>
        <v>-3.4000000000000057</v>
      </c>
      <c r="R233" s="10">
        <f>Q233/O233</f>
        <v>-2.833333333333338E-2</v>
      </c>
      <c r="S233" s="13">
        <v>45861</v>
      </c>
      <c r="T233" s="7">
        <f ca="1">IF(S233&lt;&gt;"",S233-B233,TODAY()-B233)</f>
        <v>88</v>
      </c>
      <c r="V233" s="3">
        <f>IF((G233+H233)&lt;15,(G233+H233+2.95), ((G233+H233)*1.2))</f>
        <v>184.2456</v>
      </c>
      <c r="W233" s="3">
        <f>IF((G233+I233)&lt;15,(G233+I233+2.95), ((G233+I233)*1.2))</f>
        <v>151.34459999999999</v>
      </c>
    </row>
    <row r="234" spans="1:24">
      <c r="A234">
        <v>281</v>
      </c>
      <c r="B234" s="12">
        <v>45773</v>
      </c>
      <c r="C234" t="s">
        <v>18</v>
      </c>
      <c r="D234" t="s">
        <v>613</v>
      </c>
      <c r="E234" t="s">
        <v>618</v>
      </c>
      <c r="F234" t="s">
        <v>309</v>
      </c>
      <c r="G234" s="3">
        <f>219.34/2</f>
        <v>109.67</v>
      </c>
      <c r="H234" s="2">
        <f>G234*0.3</f>
        <v>32.900999999999996</v>
      </c>
      <c r="I234" s="8">
        <f>G234*0.15</f>
        <v>16.450499999999998</v>
      </c>
      <c r="J234" s="3">
        <f>G234+H234</f>
        <v>142.571</v>
      </c>
      <c r="K234" s="3">
        <f>J234*1.13</f>
        <v>161.10522999999998</v>
      </c>
      <c r="L234" s="25">
        <v>0</v>
      </c>
      <c r="O234" s="3">
        <v>199</v>
      </c>
      <c r="P234" s="3">
        <v>176.7</v>
      </c>
      <c r="Q234" s="3">
        <f>P234-G234</f>
        <v>67.029999999999987</v>
      </c>
      <c r="R234" s="10">
        <f>Q234/O234</f>
        <v>0.33683417085427131</v>
      </c>
      <c r="S234" s="13">
        <v>45798</v>
      </c>
      <c r="T234" s="7">
        <f ca="1">IF(S234&lt;&gt;"",S234-B234,TODAY()-B234)</f>
        <v>25</v>
      </c>
      <c r="V234" s="3">
        <f>IF((G234+H234)&lt;15,(G234+H234+2.95), ((G234+H234)*1.2))</f>
        <v>171.08519999999999</v>
      </c>
      <c r="W234" s="3">
        <f>IF((G234+I234)&lt;15,(G234+I234+2.95), ((G234+I234)*1.2))</f>
        <v>151.34459999999999</v>
      </c>
    </row>
    <row r="235" spans="1:24">
      <c r="A235">
        <v>282</v>
      </c>
      <c r="B235" s="12">
        <v>45773</v>
      </c>
      <c r="C235" t="s">
        <v>18</v>
      </c>
      <c r="D235" t="s">
        <v>613</v>
      </c>
      <c r="E235" t="s">
        <v>619</v>
      </c>
      <c r="F235" t="s">
        <v>309</v>
      </c>
      <c r="G235" s="3">
        <v>81.2</v>
      </c>
      <c r="H235" s="2">
        <f>G235*0.3</f>
        <v>24.36</v>
      </c>
      <c r="I235" s="8">
        <f>G235*0.15</f>
        <v>12.18</v>
      </c>
      <c r="J235" s="3">
        <f>G235+H235</f>
        <v>105.56</v>
      </c>
      <c r="K235" s="3">
        <f>J235*1.13</f>
        <v>119.28279999999999</v>
      </c>
      <c r="L235" s="25">
        <v>0</v>
      </c>
      <c r="O235" s="3">
        <v>149.25</v>
      </c>
      <c r="P235" s="3">
        <v>132.4</v>
      </c>
      <c r="Q235" s="3">
        <f>P235-G235</f>
        <v>51.2</v>
      </c>
      <c r="R235" s="10">
        <f>Q235/O235</f>
        <v>0.34304857621440538</v>
      </c>
      <c r="S235" s="13">
        <v>45779</v>
      </c>
      <c r="T235" s="7">
        <f ca="1">IF(S235&lt;&gt;"",S235-B235,TODAY()-B235)</f>
        <v>6</v>
      </c>
      <c r="V235" s="3">
        <f>IF((G235+H235)&lt;15,(G235+H235+2.95), ((G235+H235)*1.2))</f>
        <v>126.672</v>
      </c>
      <c r="W235" s="3">
        <f>IF((G235+I235)&lt;15,(G235+I235+2.95), ((G235+I235)*1.2))</f>
        <v>112.056</v>
      </c>
    </row>
    <row r="236" spans="1:24" hidden="1">
      <c r="A236">
        <v>283</v>
      </c>
      <c r="B236" s="12">
        <v>45773</v>
      </c>
      <c r="C236" t="s">
        <v>18</v>
      </c>
      <c r="D236" t="s">
        <v>613</v>
      </c>
      <c r="E236" t="s">
        <v>620</v>
      </c>
      <c r="F236" t="s">
        <v>309</v>
      </c>
      <c r="G236" s="3">
        <v>66.209999999999994</v>
      </c>
      <c r="H236" s="2">
        <f>G236*0.3</f>
        <v>19.862999999999996</v>
      </c>
      <c r="I236" s="8">
        <f>G236*0.15</f>
        <v>9.931499999999998</v>
      </c>
      <c r="J236" s="3">
        <f>G236+H236</f>
        <v>86.072999999999993</v>
      </c>
      <c r="K236" s="3">
        <f>J236*1.13</f>
        <v>97.262489999999985</v>
      </c>
      <c r="L236" s="25">
        <v>0</v>
      </c>
      <c r="M236" s="7" t="s">
        <v>621</v>
      </c>
      <c r="Q236" s="3">
        <f>P236-G236</f>
        <v>-66.209999999999994</v>
      </c>
      <c r="R236" s="10" t="e">
        <f>Q236/O236</f>
        <v>#DIV/0!</v>
      </c>
      <c r="T236" s="7">
        <f ca="1">IF(S236&lt;&gt;"",S236-B236,TODAY()-B236)</f>
        <v>93</v>
      </c>
      <c r="V236" s="3">
        <f>IF((G236+H236)&lt;15,(G236+H236+2.95), ((G236+H236)*1.2))</f>
        <v>103.28759999999998</v>
      </c>
      <c r="W236" s="3">
        <f>IF((G236+I236)&lt;15,(G236+I236+2.95), ((G236+I236)*1.2))</f>
        <v>91.369799999999984</v>
      </c>
    </row>
    <row r="237" spans="1:24" hidden="1">
      <c r="A237">
        <v>284</v>
      </c>
      <c r="B237" s="12">
        <v>45773</v>
      </c>
      <c r="C237" t="s">
        <v>18</v>
      </c>
      <c r="D237" t="s">
        <v>533</v>
      </c>
      <c r="E237" t="s">
        <v>622</v>
      </c>
      <c r="F237" t="s">
        <v>224</v>
      </c>
      <c r="G237" s="3">
        <v>59.12</v>
      </c>
      <c r="H237" s="2">
        <f>G237*0.3</f>
        <v>17.735999999999997</v>
      </c>
      <c r="I237" s="8">
        <f>G237*0.15</f>
        <v>8.8679999999999986</v>
      </c>
      <c r="J237" s="3">
        <f>G237+H237</f>
        <v>76.855999999999995</v>
      </c>
      <c r="K237" s="3">
        <f>J237*1.13</f>
        <v>86.847279999999984</v>
      </c>
      <c r="L237" s="25">
        <v>0</v>
      </c>
      <c r="Q237" s="3">
        <f>P237-G237</f>
        <v>-59.12</v>
      </c>
      <c r="R237" s="10" t="e">
        <f>Q237/O237</f>
        <v>#DIV/0!</v>
      </c>
      <c r="T237" s="7">
        <f ca="1">IF(S237&lt;&gt;"",S237-B237,TODAY()-B237)</f>
        <v>93</v>
      </c>
      <c r="V237" s="3">
        <f>IF((G237+H237)&lt;15,(G237+H237+2.95), ((G237+H237)*1.2))</f>
        <v>92.227199999999996</v>
      </c>
      <c r="W237" s="3">
        <f>IF((G237+I237)&lt;15,(G237+I237+2.95), ((G237+I237)*1.2))</f>
        <v>81.585599999999999</v>
      </c>
      <c r="X237" t="s">
        <v>672</v>
      </c>
    </row>
    <row r="238" spans="1:24">
      <c r="A238">
        <v>285</v>
      </c>
      <c r="B238" s="12">
        <v>45773</v>
      </c>
      <c r="C238" t="s">
        <v>18</v>
      </c>
      <c r="D238" t="s">
        <v>533</v>
      </c>
      <c r="E238" t="s">
        <v>623</v>
      </c>
      <c r="F238" t="s">
        <v>224</v>
      </c>
      <c r="G238" s="3">
        <v>182.53</v>
      </c>
      <c r="H238" s="2">
        <f>G238*0.3</f>
        <v>54.759</v>
      </c>
      <c r="I238" s="8">
        <f>G238*0.15</f>
        <v>27.3795</v>
      </c>
      <c r="J238" s="3">
        <f>G238+H238</f>
        <v>237.28899999999999</v>
      </c>
      <c r="K238" s="3">
        <f>J238*1.13</f>
        <v>268.13656999999995</v>
      </c>
      <c r="L238" s="25">
        <v>0</v>
      </c>
      <c r="M238" s="7" t="s">
        <v>606</v>
      </c>
      <c r="N238" s="3">
        <v>349</v>
      </c>
      <c r="O238" s="3">
        <v>296</v>
      </c>
      <c r="P238" s="3">
        <v>236.8</v>
      </c>
      <c r="Q238" s="3">
        <f>P238-G238</f>
        <v>54.27000000000001</v>
      </c>
      <c r="R238" s="10">
        <f>Q238/O238</f>
        <v>0.18334459459459462</v>
      </c>
      <c r="S238" s="13">
        <v>45791</v>
      </c>
      <c r="T238" s="7">
        <f ca="1">IF(S238&lt;&gt;"",S238-B238,TODAY()-B238)</f>
        <v>18</v>
      </c>
      <c r="V238" s="3">
        <f>IF((G238+H238)&lt;15,(G238+H238+2.95), ((G238+H238)*1.2))</f>
        <v>284.74679999999995</v>
      </c>
      <c r="W238" s="3">
        <f>IF((G238+I238)&lt;15,(G238+I238+2.95), ((G238+I238)*1.2))</f>
        <v>251.8914</v>
      </c>
    </row>
    <row r="239" spans="1:24">
      <c r="A239">
        <v>286</v>
      </c>
      <c r="B239" s="12">
        <v>45773</v>
      </c>
      <c r="C239" t="s">
        <v>18</v>
      </c>
      <c r="D239" t="s">
        <v>439</v>
      </c>
      <c r="E239" t="s">
        <v>627</v>
      </c>
      <c r="F239" t="s">
        <v>226</v>
      </c>
      <c r="G239" s="3">
        <v>111.65</v>
      </c>
      <c r="H239" s="3">
        <f>G239*0.4</f>
        <v>44.660000000000004</v>
      </c>
      <c r="I239" s="8">
        <f>G239*0.15</f>
        <v>16.747499999999999</v>
      </c>
      <c r="J239" s="3">
        <f>G239+H239</f>
        <v>156.31</v>
      </c>
      <c r="K239" s="3">
        <f>J239*1.13</f>
        <v>176.63029999999998</v>
      </c>
      <c r="L239" s="25">
        <v>0</v>
      </c>
      <c r="O239" s="3">
        <v>234</v>
      </c>
      <c r="P239" s="3">
        <v>207.52</v>
      </c>
      <c r="Q239" s="3">
        <f>P239-G239</f>
        <v>95.87</v>
      </c>
      <c r="R239" s="10">
        <f>Q239/O239</f>
        <v>0.40970085470085471</v>
      </c>
      <c r="S239" s="13">
        <v>45837</v>
      </c>
      <c r="T239" s="7">
        <f ca="1">IF(S239&lt;&gt;"",S239-B239,TODAY()-B239)</f>
        <v>64</v>
      </c>
      <c r="V239" s="3">
        <f>IF((G239+H239)&lt;15,(G239+H239+2.95), ((G239+H239)*1.2))</f>
        <v>187.572</v>
      </c>
      <c r="W239" s="3">
        <f>IF((G239+I239)&lt;15,(G239+I239+2.95), ((G239+I239)*1.2))</f>
        <v>154.077</v>
      </c>
    </row>
    <row r="240" spans="1:24" hidden="1">
      <c r="A240">
        <v>287</v>
      </c>
      <c r="B240" s="12">
        <v>45773</v>
      </c>
      <c r="C240" t="s">
        <v>18</v>
      </c>
      <c r="D240" t="s">
        <v>439</v>
      </c>
      <c r="E240" t="s">
        <v>628</v>
      </c>
      <c r="F240" t="s">
        <v>226</v>
      </c>
      <c r="G240" s="3">
        <v>225.09</v>
      </c>
      <c r="H240" s="3">
        <f>G240*0.4</f>
        <v>90.036000000000001</v>
      </c>
      <c r="I240" s="8">
        <f>G240*0.15</f>
        <v>33.763500000000001</v>
      </c>
      <c r="J240" s="3">
        <f>G240+H240</f>
        <v>315.12599999999998</v>
      </c>
      <c r="K240" s="3">
        <f>J240*1.13</f>
        <v>356.09237999999993</v>
      </c>
      <c r="L240" s="25">
        <v>1</v>
      </c>
      <c r="Q240" s="3">
        <f>P240-G240</f>
        <v>-225.09</v>
      </c>
      <c r="R240" s="10" t="e">
        <f>Q240/O240</f>
        <v>#DIV/0!</v>
      </c>
      <c r="T240" s="7">
        <f ca="1">IF(S240&lt;&gt;"",S240-B240,TODAY()-B240)</f>
        <v>93</v>
      </c>
      <c r="V240" s="3">
        <f>IF((G240+H240)&lt;15,(G240+H240+2.95), ((G240+H240)*1.2))</f>
        <v>378.15119999999996</v>
      </c>
      <c r="W240" s="3">
        <f>IF((G240+I240)&lt;15,(G240+I240+2.95), ((G240+I240)*1.2))</f>
        <v>310.62419999999997</v>
      </c>
    </row>
    <row r="241" spans="1:24">
      <c r="A241">
        <v>288</v>
      </c>
      <c r="B241" s="12">
        <v>45773</v>
      </c>
      <c r="C241" t="s">
        <v>18</v>
      </c>
      <c r="D241" t="s">
        <v>439</v>
      </c>
      <c r="E241" t="s">
        <v>629</v>
      </c>
      <c r="F241" t="s">
        <v>309</v>
      </c>
      <c r="G241" s="3">
        <v>178.6</v>
      </c>
      <c r="H241" s="3">
        <f>G241*0.4</f>
        <v>71.44</v>
      </c>
      <c r="I241" s="8">
        <f>G241*0.15</f>
        <v>26.79</v>
      </c>
      <c r="J241" s="3">
        <f>G241+H241</f>
        <v>250.04</v>
      </c>
      <c r="K241" s="3">
        <f>J241*1.13</f>
        <v>282.54519999999997</v>
      </c>
      <c r="L241" s="25">
        <v>0</v>
      </c>
      <c r="O241" s="3">
        <v>311.5</v>
      </c>
      <c r="P241" s="3">
        <v>190.02</v>
      </c>
      <c r="Q241" s="3">
        <f>P241-G241</f>
        <v>11.420000000000016</v>
      </c>
      <c r="R241" s="10">
        <f>Q241/O241</f>
        <v>3.6661316211878063E-2</v>
      </c>
      <c r="S241" s="13">
        <v>45839</v>
      </c>
      <c r="T241" s="7">
        <f ca="1">IF(S241&lt;&gt;"",S241-B241,TODAY()-B241)</f>
        <v>66</v>
      </c>
      <c r="V241" s="3">
        <f>IF((G241+H241)&lt;15,(G241+H241+2.95), ((G241+H241)*1.2))</f>
        <v>300.048</v>
      </c>
      <c r="W241" s="3">
        <f>IF((G241+I241)&lt;15,(G241+I241+2.95), ((G241+I241)*1.2))</f>
        <v>246.46799999999996</v>
      </c>
      <c r="X241" t="s">
        <v>845</v>
      </c>
    </row>
    <row r="242" spans="1:24" hidden="1">
      <c r="A242">
        <v>289</v>
      </c>
      <c r="B242" s="12">
        <v>45773</v>
      </c>
      <c r="C242" t="s">
        <v>18</v>
      </c>
      <c r="D242" t="s">
        <v>439</v>
      </c>
      <c r="E242" t="s">
        <v>630</v>
      </c>
      <c r="F242" t="s">
        <v>224</v>
      </c>
      <c r="G242" s="3">
        <v>108.9</v>
      </c>
      <c r="H242" s="3">
        <f>G242*0.4</f>
        <v>43.56</v>
      </c>
      <c r="I242" s="8">
        <f>G242*0.15</f>
        <v>16.335000000000001</v>
      </c>
      <c r="J242" s="3">
        <f>G242+H242</f>
        <v>152.46</v>
      </c>
      <c r="K242" s="3">
        <f>J242*1.13</f>
        <v>172.27979999999999</v>
      </c>
      <c r="L242" s="25">
        <v>1</v>
      </c>
      <c r="Q242" s="3">
        <f>P242-G242</f>
        <v>-108.9</v>
      </c>
      <c r="R242" s="10" t="e">
        <f>Q242/O242</f>
        <v>#DIV/0!</v>
      </c>
      <c r="T242" s="7">
        <f ca="1">IF(S242&lt;&gt;"",S242-B242,TODAY()-B242)</f>
        <v>93</v>
      </c>
      <c r="V242" s="3">
        <f>IF((G242+H242)&lt;15,(G242+H242+2.95), ((G242+H242)*1.2))</f>
        <v>182.952</v>
      </c>
      <c r="W242" s="3">
        <f>IF((G242+I242)&lt;15,(G242+I242+2.95), ((G242+I242)*1.2))</f>
        <v>150.28200000000001</v>
      </c>
    </row>
    <row r="243" spans="1:24">
      <c r="A243">
        <v>290</v>
      </c>
      <c r="B243" s="12">
        <v>45773</v>
      </c>
      <c r="C243" t="s">
        <v>18</v>
      </c>
      <c r="D243" t="s">
        <v>624</v>
      </c>
      <c r="E243" t="s">
        <v>625</v>
      </c>
      <c r="F243" t="s">
        <v>309</v>
      </c>
      <c r="G243" s="3">
        <v>59.67</v>
      </c>
      <c r="H243" s="2">
        <f>G243*0.3</f>
        <v>17.901</v>
      </c>
      <c r="I243" s="8">
        <f>G243*0.15</f>
        <v>8.9504999999999999</v>
      </c>
      <c r="J243" s="3">
        <f>G243+H243</f>
        <v>77.570999999999998</v>
      </c>
      <c r="K243" s="3">
        <f>J243*1.13</f>
        <v>87.655229999999989</v>
      </c>
      <c r="L243" s="25">
        <v>0</v>
      </c>
      <c r="M243" s="7" t="s">
        <v>609</v>
      </c>
      <c r="N243" s="3">
        <v>100</v>
      </c>
      <c r="O243" s="3">
        <v>100</v>
      </c>
      <c r="P243" s="3">
        <v>54</v>
      </c>
      <c r="Q243" s="3">
        <f>P243-G243</f>
        <v>-5.6700000000000017</v>
      </c>
      <c r="R243" s="10">
        <f>Q243/O243</f>
        <v>-5.6700000000000014E-2</v>
      </c>
      <c r="S243" s="13">
        <v>45786</v>
      </c>
      <c r="T243" s="7">
        <f ca="1">IF(S243&lt;&gt;"",S243-B243,TODAY()-B243)</f>
        <v>13</v>
      </c>
      <c r="V243" s="3">
        <f>IF((G243+H243)&lt;15,(G243+H243+2.95), ((G243+H243)*1.2))</f>
        <v>93.0852</v>
      </c>
      <c r="W243" s="3">
        <f>IF((G243+I243)&lt;15,(G243+I243+2.95), ((G243+I243)*1.2))</f>
        <v>82.3446</v>
      </c>
    </row>
    <row r="244" spans="1:24">
      <c r="A244">
        <v>291</v>
      </c>
      <c r="B244" s="12">
        <v>45773</v>
      </c>
      <c r="C244" t="s">
        <v>18</v>
      </c>
      <c r="D244" t="s">
        <v>624</v>
      </c>
      <c r="E244" t="s">
        <v>626</v>
      </c>
      <c r="F244" t="s">
        <v>309</v>
      </c>
      <c r="G244" s="3">
        <v>110.29</v>
      </c>
      <c r="H244" s="2">
        <f>G244*0.3</f>
        <v>33.087000000000003</v>
      </c>
      <c r="I244" s="8">
        <f>G244*0.15</f>
        <v>16.543500000000002</v>
      </c>
      <c r="J244" s="3">
        <f>G244+H244</f>
        <v>143.37700000000001</v>
      </c>
      <c r="K244" s="3">
        <f>J244*1.13</f>
        <v>162.01600999999999</v>
      </c>
      <c r="L244" s="25">
        <v>0</v>
      </c>
      <c r="O244" s="3">
        <v>50</v>
      </c>
      <c r="P244" s="3">
        <v>43.85</v>
      </c>
      <c r="Q244" s="3">
        <f>P244-G244</f>
        <v>-66.44</v>
      </c>
      <c r="R244" s="10">
        <f>Q244/O244</f>
        <v>-1.3288</v>
      </c>
      <c r="S244" s="13">
        <v>45791</v>
      </c>
      <c r="T244" s="7">
        <f ca="1">IF(S244&lt;&gt;"",S244-B244,TODAY()-B244)</f>
        <v>18</v>
      </c>
      <c r="V244" s="3">
        <f>IF((G244+H244)&lt;15,(G244+H244+2.95), ((G244+H244)*1.2))</f>
        <v>172.05240000000001</v>
      </c>
      <c r="W244" s="3">
        <f>IF((G244+I244)&lt;15,(G244+I244+2.95), ((G244+I244)*1.2))</f>
        <v>152.20020000000002</v>
      </c>
    </row>
    <row r="245" spans="1:24">
      <c r="A245">
        <v>292</v>
      </c>
      <c r="B245" s="12">
        <v>45765</v>
      </c>
      <c r="C245" t="s">
        <v>18</v>
      </c>
      <c r="D245" t="s">
        <v>19</v>
      </c>
      <c r="E245" t="s">
        <v>632</v>
      </c>
      <c r="F245" t="s">
        <v>309</v>
      </c>
      <c r="G245" s="3">
        <v>110.22</v>
      </c>
      <c r="H245" s="3">
        <f>G245*0.4</f>
        <v>44.088000000000001</v>
      </c>
      <c r="I245" s="8">
        <f>G245*0.15</f>
        <v>16.532999999999998</v>
      </c>
      <c r="J245" s="3">
        <f>G245+H245</f>
        <v>154.30799999999999</v>
      </c>
      <c r="K245" s="3">
        <f>J245*1.13</f>
        <v>174.36803999999998</v>
      </c>
      <c r="L245" s="25">
        <v>0</v>
      </c>
      <c r="M245" s="7" t="s">
        <v>606</v>
      </c>
      <c r="O245" s="3">
        <v>180</v>
      </c>
      <c r="P245" s="3">
        <v>81</v>
      </c>
      <c r="Q245" s="3">
        <f>P245-G245</f>
        <v>-29.22</v>
      </c>
      <c r="R245" s="10">
        <f>Q245/O245</f>
        <v>-0.16233333333333333</v>
      </c>
      <c r="S245" s="13">
        <v>45809</v>
      </c>
      <c r="T245" s="7">
        <f ca="1">IF(S245&lt;&gt;"",S245-B245,TODAY()-B245)</f>
        <v>44</v>
      </c>
      <c r="V245" s="3">
        <f>IF((G245+H245)&lt;15,(G245+H245+2.95), ((G245+H245)*1.2))</f>
        <v>185.16959999999997</v>
      </c>
      <c r="W245" s="3">
        <f>IF((G245+I245)&lt;15,(G245+I245+2.95), ((G245+I245)*1.2))</f>
        <v>152.1036</v>
      </c>
      <c r="X245" t="s">
        <v>845</v>
      </c>
    </row>
    <row r="246" spans="1:24">
      <c r="A246">
        <v>293</v>
      </c>
      <c r="B246" s="12">
        <v>45766</v>
      </c>
      <c r="C246" t="s">
        <v>18</v>
      </c>
      <c r="D246" t="s">
        <v>19</v>
      </c>
      <c r="E246" t="s">
        <v>633</v>
      </c>
      <c r="F246" t="s">
        <v>254</v>
      </c>
      <c r="G246" s="3">
        <v>43.64</v>
      </c>
      <c r="H246" s="2">
        <f>G246*0.3</f>
        <v>13.092000000000001</v>
      </c>
      <c r="I246" s="8">
        <f>G246*0.15</f>
        <v>6.5460000000000003</v>
      </c>
      <c r="J246" s="3">
        <f>G246+H246</f>
        <v>56.731999999999999</v>
      </c>
      <c r="K246" s="3">
        <f>J246*1.13</f>
        <v>64.107159999999993</v>
      </c>
      <c r="L246" s="25">
        <v>0</v>
      </c>
      <c r="M246" s="7" t="s">
        <v>606</v>
      </c>
      <c r="O246" s="3">
        <v>45</v>
      </c>
      <c r="P246" s="3">
        <v>39.39</v>
      </c>
      <c r="Q246" s="3">
        <f>P246-G246</f>
        <v>-4.25</v>
      </c>
      <c r="R246" s="10">
        <f>Q246/O246</f>
        <v>-9.4444444444444442E-2</v>
      </c>
      <c r="S246" s="13">
        <v>45795</v>
      </c>
      <c r="T246" s="7">
        <f ca="1">IF(S246&lt;&gt;"",S246-B246,TODAY()-B246)</f>
        <v>29</v>
      </c>
      <c r="V246" s="3">
        <f>IF((G246+H246)&lt;15,(G246+H246+2.95), ((G246+H246)*1.2))</f>
        <v>68.078400000000002</v>
      </c>
      <c r="W246" s="3">
        <f>IF((G246+I246)&lt;15,(G246+I246+2.95), ((G246+I246)*1.2))</f>
        <v>60.223199999999999</v>
      </c>
    </row>
    <row r="247" spans="1:24">
      <c r="A247">
        <v>294</v>
      </c>
      <c r="B247" s="12">
        <v>45764</v>
      </c>
      <c r="C247" t="s">
        <v>18</v>
      </c>
      <c r="D247" t="s">
        <v>635</v>
      </c>
      <c r="E247" t="s">
        <v>634</v>
      </c>
      <c r="F247" t="s">
        <v>309</v>
      </c>
      <c r="G247" s="3">
        <v>158.11000000000001</v>
      </c>
      <c r="H247" s="2">
        <f>G247*0.3</f>
        <v>47.433</v>
      </c>
      <c r="I247" s="8">
        <f>G247*0.15</f>
        <v>23.7165</v>
      </c>
      <c r="J247" s="3">
        <f>G247+H247</f>
        <v>205.54300000000001</v>
      </c>
      <c r="K247" s="3">
        <f>J247*1.13</f>
        <v>232.26358999999999</v>
      </c>
      <c r="L247" s="25">
        <v>0</v>
      </c>
      <c r="M247" s="7" t="s">
        <v>606</v>
      </c>
      <c r="N247" s="3">
        <v>595</v>
      </c>
      <c r="O247" s="3">
        <v>494</v>
      </c>
      <c r="P247" s="3">
        <v>395.2</v>
      </c>
      <c r="Q247" s="3">
        <f>P247-G247</f>
        <v>237.08999999999997</v>
      </c>
      <c r="R247" s="10">
        <f>Q247/O247</f>
        <v>0.4799392712550607</v>
      </c>
      <c r="T247" s="7">
        <f ca="1">IF(S247&lt;&gt;"",S247-B247,TODAY()-B247)</f>
        <v>102</v>
      </c>
      <c r="V247" s="3">
        <f>IF((G247+H247)&lt;15,(G247+H247+2.95), ((G247+H247)*1.2))</f>
        <v>246.6516</v>
      </c>
      <c r="W247" s="3">
        <f>IF((G247+I247)&lt;15,(G247+I247+2.95), ((G247+I247)*1.2))</f>
        <v>218.1918</v>
      </c>
    </row>
    <row r="248" spans="1:24">
      <c r="A248">
        <v>295</v>
      </c>
      <c r="B248" s="12">
        <v>45764</v>
      </c>
      <c r="C248" t="s">
        <v>18</v>
      </c>
      <c r="D248" t="s">
        <v>636</v>
      </c>
      <c r="E248" t="s">
        <v>637</v>
      </c>
      <c r="F248" t="s">
        <v>309</v>
      </c>
      <c r="G248" s="3">
        <v>163.83000000000001</v>
      </c>
      <c r="H248" s="3">
        <f>G248*0.4</f>
        <v>65.532000000000011</v>
      </c>
      <c r="I248" s="8">
        <f>G248*0.15</f>
        <v>24.5745</v>
      </c>
      <c r="J248" s="3">
        <f>G248+H248</f>
        <v>229.36200000000002</v>
      </c>
      <c r="K248" s="3">
        <f>J248*1.13</f>
        <v>259.17905999999999</v>
      </c>
      <c r="L248" s="25">
        <v>0</v>
      </c>
      <c r="M248" s="7" t="s">
        <v>606</v>
      </c>
      <c r="O248" s="3">
        <v>179</v>
      </c>
      <c r="P248" s="3">
        <v>158.54</v>
      </c>
      <c r="Q248" s="3">
        <f>P248-G248</f>
        <v>-5.2900000000000205</v>
      </c>
      <c r="R248" s="10">
        <f>Q248/O248</f>
        <v>-2.9553072625698437E-2</v>
      </c>
      <c r="S248" s="13">
        <v>45863</v>
      </c>
      <c r="T248" s="7">
        <f ca="1">IF(S248&lt;&gt;"",S248-B248,TODAY()-B248)</f>
        <v>99</v>
      </c>
      <c r="V248" s="3">
        <f>IF((G248+H248)&lt;15,(G248+H248+2.95), ((G248+H248)*1.2))</f>
        <v>275.23439999999999</v>
      </c>
      <c r="W248" s="3">
        <f>IF((G248+I248)&lt;15,(G248+I248+2.95), ((G248+I248)*1.2))</f>
        <v>226.08540000000002</v>
      </c>
    </row>
    <row r="249" spans="1:24">
      <c r="A249">
        <v>296</v>
      </c>
      <c r="B249" s="12">
        <v>45779</v>
      </c>
      <c r="C249" t="s">
        <v>18</v>
      </c>
      <c r="D249" t="s">
        <v>294</v>
      </c>
      <c r="E249" t="s">
        <v>638</v>
      </c>
      <c r="G249" s="3">
        <v>4</v>
      </c>
      <c r="H249" s="2">
        <f>G249*0.3</f>
        <v>1.2</v>
      </c>
      <c r="I249" s="8">
        <f>G249*0.15</f>
        <v>0.6</v>
      </c>
      <c r="J249" s="3">
        <f>G249+H249</f>
        <v>5.2</v>
      </c>
      <c r="K249" s="3">
        <f>J249*1.13</f>
        <v>5.8759999999999994</v>
      </c>
      <c r="L249" s="25">
        <v>0</v>
      </c>
      <c r="M249" s="7" t="s">
        <v>609</v>
      </c>
      <c r="O249" s="3">
        <v>27</v>
      </c>
      <c r="P249" s="3">
        <v>23.41</v>
      </c>
      <c r="Q249" s="3">
        <f>P249-G249</f>
        <v>19.41</v>
      </c>
      <c r="R249" s="10">
        <f>Q249/O249</f>
        <v>0.71888888888888891</v>
      </c>
      <c r="S249" s="13">
        <v>45779</v>
      </c>
      <c r="T249" s="7">
        <f ca="1">IF(S249&lt;&gt;"",S249-B249,TODAY()-B249)</f>
        <v>0</v>
      </c>
      <c r="V249" s="3">
        <f>IF((G249+H249)&lt;15,(G249+H249+2.95), ((G249+H249)*1.2))</f>
        <v>8.15</v>
      </c>
      <c r="W249" s="3">
        <f>IF((G249+I249)&lt;15,(G249+I249+2.95), ((G249+I249)*1.2))</f>
        <v>7.55</v>
      </c>
    </row>
    <row r="250" spans="1:24">
      <c r="A250">
        <v>297</v>
      </c>
      <c r="B250" s="12">
        <v>45779</v>
      </c>
      <c r="C250" t="s">
        <v>18</v>
      </c>
      <c r="D250" t="s">
        <v>294</v>
      </c>
      <c r="E250" t="s">
        <v>638</v>
      </c>
      <c r="G250" s="3">
        <v>4</v>
      </c>
      <c r="H250" s="2">
        <f>G250*0.3</f>
        <v>1.2</v>
      </c>
      <c r="I250" s="8">
        <f>G250*0.15</f>
        <v>0.6</v>
      </c>
      <c r="J250" s="3">
        <f>G250+H250</f>
        <v>5.2</v>
      </c>
      <c r="K250" s="3">
        <f>J250*1.13</f>
        <v>5.8759999999999994</v>
      </c>
      <c r="L250" s="25">
        <v>0</v>
      </c>
      <c r="M250" s="7" t="s">
        <v>609</v>
      </c>
      <c r="O250" s="3">
        <v>36</v>
      </c>
      <c r="P250" s="3">
        <v>31.42</v>
      </c>
      <c r="Q250" s="3">
        <f>P250-G250</f>
        <v>27.42</v>
      </c>
      <c r="R250" s="10">
        <f>Q250/O250</f>
        <v>0.76166666666666671</v>
      </c>
      <c r="S250" s="13">
        <v>45779</v>
      </c>
      <c r="T250" s="7">
        <f ca="1">IF(S250&lt;&gt;"",S250-B250,TODAY()-B250)</f>
        <v>0</v>
      </c>
      <c r="V250" s="3">
        <f>IF((G250+H250)&lt;15,(G250+H250+2.95), ((G250+H250)*1.2))</f>
        <v>8.15</v>
      </c>
      <c r="W250" s="3">
        <f>IF((G250+I250)&lt;15,(G250+I250+2.95), ((G250+I250)*1.2))</f>
        <v>7.55</v>
      </c>
    </row>
    <row r="251" spans="1:24">
      <c r="A251">
        <v>298</v>
      </c>
      <c r="B251" s="12">
        <v>45779</v>
      </c>
      <c r="C251" t="s">
        <v>18</v>
      </c>
      <c r="D251" t="s">
        <v>294</v>
      </c>
      <c r="E251" t="s">
        <v>638</v>
      </c>
      <c r="G251" s="3">
        <v>4</v>
      </c>
      <c r="H251" s="2">
        <f>G251*0.3</f>
        <v>1.2</v>
      </c>
      <c r="I251" s="8">
        <f>G251*0.15</f>
        <v>0.6</v>
      </c>
      <c r="J251" s="3">
        <f>G251+H251</f>
        <v>5.2</v>
      </c>
      <c r="K251" s="3">
        <f>J251*1.13</f>
        <v>5.8759999999999994</v>
      </c>
      <c r="L251" s="25">
        <v>0</v>
      </c>
      <c r="M251" s="7" t="s">
        <v>609</v>
      </c>
      <c r="O251" s="3">
        <v>28</v>
      </c>
      <c r="P251" s="3">
        <v>24.33</v>
      </c>
      <c r="Q251" s="3">
        <f>P251-G251</f>
        <v>20.329999999999998</v>
      </c>
      <c r="R251" s="10">
        <f>Q251/O251</f>
        <v>0.72607142857142848</v>
      </c>
      <c r="S251" s="13">
        <v>45779</v>
      </c>
      <c r="T251" s="7">
        <f ca="1">IF(S251&lt;&gt;"",S251-B251,TODAY()-B251)</f>
        <v>0</v>
      </c>
      <c r="V251" s="3">
        <f>IF((G251+H251)&lt;15,(G251+H251+2.95), ((G251+H251)*1.2))</f>
        <v>8.15</v>
      </c>
      <c r="W251" s="3">
        <f>IF((G251+I251)&lt;15,(G251+I251+2.95), ((G251+I251)*1.2))</f>
        <v>7.55</v>
      </c>
    </row>
    <row r="252" spans="1:24">
      <c r="A252">
        <v>299</v>
      </c>
      <c r="B252" s="12">
        <v>45779</v>
      </c>
      <c r="C252" t="s">
        <v>18</v>
      </c>
      <c r="D252" t="s">
        <v>294</v>
      </c>
      <c r="E252" t="s">
        <v>639</v>
      </c>
      <c r="G252" s="3">
        <v>0.01</v>
      </c>
      <c r="H252" s="2">
        <f>G252*0.3</f>
        <v>3.0000000000000001E-3</v>
      </c>
      <c r="I252" s="8">
        <f>G252*0.15</f>
        <v>1.5E-3</v>
      </c>
      <c r="J252" s="3">
        <f>G252+H252</f>
        <v>1.3000000000000001E-2</v>
      </c>
      <c r="K252" s="3">
        <f>J252*1.13</f>
        <v>1.469E-2</v>
      </c>
      <c r="L252" s="25">
        <v>0</v>
      </c>
      <c r="M252" s="7" t="s">
        <v>609</v>
      </c>
      <c r="O252" s="3">
        <v>10</v>
      </c>
      <c r="P252" s="3">
        <v>8.41</v>
      </c>
      <c r="Q252" s="3">
        <f>P252-G252</f>
        <v>8.4</v>
      </c>
      <c r="R252" s="10">
        <f>Q252/O252</f>
        <v>0.84000000000000008</v>
      </c>
      <c r="S252" s="13">
        <v>45779</v>
      </c>
      <c r="T252" s="7">
        <f ca="1">IF(S252&lt;&gt;"",S252-B252,TODAY()-B252)</f>
        <v>0</v>
      </c>
      <c r="V252" s="3">
        <f>IF((G252+H252)&lt;15,(G252+H252+2.95), ((G252+H252)*1.2))</f>
        <v>2.9630000000000001</v>
      </c>
      <c r="W252" s="3">
        <f>IF((G252+I252)&lt;15,(G252+I252+2.95), ((G252+I252)*1.2))</f>
        <v>2.9615</v>
      </c>
    </row>
    <row r="253" spans="1:24">
      <c r="A253">
        <v>300</v>
      </c>
      <c r="B253" s="12">
        <v>45779</v>
      </c>
      <c r="C253" t="s">
        <v>18</v>
      </c>
      <c r="D253" t="s">
        <v>294</v>
      </c>
      <c r="E253" t="s">
        <v>639</v>
      </c>
      <c r="G253" s="3">
        <v>0.01</v>
      </c>
      <c r="H253" s="2">
        <f>G253*0.3</f>
        <v>3.0000000000000001E-3</v>
      </c>
      <c r="I253" s="8">
        <f>G253*0.15</f>
        <v>1.5E-3</v>
      </c>
      <c r="J253" s="3">
        <f>G253+H253</f>
        <v>1.3000000000000001E-2</v>
      </c>
      <c r="K253" s="3">
        <f>J253*1.13</f>
        <v>1.469E-2</v>
      </c>
      <c r="L253" s="25">
        <v>0</v>
      </c>
      <c r="M253" s="7" t="s">
        <v>609</v>
      </c>
      <c r="O253" s="3">
        <v>10</v>
      </c>
      <c r="P253" s="3">
        <v>8.49</v>
      </c>
      <c r="Q253" s="3">
        <f>P253-G253</f>
        <v>8.48</v>
      </c>
      <c r="R253" s="10">
        <f>Q253/O253</f>
        <v>0.84800000000000009</v>
      </c>
      <c r="S253" s="13">
        <v>45779</v>
      </c>
      <c r="T253" s="7">
        <f ca="1">IF(S253&lt;&gt;"",S253-B253,TODAY()-B253)</f>
        <v>0</v>
      </c>
      <c r="V253" s="3">
        <f>IF((G253+H253)&lt;15,(G253+H253+2.95), ((G253+H253)*1.2))</f>
        <v>2.9630000000000001</v>
      </c>
      <c r="W253" s="3">
        <f>IF((G253+I253)&lt;15,(G253+I253+2.95), ((G253+I253)*1.2))</f>
        <v>2.9615</v>
      </c>
    </row>
    <row r="254" spans="1:24">
      <c r="A254">
        <v>301</v>
      </c>
      <c r="B254" s="12">
        <v>45779</v>
      </c>
      <c r="C254" t="s">
        <v>18</v>
      </c>
      <c r="D254" t="s">
        <v>294</v>
      </c>
      <c r="E254" t="s">
        <v>640</v>
      </c>
      <c r="G254" s="3">
        <v>0.01</v>
      </c>
      <c r="H254" s="2">
        <f>G254*0.3</f>
        <v>3.0000000000000001E-3</v>
      </c>
      <c r="I254" s="8">
        <f>G254*0.15</f>
        <v>1.5E-3</v>
      </c>
      <c r="J254" s="3">
        <f>G254+H254</f>
        <v>1.3000000000000001E-2</v>
      </c>
      <c r="K254" s="3">
        <f>J254*1.13</f>
        <v>1.469E-2</v>
      </c>
      <c r="L254" s="25">
        <v>0</v>
      </c>
      <c r="M254" s="7" t="s">
        <v>609</v>
      </c>
      <c r="O254" s="3">
        <v>40</v>
      </c>
      <c r="P254" s="3">
        <v>35.229999999999997</v>
      </c>
      <c r="Q254" s="3">
        <f>P254-G254</f>
        <v>35.22</v>
      </c>
      <c r="R254" s="10">
        <f>Q254/O254</f>
        <v>0.88049999999999995</v>
      </c>
      <c r="S254" s="13">
        <v>45779</v>
      </c>
      <c r="T254" s="7">
        <f ca="1">IF(S254&lt;&gt;"",S254-B254,TODAY()-B254)</f>
        <v>0</v>
      </c>
      <c r="V254" s="3">
        <f>IF((G254+H254)&lt;15,(G254+H254+2.95), ((G254+H254)*1.2))</f>
        <v>2.9630000000000001</v>
      </c>
      <c r="W254" s="3">
        <f>IF((G254+I254)&lt;15,(G254+I254+2.95), ((G254+I254)*1.2))</f>
        <v>2.9615</v>
      </c>
    </row>
    <row r="255" spans="1:24">
      <c r="A255">
        <v>302</v>
      </c>
      <c r="B255" s="12">
        <v>45779</v>
      </c>
      <c r="C255" t="s">
        <v>18</v>
      </c>
      <c r="D255" t="s">
        <v>294</v>
      </c>
      <c r="E255" t="s">
        <v>641</v>
      </c>
      <c r="G255" s="3">
        <v>45</v>
      </c>
      <c r="H255" s="2">
        <f>G255*0.3</f>
        <v>13.5</v>
      </c>
      <c r="I255" s="8">
        <f>G255*0.15</f>
        <v>6.75</v>
      </c>
      <c r="J255" s="3">
        <f>G255+H255</f>
        <v>58.5</v>
      </c>
      <c r="K255" s="3">
        <f>J255*1.13</f>
        <v>66.10499999999999</v>
      </c>
      <c r="L255" s="25">
        <v>0</v>
      </c>
      <c r="M255" s="7" t="s">
        <v>609</v>
      </c>
      <c r="O255" s="3">
        <v>0</v>
      </c>
      <c r="P255" s="3">
        <v>0</v>
      </c>
      <c r="Q255" s="3">
        <f>P255-G255</f>
        <v>-45</v>
      </c>
      <c r="R255" s="10" t="e">
        <f>Q255/O255</f>
        <v>#DIV/0!</v>
      </c>
      <c r="S255" s="13">
        <v>45779</v>
      </c>
      <c r="T255" s="7">
        <f ca="1">IF(S255&lt;&gt;"",S255-B255,TODAY()-B255)</f>
        <v>0</v>
      </c>
      <c r="V255" s="3">
        <f>IF((G255+H255)&lt;15,(G255+H255+2.95), ((G255+H255)*1.2))</f>
        <v>70.2</v>
      </c>
      <c r="W255" s="3">
        <f>IF((G255+I255)&lt;15,(G255+I255+2.95), ((G255+I255)*1.2))</f>
        <v>62.099999999999994</v>
      </c>
    </row>
    <row r="256" spans="1:24" hidden="1">
      <c r="A256">
        <v>303</v>
      </c>
      <c r="B256" s="12">
        <v>45774</v>
      </c>
      <c r="C256" t="s">
        <v>18</v>
      </c>
      <c r="D256" t="s">
        <v>48</v>
      </c>
      <c r="E256" s="15" t="s">
        <v>642</v>
      </c>
      <c r="G256" s="3">
        <v>94.97</v>
      </c>
      <c r="H256" s="3">
        <f>G256*0.4</f>
        <v>37.988</v>
      </c>
      <c r="I256" s="8">
        <f>G256*0.15</f>
        <v>14.2455</v>
      </c>
      <c r="J256" s="3">
        <f>G256+H256</f>
        <v>132.958</v>
      </c>
      <c r="K256" s="3">
        <f>J256*1.13</f>
        <v>150.24253999999999</v>
      </c>
      <c r="L256" s="25">
        <v>1</v>
      </c>
      <c r="M256" s="7" t="s">
        <v>606</v>
      </c>
      <c r="Q256" s="3">
        <f>P256-G256</f>
        <v>-94.97</v>
      </c>
      <c r="R256" s="10" t="e">
        <f>Q256/O256</f>
        <v>#DIV/0!</v>
      </c>
      <c r="T256" s="7">
        <f ca="1">IF(S256&lt;&gt;"",S256-B256,TODAY()-B256)</f>
        <v>92</v>
      </c>
      <c r="V256" s="3">
        <f>IF((G256+H256)&lt;15,(G256+H256+2.95), ((G256+H256)*1.2))</f>
        <v>159.5496</v>
      </c>
      <c r="W256" s="3">
        <f>IF((G256+I256)&lt;15,(G256+I256+2.95), ((G256+I256)*1.2))</f>
        <v>131.05859999999998</v>
      </c>
    </row>
    <row r="257" spans="1:23" hidden="1">
      <c r="A257">
        <v>304</v>
      </c>
      <c r="B257" s="12">
        <v>45775</v>
      </c>
      <c r="C257" t="s">
        <v>18</v>
      </c>
      <c r="D257" t="s">
        <v>48</v>
      </c>
      <c r="E257" t="s">
        <v>643</v>
      </c>
      <c r="F257" t="s">
        <v>846</v>
      </c>
      <c r="G257" s="3">
        <v>543.64</v>
      </c>
      <c r="H257" s="3">
        <f>G257*0.4</f>
        <v>217.45600000000002</v>
      </c>
      <c r="I257" s="8">
        <f>G257*0.15</f>
        <v>81.545999999999992</v>
      </c>
      <c r="J257" s="3">
        <f>G257+H257</f>
        <v>761.096</v>
      </c>
      <c r="K257" s="3">
        <f>J257*1.13</f>
        <v>860.03847999999994</v>
      </c>
      <c r="L257" s="25">
        <v>1</v>
      </c>
      <c r="Q257" s="3">
        <f>P257-G257</f>
        <v>-543.64</v>
      </c>
      <c r="R257" s="10" t="e">
        <f>Q257/O257</f>
        <v>#DIV/0!</v>
      </c>
      <c r="T257" s="7">
        <f ca="1">IF(S257&lt;&gt;"",S257-B257,TODAY()-B257)</f>
        <v>91</v>
      </c>
      <c r="V257" s="3">
        <f>IF((G257+H257)&lt;15,(G257+H257+2.95), ((G257+H257)*1.2))</f>
        <v>913.3152</v>
      </c>
      <c r="W257" s="3">
        <f>IF((G257+I257)&lt;15,(G257+I257+2.95), ((G257+I257)*1.2))</f>
        <v>750.22319999999991</v>
      </c>
    </row>
    <row r="258" spans="1:23">
      <c r="A258">
        <v>305</v>
      </c>
      <c r="B258" s="12">
        <v>45776</v>
      </c>
      <c r="C258" t="s">
        <v>18</v>
      </c>
      <c r="D258" t="s">
        <v>103</v>
      </c>
      <c r="E258" t="s">
        <v>644</v>
      </c>
      <c r="G258" s="3">
        <v>89.39</v>
      </c>
      <c r="H258" s="2">
        <f>G258*0.3</f>
        <v>26.817</v>
      </c>
      <c r="I258" s="8">
        <f>G258*0.15</f>
        <v>13.4085</v>
      </c>
      <c r="J258" s="3">
        <f>G258+H258</f>
        <v>116.20699999999999</v>
      </c>
      <c r="K258" s="3">
        <f>J258*1.13</f>
        <v>131.31390999999999</v>
      </c>
      <c r="L258" s="25">
        <v>0</v>
      </c>
      <c r="O258" s="3">
        <v>125</v>
      </c>
      <c r="P258" s="3">
        <v>110.53</v>
      </c>
      <c r="Q258" s="3">
        <f>P258-G258</f>
        <v>21.14</v>
      </c>
      <c r="R258" s="10">
        <f>Q258/O258</f>
        <v>0.16911999999999999</v>
      </c>
      <c r="S258" s="13">
        <v>45818</v>
      </c>
      <c r="T258" s="7">
        <f ca="1">IF(S258&lt;&gt;"",S258-B258,TODAY()-B258)</f>
        <v>42</v>
      </c>
      <c r="V258" s="3">
        <f>IF((G258+H258)&lt;15,(G258+H258+2.95), ((G258+H258)*1.2))</f>
        <v>139.44839999999999</v>
      </c>
      <c r="W258" s="3">
        <f>IF((G258+I258)&lt;15,(G258+I258+2.95), ((G258+I258)*1.2))</f>
        <v>123.3582</v>
      </c>
    </row>
    <row r="259" spans="1:23" hidden="1">
      <c r="A259">
        <v>306</v>
      </c>
      <c r="B259" s="12">
        <v>45777</v>
      </c>
      <c r="C259" t="s">
        <v>18</v>
      </c>
      <c r="D259" t="s">
        <v>58</v>
      </c>
      <c r="E259" t="s">
        <v>645</v>
      </c>
      <c r="G259" s="3">
        <v>271.39</v>
      </c>
      <c r="H259" s="3">
        <f>G259*0.4</f>
        <v>108.556</v>
      </c>
      <c r="I259" s="8">
        <f>G259*0.15</f>
        <v>40.708499999999994</v>
      </c>
      <c r="J259" s="3">
        <f>G259+H259</f>
        <v>379.94599999999997</v>
      </c>
      <c r="K259" s="3">
        <f>J259*1.13</f>
        <v>429.33897999999994</v>
      </c>
      <c r="L259" s="25">
        <v>1</v>
      </c>
      <c r="Q259" s="3">
        <f>P259-G259</f>
        <v>-271.39</v>
      </c>
      <c r="R259" s="10" t="e">
        <f>Q259/O259</f>
        <v>#DIV/0!</v>
      </c>
      <c r="T259" s="7">
        <f ca="1">IF(S259&lt;&gt;"",S259-B259,TODAY()-B259)</f>
        <v>89</v>
      </c>
      <c r="V259" s="3">
        <f>IF((G259+H259)&lt;15,(G259+H259+2.95), ((G259+H259)*1.2))</f>
        <v>455.93519999999995</v>
      </c>
      <c r="W259" s="3">
        <f>IF((G259+I259)&lt;15,(G259+I259+2.95), ((G259+I259)*1.2))</f>
        <v>374.51819999999998</v>
      </c>
    </row>
    <row r="260" spans="1:23" hidden="1">
      <c r="A260">
        <v>307</v>
      </c>
      <c r="B260" s="12">
        <v>45777</v>
      </c>
      <c r="C260" t="s">
        <v>18</v>
      </c>
      <c r="D260" t="s">
        <v>55</v>
      </c>
      <c r="E260" t="s">
        <v>646</v>
      </c>
      <c r="G260" s="3">
        <v>82.86</v>
      </c>
      <c r="H260" s="3">
        <f>G260*0.4</f>
        <v>33.143999999999998</v>
      </c>
      <c r="I260" s="8">
        <f>G260*0.15</f>
        <v>12.429</v>
      </c>
      <c r="J260" s="3">
        <f>G260+H260</f>
        <v>116.00399999999999</v>
      </c>
      <c r="K260" s="3">
        <f>J260*1.13</f>
        <v>131.08451999999997</v>
      </c>
      <c r="L260" s="25">
        <v>1</v>
      </c>
      <c r="Q260" s="3">
        <f>P260-G260</f>
        <v>-82.86</v>
      </c>
      <c r="R260" s="10" t="e">
        <f>Q260/O260</f>
        <v>#DIV/0!</v>
      </c>
      <c r="T260" s="7">
        <f ca="1">IF(S260&lt;&gt;"",S260-B260,TODAY()-B260)</f>
        <v>89</v>
      </c>
      <c r="V260" s="3">
        <f>IF((G260+H260)&lt;15,(G260+H260+2.95), ((G260+H260)*1.2))</f>
        <v>139.20479999999998</v>
      </c>
      <c r="W260" s="3">
        <f>IF((G260+I260)&lt;15,(G260+I260+2.95), ((G260+I260)*1.2))</f>
        <v>114.3468</v>
      </c>
    </row>
    <row r="261" spans="1:23" hidden="1">
      <c r="A261">
        <v>308</v>
      </c>
      <c r="B261" s="12">
        <v>45777</v>
      </c>
      <c r="C261" t="s">
        <v>18</v>
      </c>
      <c r="D261" t="s">
        <v>55</v>
      </c>
      <c r="E261" t="s">
        <v>647</v>
      </c>
      <c r="G261" s="3">
        <v>32.28</v>
      </c>
      <c r="H261" s="3">
        <f>G261*0.4</f>
        <v>12.912000000000001</v>
      </c>
      <c r="I261" s="8">
        <f>G261*0.15</f>
        <v>4.8419999999999996</v>
      </c>
      <c r="J261" s="3">
        <f>G261+H261</f>
        <v>45.192</v>
      </c>
      <c r="K261" s="3">
        <f>J261*1.13</f>
        <v>51.066959999999995</v>
      </c>
      <c r="L261" s="25">
        <v>1</v>
      </c>
      <c r="Q261" s="3">
        <f>P261-G261</f>
        <v>-32.28</v>
      </c>
      <c r="R261" s="10" t="e">
        <f>Q261/O261</f>
        <v>#DIV/0!</v>
      </c>
      <c r="T261" s="7">
        <f ca="1">IF(S261&lt;&gt;"",S261-B261,TODAY()-B261)</f>
        <v>89</v>
      </c>
      <c r="V261" s="3">
        <f>IF((G261+H261)&lt;15,(G261+H261+2.95), ((G261+H261)*1.2))</f>
        <v>54.230399999999996</v>
      </c>
      <c r="W261" s="3">
        <f>IF((G261+I261)&lt;15,(G261+I261+2.95), ((G261+I261)*1.2))</f>
        <v>44.546399999999998</v>
      </c>
    </row>
    <row r="262" spans="1:23" hidden="1">
      <c r="A262">
        <v>309</v>
      </c>
      <c r="B262" s="12">
        <v>45778</v>
      </c>
      <c r="C262" t="s">
        <v>18</v>
      </c>
      <c r="D262" t="s">
        <v>648</v>
      </c>
      <c r="E262" t="s">
        <v>649</v>
      </c>
      <c r="G262" s="3">
        <v>61.85</v>
      </c>
      <c r="H262" s="3">
        <f>G262*0.4</f>
        <v>24.740000000000002</v>
      </c>
      <c r="I262" s="8">
        <f>G262*0.15</f>
        <v>9.2774999999999999</v>
      </c>
      <c r="J262" s="3">
        <f>G262+H262</f>
        <v>86.59</v>
      </c>
      <c r="K262" s="3">
        <f>J262*1.13</f>
        <v>97.846699999999998</v>
      </c>
      <c r="L262" s="25">
        <v>1</v>
      </c>
      <c r="Q262" s="3">
        <f>P262-G262</f>
        <v>-61.85</v>
      </c>
      <c r="R262" s="10" t="e">
        <f>Q262/O262</f>
        <v>#DIV/0!</v>
      </c>
      <c r="T262" s="7">
        <f ca="1">IF(S262&lt;&gt;"",S262-B262,TODAY()-B262)</f>
        <v>88</v>
      </c>
      <c r="V262" s="3">
        <f>IF((G262+H262)&lt;15,(G262+H262+2.95), ((G262+H262)*1.2))</f>
        <v>103.908</v>
      </c>
      <c r="W262" s="3">
        <f>IF((G262+I262)&lt;15,(G262+I262+2.95), ((G262+I262)*1.2))</f>
        <v>85.352999999999994</v>
      </c>
    </row>
    <row r="263" spans="1:23">
      <c r="A263">
        <v>310</v>
      </c>
      <c r="B263" s="12">
        <v>45778</v>
      </c>
      <c r="C263" t="s">
        <v>18</v>
      </c>
      <c r="D263" t="s">
        <v>582</v>
      </c>
      <c r="E263" t="s">
        <v>650</v>
      </c>
      <c r="G263" s="3">
        <v>287.73</v>
      </c>
      <c r="H263" s="2">
        <f>G263*0.3</f>
        <v>86.319000000000003</v>
      </c>
      <c r="I263" s="8">
        <f>G263*0.15</f>
        <v>43.159500000000001</v>
      </c>
      <c r="J263" s="3">
        <f>G263+H263</f>
        <v>374.04900000000004</v>
      </c>
      <c r="K263" s="3">
        <f>J263*1.13</f>
        <v>422.67536999999999</v>
      </c>
      <c r="L263" s="25">
        <v>0</v>
      </c>
      <c r="O263" s="3">
        <v>549</v>
      </c>
      <c r="P263" s="3">
        <v>487.1</v>
      </c>
      <c r="Q263" s="3">
        <f>P263-G263</f>
        <v>199.37</v>
      </c>
      <c r="R263" s="10">
        <f>Q263/O263</f>
        <v>0.36315118397085611</v>
      </c>
      <c r="S263" s="13">
        <v>45793</v>
      </c>
      <c r="T263" s="7">
        <f ca="1">IF(S263&lt;&gt;"",S263-B263,TODAY()-B263)</f>
        <v>15</v>
      </c>
      <c r="V263" s="3">
        <f>IF((G263+H263)&lt;15,(G263+H263+2.95), ((G263+H263)*1.2))</f>
        <v>448.85880000000003</v>
      </c>
      <c r="W263" s="3">
        <f>IF((G263+I263)&lt;15,(G263+I263+2.95), ((G263+I263)*1.2))</f>
        <v>397.06739999999996</v>
      </c>
    </row>
    <row r="264" spans="1:23" s="16" customFormat="1">
      <c r="A264" s="16">
        <v>311</v>
      </c>
      <c r="B264" s="17">
        <v>45778</v>
      </c>
      <c r="C264" t="s">
        <v>18</v>
      </c>
      <c r="D264" s="16" t="s">
        <v>58</v>
      </c>
      <c r="E264" s="16" t="s">
        <v>651</v>
      </c>
      <c r="F264" s="16" t="s">
        <v>226</v>
      </c>
      <c r="G264" s="18">
        <v>117.84</v>
      </c>
      <c r="H264" s="3">
        <f>G264*0.4</f>
        <v>47.136000000000003</v>
      </c>
      <c r="I264" s="20">
        <f>G264*0.15</f>
        <v>17.675999999999998</v>
      </c>
      <c r="J264" s="18">
        <f>G264+H264</f>
        <v>164.976</v>
      </c>
      <c r="K264" s="3">
        <f>J264*1.13</f>
        <v>186.42287999999999</v>
      </c>
      <c r="L264" s="26">
        <v>0</v>
      </c>
      <c r="M264" s="21"/>
      <c r="N264" s="18"/>
      <c r="O264" s="18">
        <v>167</v>
      </c>
      <c r="P264" s="18">
        <f>141.56+5.92</f>
        <v>147.47999999999999</v>
      </c>
      <c r="Q264" s="18">
        <f>P264-G264</f>
        <v>29.639999999999986</v>
      </c>
      <c r="R264" s="22">
        <f>Q264/O264</f>
        <v>0.17748502994011967</v>
      </c>
      <c r="S264" s="23">
        <v>45835</v>
      </c>
      <c r="T264" s="7">
        <f ca="1">IF(S264&lt;&gt;"",S264-B264,TODAY()-B264)</f>
        <v>57</v>
      </c>
      <c r="U264" s="23"/>
      <c r="V264" s="18">
        <f>IF((G264+H264)&lt;15,(G264+H264+2.95), ((G264+H264)*1.2))</f>
        <v>197.97119999999998</v>
      </c>
      <c r="W264" s="18">
        <f>IF((G264+I264)&lt;15,(G264+I264+2.95), ((G264+I264)*1.2))</f>
        <v>162.61919999999998</v>
      </c>
    </row>
    <row r="265" spans="1:23">
      <c r="A265">
        <v>312</v>
      </c>
      <c r="B265" s="12">
        <v>45778</v>
      </c>
      <c r="C265" t="s">
        <v>18</v>
      </c>
      <c r="D265" t="s">
        <v>55</v>
      </c>
      <c r="E265" t="s">
        <v>652</v>
      </c>
      <c r="G265" s="3">
        <v>27.32</v>
      </c>
      <c r="H265" s="2">
        <f>G265*0.3</f>
        <v>8.1959999999999997</v>
      </c>
      <c r="I265" s="8">
        <f>G265*0.15</f>
        <v>4.0979999999999999</v>
      </c>
      <c r="J265" s="3">
        <f>G265+H265</f>
        <v>35.515999999999998</v>
      </c>
      <c r="K265" s="3">
        <f>J265*1.13</f>
        <v>40.133079999999993</v>
      </c>
      <c r="L265" s="25">
        <v>0</v>
      </c>
      <c r="O265" s="3">
        <v>0</v>
      </c>
      <c r="P265" s="3">
        <v>0</v>
      </c>
      <c r="Q265" s="3">
        <f>P265-G265</f>
        <v>-27.32</v>
      </c>
      <c r="R265" s="10" t="e">
        <f>Q265/O265</f>
        <v>#DIV/0!</v>
      </c>
      <c r="S265" s="13">
        <v>45778</v>
      </c>
      <c r="T265" s="7">
        <f ca="1">IF(S265&lt;&gt;"",S265-B265,TODAY()-B265)</f>
        <v>0</v>
      </c>
      <c r="V265" s="3">
        <f>IF((G265+H265)&lt;15,(G265+H265+2.95), ((G265+H265)*1.2))</f>
        <v>42.619199999999999</v>
      </c>
      <c r="W265" s="3">
        <f>IF((G265+I265)&lt;15,(G265+I265+2.95), ((G265+I265)*1.2))</f>
        <v>37.701599999999999</v>
      </c>
    </row>
    <row r="266" spans="1:23">
      <c r="A266">
        <v>314</v>
      </c>
      <c r="B266" s="12">
        <v>45778</v>
      </c>
      <c r="C266" t="s">
        <v>18</v>
      </c>
      <c r="D266" t="s">
        <v>55</v>
      </c>
      <c r="E266" t="s">
        <v>653</v>
      </c>
      <c r="G266" s="3">
        <v>46.83</v>
      </c>
      <c r="H266" s="2">
        <f>G266*0.3</f>
        <v>14.048999999999999</v>
      </c>
      <c r="I266" s="8">
        <f>G266*0.15</f>
        <v>7.0244999999999997</v>
      </c>
      <c r="J266" s="3">
        <f>G266+H266</f>
        <v>60.878999999999998</v>
      </c>
      <c r="K266" s="3">
        <f>J266*1.13</f>
        <v>68.793269999999993</v>
      </c>
      <c r="L266" s="25">
        <v>0</v>
      </c>
      <c r="M266" s="7" t="s">
        <v>606</v>
      </c>
      <c r="N266" s="3">
        <v>190</v>
      </c>
      <c r="O266" s="3">
        <v>190</v>
      </c>
      <c r="P266" s="3">
        <v>128.80000000000001</v>
      </c>
      <c r="Q266" s="3">
        <f>P266-G266</f>
        <v>81.970000000000013</v>
      </c>
      <c r="R266" s="10">
        <f>Q266/O266</f>
        <v>0.43142105263157904</v>
      </c>
      <c r="T266" s="7">
        <f ca="1">IF(S266&lt;&gt;"",S266-B266,TODAY()-B266)</f>
        <v>88</v>
      </c>
      <c r="V266" s="3">
        <f>IF((G266+H266)&lt;15,(G266+H266+2.95), ((G266+H266)*1.2))</f>
        <v>73.0548</v>
      </c>
      <c r="W266" s="3">
        <f>IF((G266+I266)&lt;15,(G266+I266+2.95), ((G266+I266)*1.2))</f>
        <v>64.625399999999999</v>
      </c>
    </row>
    <row r="267" spans="1:23">
      <c r="A267">
        <v>315</v>
      </c>
      <c r="B267" s="12">
        <v>45778</v>
      </c>
      <c r="C267" t="s">
        <v>18</v>
      </c>
      <c r="D267" t="s">
        <v>51</v>
      </c>
      <c r="E267" t="s">
        <v>654</v>
      </c>
      <c r="G267" s="3">
        <v>112.97</v>
      </c>
      <c r="H267" s="2">
        <f>G267*0.3</f>
        <v>33.890999999999998</v>
      </c>
      <c r="I267" s="8">
        <f>G267*0.15</f>
        <v>16.945499999999999</v>
      </c>
      <c r="J267" s="3">
        <f>G267+H267</f>
        <v>146.86099999999999</v>
      </c>
      <c r="K267" s="3">
        <f>J267*1.13</f>
        <v>165.95292999999998</v>
      </c>
      <c r="L267" s="25">
        <v>0</v>
      </c>
      <c r="O267" s="3">
        <v>0</v>
      </c>
      <c r="P267" s="3">
        <v>0</v>
      </c>
      <c r="Q267" s="3">
        <f>P267-G267</f>
        <v>-112.97</v>
      </c>
      <c r="R267" s="10" t="e">
        <f>Q267/O267</f>
        <v>#DIV/0!</v>
      </c>
      <c r="T267" s="7">
        <f ca="1">IF(S267&lt;&gt;"",S267-B267,TODAY()-B267)</f>
        <v>88</v>
      </c>
      <c r="V267" s="3">
        <f>IF((G267+H267)&lt;15,(G267+H267+2.95), ((G267+H267)*1.2))</f>
        <v>176.23319999999998</v>
      </c>
      <c r="W267" s="3">
        <f>IF((G267+I267)&lt;15,(G267+I267+2.95), ((G267+I267)*1.2))</f>
        <v>155.89860000000002</v>
      </c>
    </row>
    <row r="268" spans="1:23">
      <c r="A268">
        <v>316</v>
      </c>
      <c r="B268" s="12">
        <v>45778</v>
      </c>
      <c r="C268" t="s">
        <v>18</v>
      </c>
      <c r="D268" t="s">
        <v>132</v>
      </c>
      <c r="E268" t="s">
        <v>655</v>
      </c>
      <c r="F268" t="s">
        <v>309</v>
      </c>
      <c r="G268" s="3">
        <v>183.18</v>
      </c>
      <c r="H268" s="2">
        <f>G268*0.3</f>
        <v>54.954000000000001</v>
      </c>
      <c r="I268" s="8">
        <f>G268*0.15</f>
        <v>27.477</v>
      </c>
      <c r="J268" s="3">
        <f>G268+H268</f>
        <v>238.13400000000001</v>
      </c>
      <c r="K268" s="3">
        <f>J268*1.13</f>
        <v>269.09141999999997</v>
      </c>
      <c r="L268" s="25">
        <v>0</v>
      </c>
      <c r="O268" s="3">
        <v>215</v>
      </c>
      <c r="P268" s="3">
        <v>190.86</v>
      </c>
      <c r="Q268" s="3">
        <f>P268-G268</f>
        <v>7.6800000000000068</v>
      </c>
      <c r="R268" s="10">
        <f>Q268/O268</f>
        <v>3.5720930232558172E-2</v>
      </c>
      <c r="S268" s="13">
        <v>45791</v>
      </c>
      <c r="T268" s="7">
        <f ca="1">IF(S268&lt;&gt;"",S268-B268,TODAY()-B268)</f>
        <v>13</v>
      </c>
      <c r="V268" s="3">
        <f>IF((G268+H268)&lt;15,(G268+H268+2.95), ((G268+H268)*1.2))</f>
        <v>285.76080000000002</v>
      </c>
      <c r="W268" s="3">
        <f>IF((G268+I268)&lt;15,(G268+I268+2.95), ((G268+I268)*1.2))</f>
        <v>252.7884</v>
      </c>
    </row>
    <row r="269" spans="1:23">
      <c r="A269">
        <v>317</v>
      </c>
      <c r="B269" s="12">
        <v>45779</v>
      </c>
      <c r="C269" t="s">
        <v>18</v>
      </c>
      <c r="D269" t="s">
        <v>19</v>
      </c>
      <c r="E269" t="s">
        <v>656</v>
      </c>
      <c r="F269" t="s">
        <v>309</v>
      </c>
      <c r="G269" s="3">
        <v>120.02</v>
      </c>
      <c r="H269" s="2">
        <f>G269*0.3</f>
        <v>36.006</v>
      </c>
      <c r="I269" s="8">
        <f>G269*0.15</f>
        <v>18.003</v>
      </c>
      <c r="J269" s="3">
        <f>G269+H269</f>
        <v>156.02600000000001</v>
      </c>
      <c r="K269" s="3">
        <f>J269*1.13</f>
        <v>176.30938</v>
      </c>
      <c r="L269" s="25">
        <v>0</v>
      </c>
      <c r="O269" s="3">
        <v>175</v>
      </c>
      <c r="P269" s="3">
        <v>155.11000000000001</v>
      </c>
      <c r="Q269" s="3">
        <f>P269-G269</f>
        <v>35.090000000000018</v>
      </c>
      <c r="R269" s="10">
        <f>Q269/O269</f>
        <v>0.20051428571428581</v>
      </c>
      <c r="S269" s="13">
        <v>45798</v>
      </c>
      <c r="T269" s="7">
        <f ca="1">IF(S269&lt;&gt;"",S269-B269,TODAY()-B269)</f>
        <v>19</v>
      </c>
      <c r="V269" s="3">
        <f>IF((G269+H269)&lt;15,(G269+H269+2.95), ((G269+H269)*1.2))</f>
        <v>187.2312</v>
      </c>
      <c r="W269" s="3">
        <f>IF((G269+I269)&lt;15,(G269+I269+2.95), ((G269+I269)*1.2))</f>
        <v>165.6276</v>
      </c>
    </row>
    <row r="270" spans="1:23">
      <c r="A270">
        <v>318</v>
      </c>
      <c r="B270" s="12">
        <v>45779</v>
      </c>
      <c r="C270" t="s">
        <v>18</v>
      </c>
      <c r="D270" t="s">
        <v>657</v>
      </c>
      <c r="E270" t="s">
        <v>658</v>
      </c>
      <c r="G270" s="3">
        <v>183.18</v>
      </c>
      <c r="H270" s="2">
        <f>G270*0.3</f>
        <v>54.954000000000001</v>
      </c>
      <c r="I270" s="8">
        <f>G270*0.15</f>
        <v>27.477</v>
      </c>
      <c r="J270" s="3">
        <f>G270+H270</f>
        <v>238.13400000000001</v>
      </c>
      <c r="K270" s="3">
        <f>J270*1.13</f>
        <v>269.09141999999997</v>
      </c>
      <c r="L270" s="25">
        <v>0</v>
      </c>
      <c r="O270" s="3">
        <v>261.75</v>
      </c>
      <c r="P270" s="3">
        <v>232.1</v>
      </c>
      <c r="Q270" s="3">
        <f>P270-G270</f>
        <v>48.919999999999987</v>
      </c>
      <c r="R270" s="10">
        <f>Q270/O270</f>
        <v>0.18689589302769813</v>
      </c>
      <c r="S270" s="13">
        <v>45820</v>
      </c>
      <c r="T270" s="7">
        <f ca="1">IF(S270&lt;&gt;"",S270-B270,TODAY()-B270)</f>
        <v>41</v>
      </c>
      <c r="V270" s="3">
        <f>IF((G270+H270)&lt;15,(G270+H270+2.95), ((G270+H270)*1.2))</f>
        <v>285.76080000000002</v>
      </c>
      <c r="W270" s="3">
        <f>IF((G270+I270)&lt;15,(G270+I270+2.95), ((G270+I270)*1.2))</f>
        <v>252.7884</v>
      </c>
    </row>
    <row r="271" spans="1:23">
      <c r="A271">
        <v>319</v>
      </c>
      <c r="B271" s="12">
        <v>45780</v>
      </c>
      <c r="C271" t="s">
        <v>18</v>
      </c>
      <c r="D271" t="s">
        <v>659</v>
      </c>
      <c r="E271" t="s">
        <v>660</v>
      </c>
      <c r="F271" t="s">
        <v>309</v>
      </c>
      <c r="G271" s="3">
        <v>110.22</v>
      </c>
      <c r="H271" s="2">
        <f>G271*0.3</f>
        <v>33.065999999999995</v>
      </c>
      <c r="I271" s="8">
        <f>G271*0.15</f>
        <v>16.532999999999998</v>
      </c>
      <c r="J271" s="3">
        <f>G271+H271</f>
        <v>143.286</v>
      </c>
      <c r="K271" s="3">
        <f>J271*1.13</f>
        <v>161.91317999999998</v>
      </c>
      <c r="L271" s="25">
        <v>0</v>
      </c>
      <c r="O271" s="3">
        <v>274</v>
      </c>
      <c r="P271" s="3">
        <v>243.07</v>
      </c>
      <c r="Q271" s="3">
        <f>P271-G271</f>
        <v>132.85</v>
      </c>
      <c r="R271" s="10">
        <f>Q271/O271</f>
        <v>0.48485401459854011</v>
      </c>
      <c r="S271" s="13">
        <v>45865</v>
      </c>
      <c r="T271" s="7">
        <f ca="1">IF(S271&lt;&gt;"",S271-B271,TODAY()-B271)</f>
        <v>85</v>
      </c>
      <c r="V271" s="3">
        <f>IF((G271+H271)&lt;15,(G271+H271+2.95), ((G271+H271)*1.2))</f>
        <v>171.94319999999999</v>
      </c>
      <c r="W271" s="3">
        <f>IF((G271+I271)&lt;15,(G271+I271+2.95), ((G271+I271)*1.2))</f>
        <v>152.1036</v>
      </c>
    </row>
    <row r="272" spans="1:23" hidden="1">
      <c r="A272">
        <v>320</v>
      </c>
      <c r="B272" s="12">
        <v>45780</v>
      </c>
      <c r="C272" t="s">
        <v>18</v>
      </c>
      <c r="D272" t="s">
        <v>439</v>
      </c>
      <c r="E272" t="s">
        <v>661</v>
      </c>
      <c r="F272" t="s">
        <v>309</v>
      </c>
      <c r="G272" s="3">
        <v>134.51</v>
      </c>
      <c r="H272" s="3">
        <f>G272*0.4</f>
        <v>53.804000000000002</v>
      </c>
      <c r="I272" s="8">
        <f>G272*0.15</f>
        <v>20.176499999999997</v>
      </c>
      <c r="J272" s="3">
        <f>G272+H272</f>
        <v>188.31399999999999</v>
      </c>
      <c r="K272" s="3">
        <f>J272*1.13</f>
        <v>212.79481999999996</v>
      </c>
      <c r="L272" s="25">
        <v>1</v>
      </c>
      <c r="Q272" s="3">
        <f>P272-G272</f>
        <v>-134.51</v>
      </c>
      <c r="R272" s="10" t="e">
        <f>Q272/O272</f>
        <v>#DIV/0!</v>
      </c>
      <c r="T272" s="7">
        <f ca="1">IF(S272&lt;&gt;"",S272-B272,TODAY()-B272)</f>
        <v>86</v>
      </c>
      <c r="V272" s="3">
        <f>IF((G272+H272)&lt;15,(G272+H272+2.95), ((G272+H272)*1.2))</f>
        <v>225.9768</v>
      </c>
      <c r="W272" s="3">
        <f>IF((G272+I272)&lt;15,(G272+I272+2.95), ((G272+I272)*1.2))</f>
        <v>185.62379999999999</v>
      </c>
    </row>
    <row r="273" spans="1:23">
      <c r="A273">
        <v>321</v>
      </c>
      <c r="B273" s="12">
        <v>45780</v>
      </c>
      <c r="C273" t="s">
        <v>18</v>
      </c>
      <c r="D273" t="s">
        <v>439</v>
      </c>
      <c r="E273" t="s">
        <v>662</v>
      </c>
      <c r="F273" t="s">
        <v>309</v>
      </c>
      <c r="G273" s="3">
        <v>185.88</v>
      </c>
      <c r="H273" s="3">
        <f>G273*0.4</f>
        <v>74.352000000000004</v>
      </c>
      <c r="I273" s="8">
        <f>G273*0.15</f>
        <v>27.881999999999998</v>
      </c>
      <c r="J273" s="3">
        <f>G273+H273</f>
        <v>260.23199999999997</v>
      </c>
      <c r="K273" s="3">
        <f>J273*1.13</f>
        <v>294.06215999999995</v>
      </c>
      <c r="L273" s="25">
        <v>0</v>
      </c>
      <c r="O273" s="3">
        <v>299</v>
      </c>
      <c r="P273" s="3">
        <v>265.24</v>
      </c>
      <c r="Q273" s="3">
        <f>P273-G273</f>
        <v>79.360000000000014</v>
      </c>
      <c r="R273" s="10">
        <f>Q273/O273</f>
        <v>0.26541806020066894</v>
      </c>
      <c r="S273" s="13">
        <v>45852</v>
      </c>
      <c r="T273" s="7">
        <f ca="1">IF(S273&lt;&gt;"",S273-B273,TODAY()-B273)</f>
        <v>72</v>
      </c>
      <c r="V273" s="3">
        <f>IF((G273+H273)&lt;15,(G273+H273+2.95), ((G273+H273)*1.2))</f>
        <v>312.27839999999998</v>
      </c>
      <c r="W273" s="3">
        <f>IF((G273+I273)&lt;15,(G273+I273+2.95), ((G273+I273)*1.2))</f>
        <v>256.51439999999997</v>
      </c>
    </row>
    <row r="274" spans="1:23">
      <c r="A274">
        <v>322</v>
      </c>
      <c r="B274" s="12">
        <v>45780</v>
      </c>
      <c r="C274" t="s">
        <v>18</v>
      </c>
      <c r="D274" t="s">
        <v>439</v>
      </c>
      <c r="E274" t="s">
        <v>663</v>
      </c>
      <c r="F274" t="s">
        <v>309</v>
      </c>
      <c r="G274" s="3">
        <v>223.25</v>
      </c>
      <c r="H274" s="3">
        <f>G274*0.4</f>
        <v>89.300000000000011</v>
      </c>
      <c r="I274" s="8">
        <f>G274*0.15</f>
        <v>33.487499999999997</v>
      </c>
      <c r="J274" s="3">
        <f>G274+H274</f>
        <v>312.55</v>
      </c>
      <c r="K274" s="3">
        <f>J274*1.13</f>
        <v>353.18149999999997</v>
      </c>
      <c r="L274" s="25">
        <v>0</v>
      </c>
      <c r="O274" s="3">
        <v>300</v>
      </c>
      <c r="P274" s="3">
        <v>266.44</v>
      </c>
      <c r="Q274" s="3">
        <f>P274-G274</f>
        <v>43.19</v>
      </c>
      <c r="R274" s="10">
        <f>Q274/O274</f>
        <v>0.14396666666666666</v>
      </c>
      <c r="S274" s="13">
        <v>45856</v>
      </c>
      <c r="T274" s="7">
        <f ca="1">IF(S274&lt;&gt;"",S274-B274,TODAY()-B274)</f>
        <v>76</v>
      </c>
      <c r="V274" s="3">
        <f>IF((G274+H274)&lt;15,(G274+H274+2.95), ((G274+H274)*1.2))</f>
        <v>375.06</v>
      </c>
      <c r="W274" s="3">
        <f>IF((G274+I274)&lt;15,(G274+I274+2.95), ((G274+I274)*1.2))</f>
        <v>308.08499999999998</v>
      </c>
    </row>
    <row r="275" spans="1:23">
      <c r="A275">
        <v>323</v>
      </c>
      <c r="B275" s="12">
        <v>45780</v>
      </c>
      <c r="C275" t="s">
        <v>18</v>
      </c>
      <c r="D275" t="s">
        <v>439</v>
      </c>
      <c r="E275" t="s">
        <v>664</v>
      </c>
      <c r="F275" t="s">
        <v>309</v>
      </c>
      <c r="G275" s="3">
        <v>223.25</v>
      </c>
      <c r="H275" s="2">
        <f>G275*0.3</f>
        <v>66.974999999999994</v>
      </c>
      <c r="I275" s="8">
        <f>G275*0.15</f>
        <v>33.487499999999997</v>
      </c>
      <c r="J275" s="3">
        <f>G275+H275</f>
        <v>290.22500000000002</v>
      </c>
      <c r="K275" s="3">
        <f>J275*1.13</f>
        <v>327.95425</v>
      </c>
      <c r="L275" s="25">
        <v>0</v>
      </c>
      <c r="O275" s="3">
        <v>379</v>
      </c>
      <c r="P275" s="3">
        <v>336.73</v>
      </c>
      <c r="Q275" s="3">
        <f>P275-G275</f>
        <v>113.48000000000002</v>
      </c>
      <c r="R275" s="10">
        <f>Q275/O275</f>
        <v>0.29941952506596309</v>
      </c>
      <c r="S275" s="13">
        <v>45828</v>
      </c>
      <c r="T275" s="7">
        <f ca="1">IF(S275&lt;&gt;"",S275-B275,TODAY()-B275)</f>
        <v>48</v>
      </c>
      <c r="V275" s="3">
        <f>IF((G275+H275)&lt;15,(G275+H275+2.95), ((G275+H275)*1.2))</f>
        <v>348.27000000000004</v>
      </c>
      <c r="W275" s="3">
        <f>IF((G275+I275)&lt;15,(G275+I275+2.95), ((G275+I275)*1.2))</f>
        <v>308.08499999999998</v>
      </c>
    </row>
    <row r="276" spans="1:23" hidden="1">
      <c r="A276">
        <v>324</v>
      </c>
      <c r="B276" s="12">
        <v>45780</v>
      </c>
      <c r="C276" t="s">
        <v>18</v>
      </c>
      <c r="D276" t="s">
        <v>439</v>
      </c>
      <c r="E276" t="s">
        <v>665</v>
      </c>
      <c r="F276" t="s">
        <v>309</v>
      </c>
      <c r="G276" s="3">
        <v>163.35</v>
      </c>
      <c r="H276" s="3">
        <f>G276*0.4</f>
        <v>65.34</v>
      </c>
      <c r="I276" s="8">
        <f>G276*0.15</f>
        <v>24.502499999999998</v>
      </c>
      <c r="J276" s="3">
        <f>G276+H276</f>
        <v>228.69</v>
      </c>
      <c r="K276" s="3">
        <f>J276*1.13</f>
        <v>258.41969999999998</v>
      </c>
      <c r="L276" s="25">
        <v>1</v>
      </c>
      <c r="Q276" s="3">
        <f>P276-G276</f>
        <v>-163.35</v>
      </c>
      <c r="R276" s="10" t="e">
        <f>Q276/O276</f>
        <v>#DIV/0!</v>
      </c>
      <c r="T276" s="7">
        <f ca="1">IF(S276&lt;&gt;"",S276-B276,TODAY()-B276)</f>
        <v>86</v>
      </c>
      <c r="V276" s="3">
        <f>IF((G276+H276)&lt;15,(G276+H276+2.95), ((G276+H276)*1.2))</f>
        <v>274.428</v>
      </c>
      <c r="W276" s="3">
        <f>IF((G276+I276)&lt;15,(G276+I276+2.95), ((G276+I276)*1.2))</f>
        <v>225.42299999999997</v>
      </c>
    </row>
    <row r="277" spans="1:23">
      <c r="A277">
        <v>325</v>
      </c>
      <c r="B277" s="12">
        <v>45780</v>
      </c>
      <c r="C277" t="s">
        <v>18</v>
      </c>
      <c r="D277" t="s">
        <v>666</v>
      </c>
      <c r="E277" t="s">
        <v>750</v>
      </c>
      <c r="F277" t="s">
        <v>226</v>
      </c>
      <c r="G277" s="3">
        <v>101.28</v>
      </c>
      <c r="H277" s="2">
        <f>G277*0.3</f>
        <v>30.384</v>
      </c>
      <c r="I277" s="8">
        <f>G277*0.15</f>
        <v>15.192</v>
      </c>
      <c r="J277" s="3">
        <f>G277+H277</f>
        <v>131.66399999999999</v>
      </c>
      <c r="K277" s="3">
        <f>J277*1.13</f>
        <v>148.78031999999996</v>
      </c>
      <c r="L277" s="25">
        <v>0</v>
      </c>
      <c r="O277" s="3">
        <v>199</v>
      </c>
      <c r="P277" s="3">
        <v>176.26</v>
      </c>
      <c r="Q277" s="3">
        <f>P277-G277</f>
        <v>74.97999999999999</v>
      </c>
      <c r="R277" s="10">
        <f>Q277/O277</f>
        <v>0.3767839195979899</v>
      </c>
      <c r="S277" s="13">
        <v>45798</v>
      </c>
      <c r="T277" s="7">
        <f ca="1">IF(S277&lt;&gt;"",S277-B277,TODAY()-B277)</f>
        <v>18</v>
      </c>
      <c r="V277" s="3">
        <f>IF((G277+H277)&lt;15,(G277+H277+2.95), ((G277+H277)*1.2))</f>
        <v>157.99679999999998</v>
      </c>
      <c r="W277" s="3">
        <f>IF((G277+I277)&lt;15,(G277+I277+2.95), ((G277+I277)*1.2))</f>
        <v>139.7664</v>
      </c>
    </row>
    <row r="278" spans="1:23">
      <c r="A278">
        <v>326</v>
      </c>
      <c r="B278" s="12">
        <v>45780</v>
      </c>
      <c r="C278" t="s">
        <v>18</v>
      </c>
      <c r="D278" t="s">
        <v>667</v>
      </c>
      <c r="E278" t="s">
        <v>668</v>
      </c>
      <c r="F278" t="s">
        <v>309</v>
      </c>
      <c r="G278" s="3">
        <v>500.08</v>
      </c>
      <c r="H278" s="2">
        <f>G278*0.3</f>
        <v>150.024</v>
      </c>
      <c r="I278" s="8">
        <f>G278*0.15</f>
        <v>75.012</v>
      </c>
      <c r="J278" s="3">
        <f>G278+H278</f>
        <v>650.10400000000004</v>
      </c>
      <c r="K278" s="3">
        <f>J278*1.13</f>
        <v>734.61752000000001</v>
      </c>
      <c r="L278" s="25">
        <v>0</v>
      </c>
      <c r="O278" s="3">
        <v>600</v>
      </c>
      <c r="P278" s="3">
        <v>532.41999999999996</v>
      </c>
      <c r="Q278" s="3">
        <f>P278-G278</f>
        <v>32.339999999999975</v>
      </c>
      <c r="R278" s="10">
        <f>Q278/O278</f>
        <v>5.3899999999999955E-2</v>
      </c>
      <c r="S278" s="13">
        <v>45795</v>
      </c>
      <c r="T278" s="7">
        <f ca="1">IF(S278&lt;&gt;"",S278-B278,TODAY()-B278)</f>
        <v>15</v>
      </c>
      <c r="V278" s="3">
        <f>IF((G278+H278)&lt;15,(G278+H278+2.95), ((G278+H278)*1.2))</f>
        <v>780.12480000000005</v>
      </c>
      <c r="W278" s="3">
        <f>IF((G278+I278)&lt;15,(G278+I278+2.95), ((G278+I278)*1.2))</f>
        <v>690.11039999999991</v>
      </c>
    </row>
    <row r="279" spans="1:23" hidden="1">
      <c r="A279">
        <v>327</v>
      </c>
      <c r="B279" s="12">
        <v>45780</v>
      </c>
      <c r="C279" t="s">
        <v>18</v>
      </c>
      <c r="D279" t="s">
        <v>53</v>
      </c>
      <c r="E279" t="s">
        <v>669</v>
      </c>
      <c r="F279" t="s">
        <v>226</v>
      </c>
      <c r="G279" s="3">
        <v>474.49</v>
      </c>
      <c r="H279" s="3">
        <f>G279*0.4</f>
        <v>189.79600000000002</v>
      </c>
      <c r="I279" s="8">
        <f>G279*0.15</f>
        <v>71.173500000000004</v>
      </c>
      <c r="J279" s="3">
        <f>G279+H279</f>
        <v>664.28600000000006</v>
      </c>
      <c r="K279" s="3">
        <f>J279*1.13</f>
        <v>750.64318000000003</v>
      </c>
      <c r="L279" s="25">
        <v>1</v>
      </c>
      <c r="Q279" s="3">
        <f>P279-G279</f>
        <v>-474.49</v>
      </c>
      <c r="R279" s="10" t="e">
        <f>Q279/O279</f>
        <v>#DIV/0!</v>
      </c>
      <c r="T279" s="7">
        <f ca="1">IF(S279&lt;&gt;"",S279-B279,TODAY()-B279)</f>
        <v>86</v>
      </c>
      <c r="V279" s="3">
        <f>IF((G279+H279)&lt;15,(G279+H279+2.95), ((G279+H279)*1.2))</f>
        <v>797.14320000000009</v>
      </c>
      <c r="W279" s="3">
        <f>IF((G279+I279)&lt;15,(G279+I279+2.95), ((G279+I279)*1.2))</f>
        <v>654.7962</v>
      </c>
    </row>
    <row r="280" spans="1:23" hidden="1">
      <c r="A280">
        <v>328</v>
      </c>
      <c r="B280" s="12">
        <v>45780</v>
      </c>
      <c r="C280" t="s">
        <v>18</v>
      </c>
      <c r="D280" t="s">
        <v>101</v>
      </c>
      <c r="E280" t="s">
        <v>670</v>
      </c>
      <c r="F280" t="s">
        <v>226</v>
      </c>
      <c r="G280" s="3">
        <v>309.51</v>
      </c>
      <c r="H280" s="3">
        <f>G280*0.4</f>
        <v>123.804</v>
      </c>
      <c r="I280" s="8">
        <f>G280*0.15</f>
        <v>46.426499999999997</v>
      </c>
      <c r="J280" s="3">
        <f>G280+H280</f>
        <v>433.31399999999996</v>
      </c>
      <c r="K280" s="3">
        <f>J280*1.13</f>
        <v>489.64481999999992</v>
      </c>
      <c r="L280" s="25">
        <v>1</v>
      </c>
      <c r="Q280" s="3">
        <f>P280-G280</f>
        <v>-309.51</v>
      </c>
      <c r="R280" s="10" t="e">
        <f>Q280/O280</f>
        <v>#DIV/0!</v>
      </c>
      <c r="T280" s="7">
        <f ca="1">IF(S280&lt;&gt;"",S280-B280,TODAY()-B280)</f>
        <v>86</v>
      </c>
      <c r="V280" s="3">
        <f>IF((G280+H280)&lt;15,(G280+H280+2.95), ((G280+H280)*1.2))</f>
        <v>519.97679999999991</v>
      </c>
      <c r="W280" s="3">
        <f>IF((G280+I280)&lt;15,(G280+I280+2.95), ((G280+I280)*1.2))</f>
        <v>427.12379999999996</v>
      </c>
    </row>
    <row r="281" spans="1:23">
      <c r="A281">
        <v>329</v>
      </c>
      <c r="B281" s="12">
        <v>45780</v>
      </c>
      <c r="C281" t="s">
        <v>18</v>
      </c>
      <c r="D281" t="s">
        <v>594</v>
      </c>
      <c r="E281" t="s">
        <v>671</v>
      </c>
      <c r="F281" t="s">
        <v>309</v>
      </c>
      <c r="G281" s="3">
        <v>75.52</v>
      </c>
      <c r="H281" s="2">
        <f>G281*0.3</f>
        <v>22.655999999999999</v>
      </c>
      <c r="I281" s="8">
        <f>G281*0.15</f>
        <v>11.327999999999999</v>
      </c>
      <c r="J281" s="3">
        <f>G281+H281</f>
        <v>98.175999999999988</v>
      </c>
      <c r="K281" s="3">
        <f>J281*1.13</f>
        <v>110.93887999999997</v>
      </c>
      <c r="L281" s="25">
        <v>0</v>
      </c>
      <c r="O281" s="3">
        <v>144</v>
      </c>
      <c r="P281" s="3">
        <v>127.41</v>
      </c>
      <c r="Q281" s="3">
        <f>P281-G281</f>
        <v>51.89</v>
      </c>
      <c r="R281" s="10">
        <f>Q281/O281</f>
        <v>0.36034722222222221</v>
      </c>
      <c r="S281" s="13">
        <v>45793</v>
      </c>
      <c r="T281" s="7">
        <f ca="1">IF(S281&lt;&gt;"",S281-B281,TODAY()-B281)</f>
        <v>13</v>
      </c>
      <c r="V281" s="3">
        <f>IF((G281+H281)&lt;15,(G281+H281+2.95), ((G281+H281)*1.2))</f>
        <v>117.81119999999999</v>
      </c>
      <c r="W281" s="3">
        <f>IF((G281+I281)&lt;15,(G281+I281+2.95), ((G281+I281)*1.2))</f>
        <v>104.21759999999999</v>
      </c>
    </row>
    <row r="282" spans="1:23">
      <c r="A282">
        <v>330</v>
      </c>
      <c r="B282" s="12">
        <v>45781</v>
      </c>
      <c r="C282" t="s">
        <v>18</v>
      </c>
      <c r="D282" t="s">
        <v>31</v>
      </c>
      <c r="E282" t="s">
        <v>673</v>
      </c>
      <c r="F282" t="s">
        <v>672</v>
      </c>
      <c r="G282" s="3">
        <v>58.35</v>
      </c>
      <c r="H282" s="2">
        <f>G282*0.3</f>
        <v>17.504999999999999</v>
      </c>
      <c r="I282" s="8">
        <f>G282*0.15</f>
        <v>8.7524999999999995</v>
      </c>
      <c r="J282" s="3">
        <f>G282+H282</f>
        <v>75.855000000000004</v>
      </c>
      <c r="K282" s="3">
        <f>J282*1.13</f>
        <v>85.716149999999999</v>
      </c>
      <c r="L282" s="25">
        <v>0</v>
      </c>
      <c r="O282" s="3">
        <v>0</v>
      </c>
      <c r="P282" s="3">
        <v>0</v>
      </c>
      <c r="Q282" s="3">
        <f>P282-G282</f>
        <v>-58.35</v>
      </c>
      <c r="R282" s="10" t="e">
        <f>Q282/O282</f>
        <v>#DIV/0!</v>
      </c>
      <c r="T282" s="7">
        <f ca="1">IF(S282&lt;&gt;"",S282-B282,TODAY()-B282)</f>
        <v>85</v>
      </c>
      <c r="V282" s="3">
        <f>IF((G282+H282)&lt;15,(G282+H282+2.95), ((G282+H282)*1.2))</f>
        <v>91.025999999999996</v>
      </c>
      <c r="W282" s="3">
        <f>IF((G282+I282)&lt;15,(G282+I282+2.95), ((G282+I282)*1.2))</f>
        <v>80.52300000000001</v>
      </c>
    </row>
    <row r="283" spans="1:23" hidden="1">
      <c r="A283">
        <v>331</v>
      </c>
      <c r="B283" s="12">
        <v>45781</v>
      </c>
      <c r="C283" t="s">
        <v>18</v>
      </c>
      <c r="D283" t="s">
        <v>674</v>
      </c>
      <c r="E283" t="s">
        <v>675</v>
      </c>
      <c r="F283" t="s">
        <v>309</v>
      </c>
      <c r="G283" s="3">
        <v>112.67</v>
      </c>
      <c r="H283" s="3">
        <f>G283*0.4</f>
        <v>45.068000000000005</v>
      </c>
      <c r="I283" s="8">
        <f>G283*0.15</f>
        <v>16.900500000000001</v>
      </c>
      <c r="J283" s="3">
        <f>G283+H283</f>
        <v>157.738</v>
      </c>
      <c r="K283" s="3">
        <f>J283*1.13</f>
        <v>178.24393999999998</v>
      </c>
      <c r="L283" s="25">
        <v>1</v>
      </c>
      <c r="Q283" s="3">
        <f>P283-G283</f>
        <v>-112.67</v>
      </c>
      <c r="R283" s="10" t="e">
        <f>Q283/O283</f>
        <v>#DIV/0!</v>
      </c>
      <c r="T283" s="7">
        <f ca="1">IF(S283&lt;&gt;"",S283-B283,TODAY()-B283)</f>
        <v>85</v>
      </c>
      <c r="V283" s="3">
        <f>IF((G283+H283)&lt;15,(G283+H283+2.95), ((G283+H283)*1.2))</f>
        <v>189.28559999999999</v>
      </c>
      <c r="W283" s="3">
        <f>IF((G283+I283)&lt;15,(G283+I283+2.95), ((G283+I283)*1.2))</f>
        <v>155.4846</v>
      </c>
    </row>
    <row r="284" spans="1:23">
      <c r="A284">
        <v>332</v>
      </c>
      <c r="B284" s="12">
        <v>45779</v>
      </c>
      <c r="C284" t="s">
        <v>18</v>
      </c>
      <c r="D284" t="s">
        <v>677</v>
      </c>
      <c r="E284" t="s">
        <v>676</v>
      </c>
      <c r="F284" t="s">
        <v>224</v>
      </c>
      <c r="G284" s="3">
        <v>50</v>
      </c>
      <c r="H284" s="2">
        <f>G284*0.3</f>
        <v>15</v>
      </c>
      <c r="I284" s="8">
        <f>G284*0.15</f>
        <v>7.5</v>
      </c>
      <c r="J284" s="3">
        <f>G284+H284</f>
        <v>65</v>
      </c>
      <c r="K284" s="3">
        <f>J284*1.13</f>
        <v>73.449999999999989</v>
      </c>
      <c r="L284" s="25">
        <v>0</v>
      </c>
      <c r="M284" s="7" t="s">
        <v>606</v>
      </c>
      <c r="N284" s="3">
        <v>185</v>
      </c>
      <c r="O284" s="3">
        <v>161</v>
      </c>
      <c r="P284" s="3">
        <v>128.80000000000001</v>
      </c>
      <c r="Q284" s="3">
        <f>P284-G284</f>
        <v>78.800000000000011</v>
      </c>
      <c r="R284" s="10">
        <f>Q284/O284</f>
        <v>0.48944099378881994</v>
      </c>
      <c r="T284" s="7">
        <f ca="1">IF(S284&lt;&gt;"",S284-B284,TODAY()-B284)</f>
        <v>87</v>
      </c>
      <c r="V284" s="3">
        <f>IF((G284+H284)&lt;15,(G284+H284+2.95), ((G284+H284)*1.2))</f>
        <v>78</v>
      </c>
      <c r="W284" s="3">
        <f>IF((G284+I284)&lt;15,(G284+I284+2.95), ((G284+I284)*1.2))</f>
        <v>69</v>
      </c>
    </row>
    <row r="285" spans="1:23">
      <c r="A285">
        <v>333</v>
      </c>
      <c r="B285" s="12">
        <v>45779</v>
      </c>
      <c r="C285" t="s">
        <v>18</v>
      </c>
      <c r="D285" t="s">
        <v>677</v>
      </c>
      <c r="E285" t="s">
        <v>678</v>
      </c>
      <c r="F285" t="s">
        <v>226</v>
      </c>
      <c r="G285" s="3">
        <v>20</v>
      </c>
      <c r="H285" s="3">
        <f>G285*0.4</f>
        <v>8</v>
      </c>
      <c r="I285" s="8">
        <f>G285*0.15</f>
        <v>3</v>
      </c>
      <c r="J285" s="3">
        <f>G285+H285</f>
        <v>28</v>
      </c>
      <c r="K285" s="3">
        <f>J285*1.13</f>
        <v>31.639999999999997</v>
      </c>
      <c r="L285" s="25">
        <v>0</v>
      </c>
      <c r="M285" s="7" t="s">
        <v>606</v>
      </c>
      <c r="O285" s="3">
        <v>51</v>
      </c>
      <c r="P285" s="3">
        <v>44.77</v>
      </c>
      <c r="Q285" s="3">
        <f>P285-G285</f>
        <v>24.770000000000003</v>
      </c>
      <c r="R285" s="10">
        <f>Q285/O285</f>
        <v>0.48568627450980401</v>
      </c>
      <c r="S285" s="13">
        <v>45851</v>
      </c>
      <c r="T285" s="7">
        <f ca="1">IF(S285&lt;&gt;"",S285-B285,TODAY()-B285)</f>
        <v>72</v>
      </c>
      <c r="V285" s="3">
        <f>IF((G285+H285)&lt;15,(G285+H285+2.95), ((G285+H285)*1.2))</f>
        <v>33.6</v>
      </c>
      <c r="W285" s="3">
        <f>IF((G285+I285)&lt;15,(G285+I285+2.95), ((G285+I285)*1.2))</f>
        <v>27.599999999999998</v>
      </c>
    </row>
    <row r="286" spans="1:23">
      <c r="A286">
        <v>334</v>
      </c>
      <c r="B286" s="12">
        <v>45779</v>
      </c>
      <c r="C286" t="s">
        <v>18</v>
      </c>
      <c r="D286" t="s">
        <v>677</v>
      </c>
      <c r="E286" t="s">
        <v>679</v>
      </c>
      <c r="F286" t="s">
        <v>226</v>
      </c>
      <c r="G286" s="3">
        <v>25</v>
      </c>
      <c r="H286" s="2">
        <f>G286*0.3</f>
        <v>7.5</v>
      </c>
      <c r="I286" s="8">
        <f>G286*0.15</f>
        <v>3.75</v>
      </c>
      <c r="J286" s="3">
        <f>G286+H286</f>
        <v>32.5</v>
      </c>
      <c r="K286" s="3">
        <f>J286*1.13</f>
        <v>36.724999999999994</v>
      </c>
      <c r="L286" s="25">
        <v>0</v>
      </c>
      <c r="M286" s="7" t="s">
        <v>606</v>
      </c>
      <c r="O286" s="3">
        <v>139</v>
      </c>
      <c r="P286" s="3">
        <v>123.04</v>
      </c>
      <c r="Q286" s="3">
        <f>P286-G286</f>
        <v>98.04</v>
      </c>
      <c r="R286" s="10">
        <f>Q286/O286</f>
        <v>0.7053237410071943</v>
      </c>
      <c r="S286" s="13">
        <v>45791</v>
      </c>
      <c r="T286" s="7">
        <f ca="1">IF(S286&lt;&gt;"",S286-B286,TODAY()-B286)</f>
        <v>12</v>
      </c>
      <c r="V286" s="3">
        <f>IF((G286+H286)&lt;15,(G286+H286+2.95), ((G286+H286)*1.2))</f>
        <v>39</v>
      </c>
      <c r="W286" s="3">
        <f>IF((G286+I286)&lt;15,(G286+I286+2.95), ((G286+I286)*1.2))</f>
        <v>34.5</v>
      </c>
    </row>
    <row r="287" spans="1:23">
      <c r="A287">
        <v>335</v>
      </c>
      <c r="B287" s="12">
        <v>45779</v>
      </c>
      <c r="C287" t="s">
        <v>18</v>
      </c>
      <c r="D287" t="s">
        <v>677</v>
      </c>
      <c r="E287" t="s">
        <v>680</v>
      </c>
      <c r="F287" t="s">
        <v>224</v>
      </c>
      <c r="G287" s="3">
        <v>3</v>
      </c>
      <c r="H287" s="3">
        <f>G287*0.4</f>
        <v>1.2000000000000002</v>
      </c>
      <c r="I287" s="8">
        <f>G287*0.15</f>
        <v>0.44999999999999996</v>
      </c>
      <c r="J287" s="3">
        <f>G287+H287</f>
        <v>4.2</v>
      </c>
      <c r="K287" s="3">
        <f>J287*1.13</f>
        <v>4.7459999999999996</v>
      </c>
      <c r="L287" s="25">
        <v>0</v>
      </c>
      <c r="O287" s="3">
        <v>0</v>
      </c>
      <c r="P287" s="3">
        <v>0</v>
      </c>
      <c r="Q287" s="3">
        <f>P287-G287</f>
        <v>-3</v>
      </c>
      <c r="R287" s="10" t="e">
        <f>Q287/O287</f>
        <v>#DIV/0!</v>
      </c>
      <c r="T287" s="7">
        <f ca="1">IF(S287&lt;&gt;"",S287-B287,TODAY()-B287)</f>
        <v>87</v>
      </c>
      <c r="V287" s="3">
        <f>IF((G287+H287)&lt;15,(G287+H287+2.95), ((G287+H287)*1.2))</f>
        <v>7.15</v>
      </c>
      <c r="W287" s="3">
        <f>IF((G287+I287)&lt;15,(G287+I287+2.95), ((G287+I287)*1.2))</f>
        <v>6.4</v>
      </c>
    </row>
    <row r="288" spans="1:23" hidden="1">
      <c r="A288">
        <v>336</v>
      </c>
      <c r="B288" s="12">
        <v>45779</v>
      </c>
      <c r="C288" t="s">
        <v>18</v>
      </c>
      <c r="D288" t="s">
        <v>677</v>
      </c>
      <c r="E288" t="s">
        <v>681</v>
      </c>
      <c r="F288" t="s">
        <v>226</v>
      </c>
      <c r="G288" s="3">
        <v>10</v>
      </c>
      <c r="H288" s="2">
        <f>G288*0.3</f>
        <v>3</v>
      </c>
      <c r="I288" s="8">
        <f>G288*0.15</f>
        <v>1.5</v>
      </c>
      <c r="J288" s="3">
        <f>G288+H288</f>
        <v>13</v>
      </c>
      <c r="K288" s="3">
        <f>J288*1.13</f>
        <v>14.689999999999998</v>
      </c>
      <c r="L288" s="25">
        <v>0</v>
      </c>
      <c r="Q288" s="3">
        <f>P288-G288</f>
        <v>-10</v>
      </c>
      <c r="R288" s="10" t="e">
        <f>Q288/O288</f>
        <v>#DIV/0!</v>
      </c>
      <c r="T288" s="7">
        <f ca="1">IF(S288&lt;&gt;"",S288-B288,TODAY()-B288)</f>
        <v>87</v>
      </c>
      <c r="V288" s="3">
        <f>IF((G288+H288)&lt;15,(G288+H288+2.95), ((G288+H288)*1.2))</f>
        <v>15.95</v>
      </c>
      <c r="W288" s="3">
        <f>IF((G288+I288)&lt;15,(G288+I288+2.95), ((G288+I288)*1.2))</f>
        <v>14.45</v>
      </c>
    </row>
    <row r="289" spans="1:23">
      <c r="A289">
        <v>337</v>
      </c>
      <c r="B289" s="12">
        <v>45779</v>
      </c>
      <c r="C289" t="s">
        <v>18</v>
      </c>
      <c r="D289" t="s">
        <v>677</v>
      </c>
      <c r="E289" t="s">
        <v>682</v>
      </c>
      <c r="F289" t="s">
        <v>309</v>
      </c>
      <c r="G289" s="3">
        <v>210</v>
      </c>
      <c r="H289" s="2">
        <f>G289*0.3</f>
        <v>63</v>
      </c>
      <c r="I289" s="8">
        <f>G289*0.15</f>
        <v>31.5</v>
      </c>
      <c r="J289" s="3">
        <f>G289+H289</f>
        <v>273</v>
      </c>
      <c r="K289" s="3">
        <f>J289*1.13</f>
        <v>308.48999999999995</v>
      </c>
      <c r="L289" s="25">
        <v>0</v>
      </c>
      <c r="M289" s="7" t="s">
        <v>606</v>
      </c>
      <c r="N289" s="3">
        <v>1099</v>
      </c>
      <c r="O289" s="3">
        <v>699.3</v>
      </c>
      <c r="P289" s="3">
        <v>621.05999999999995</v>
      </c>
      <c r="Q289" s="3">
        <f>P289-G289</f>
        <v>411.05999999999995</v>
      </c>
      <c r="R289" s="10">
        <f>Q289/O289</f>
        <v>0.58781638781638779</v>
      </c>
      <c r="S289" s="13">
        <v>45786</v>
      </c>
      <c r="T289" s="7">
        <f ca="1">IF(S289&lt;&gt;"",S289-B289,TODAY()-B289)</f>
        <v>7</v>
      </c>
      <c r="V289" s="3">
        <f>IF((G289+H289)&lt;15,(G289+H289+2.95), ((G289+H289)*1.2))</f>
        <v>327.59999999999997</v>
      </c>
      <c r="W289" s="3">
        <f>IF((G289+I289)&lt;15,(G289+I289+2.95), ((G289+I289)*1.2))</f>
        <v>289.8</v>
      </c>
    </row>
    <row r="290" spans="1:23">
      <c r="A290">
        <v>338</v>
      </c>
      <c r="B290" s="12">
        <v>45781</v>
      </c>
      <c r="C290" t="s">
        <v>18</v>
      </c>
      <c r="D290" t="s">
        <v>132</v>
      </c>
      <c r="E290" s="15" t="s">
        <v>683</v>
      </c>
      <c r="F290" t="s">
        <v>254</v>
      </c>
      <c r="G290" s="3">
        <f>143.29/2</f>
        <v>71.644999999999996</v>
      </c>
      <c r="H290" s="2">
        <f>G290*0.3</f>
        <v>21.493499999999997</v>
      </c>
      <c r="I290" s="8">
        <f>G290*0.15</f>
        <v>10.746749999999999</v>
      </c>
      <c r="J290" s="3">
        <f>G290+H290</f>
        <v>93.138499999999993</v>
      </c>
      <c r="K290" s="3">
        <f>J290*1.13</f>
        <v>105.24650499999998</v>
      </c>
      <c r="L290" s="25">
        <v>0</v>
      </c>
      <c r="O290" s="3">
        <v>46</v>
      </c>
      <c r="P290" s="3">
        <v>40.299999999999997</v>
      </c>
      <c r="Q290" s="3">
        <f>P290-G290</f>
        <v>-31.344999999999999</v>
      </c>
      <c r="R290" s="10">
        <f>Q290/O290</f>
        <v>-0.68141304347826082</v>
      </c>
      <c r="S290" s="13">
        <v>45812</v>
      </c>
      <c r="T290" s="7">
        <f ca="1">IF(S290&lt;&gt;"",S290-B290,TODAY()-B290)</f>
        <v>31</v>
      </c>
      <c r="V290" s="3">
        <f>IF((G290+H290)&lt;15,(G290+H290+2.95), ((G290+H290)*1.2))</f>
        <v>111.76619999999998</v>
      </c>
      <c r="W290" s="3">
        <f>IF((G290+I290)&lt;15,(G290+I290+2.95), ((G290+I290)*1.2))</f>
        <v>98.870099999999994</v>
      </c>
    </row>
    <row r="291" spans="1:23">
      <c r="A291">
        <v>339</v>
      </c>
      <c r="B291" s="12">
        <v>45781</v>
      </c>
      <c r="C291" t="s">
        <v>18</v>
      </c>
      <c r="D291" t="s">
        <v>132</v>
      </c>
      <c r="E291" s="15" t="s">
        <v>684</v>
      </c>
      <c r="F291" t="s">
        <v>254</v>
      </c>
      <c r="G291" s="3">
        <f>143.29/2</f>
        <v>71.644999999999996</v>
      </c>
      <c r="H291" s="3">
        <f>G291*0.4</f>
        <v>28.658000000000001</v>
      </c>
      <c r="I291" s="8">
        <f>G291*0.15</f>
        <v>10.746749999999999</v>
      </c>
      <c r="J291" s="3">
        <f>G291+H291</f>
        <v>100.303</v>
      </c>
      <c r="K291" s="3">
        <f>J291*1.13</f>
        <v>113.34238999999998</v>
      </c>
      <c r="L291" s="27">
        <v>0</v>
      </c>
      <c r="O291" s="3">
        <v>31</v>
      </c>
      <c r="P291" s="3">
        <v>28.45</v>
      </c>
      <c r="Q291" s="3">
        <f>P291-G291</f>
        <v>-43.194999999999993</v>
      </c>
      <c r="R291" s="10">
        <f>Q291/O291</f>
        <v>-1.3933870967741933</v>
      </c>
      <c r="S291" s="13">
        <v>45842</v>
      </c>
      <c r="T291" s="7">
        <f ca="1">IF(S291&lt;&gt;"",S291-B291,TODAY()-B291)</f>
        <v>61</v>
      </c>
      <c r="V291" s="3">
        <f>IF((G291+H291)&lt;15,(G291+H291+2.95), ((G291+H291)*1.2))</f>
        <v>120.36359999999999</v>
      </c>
      <c r="W291" s="3">
        <f>IF((G291+I291)&lt;15,(G291+I291+2.95), ((G291+I291)*1.2))</f>
        <v>98.870099999999994</v>
      </c>
    </row>
    <row r="292" spans="1:23">
      <c r="A292">
        <v>340</v>
      </c>
      <c r="B292" s="12">
        <v>45781</v>
      </c>
      <c r="C292" t="s">
        <v>18</v>
      </c>
      <c r="D292" t="s">
        <v>132</v>
      </c>
      <c r="E292" t="s">
        <v>685</v>
      </c>
      <c r="F292" t="s">
        <v>254</v>
      </c>
      <c r="G292" s="3">
        <v>111.77</v>
      </c>
      <c r="H292" s="3">
        <f>G292*0.4</f>
        <v>44.707999999999998</v>
      </c>
      <c r="I292" s="8">
        <f>G292*0.15</f>
        <v>16.765499999999999</v>
      </c>
      <c r="J292" s="3">
        <f>G292+H292</f>
        <v>156.47800000000001</v>
      </c>
      <c r="K292" s="3">
        <f>J292*1.13</f>
        <v>176.82013999999998</v>
      </c>
      <c r="L292" s="25">
        <v>0</v>
      </c>
      <c r="O292" s="3">
        <v>155</v>
      </c>
      <c r="P292" s="3">
        <v>137.16999999999999</v>
      </c>
      <c r="Q292" s="3">
        <f>P292-G292</f>
        <v>25.399999999999991</v>
      </c>
      <c r="R292" s="10">
        <f>Q292/O292</f>
        <v>0.16387096774193544</v>
      </c>
      <c r="S292" s="13">
        <v>45859</v>
      </c>
      <c r="T292" s="7">
        <f ca="1">IF(S292&lt;&gt;"",S292-B292,TODAY()-B292)</f>
        <v>78</v>
      </c>
      <c r="V292" s="3">
        <f>IF((G292+H292)&lt;15,(G292+H292+2.95), ((G292+H292)*1.2))</f>
        <v>187.77360000000002</v>
      </c>
      <c r="W292" s="3">
        <f>IF((G292+I292)&lt;15,(G292+I292+2.95), ((G292+I292)*1.2))</f>
        <v>154.24259999999998</v>
      </c>
    </row>
    <row r="293" spans="1:23" hidden="1">
      <c r="A293">
        <v>341</v>
      </c>
      <c r="B293" s="12">
        <v>45781</v>
      </c>
      <c r="C293" t="s">
        <v>18</v>
      </c>
      <c r="D293" t="s">
        <v>132</v>
      </c>
      <c r="E293" t="s">
        <v>686</v>
      </c>
      <c r="F293" t="s">
        <v>46</v>
      </c>
      <c r="G293" s="3">
        <f>103.46/2</f>
        <v>51.73</v>
      </c>
      <c r="H293" s="3">
        <f>G293*0.4</f>
        <v>20.692</v>
      </c>
      <c r="I293" s="8">
        <f>G293*0.15</f>
        <v>7.7594999999999992</v>
      </c>
      <c r="J293" s="3">
        <f>G293+H293</f>
        <v>72.421999999999997</v>
      </c>
      <c r="K293" s="3">
        <f>J293*1.13</f>
        <v>81.836859999999987</v>
      </c>
      <c r="L293" s="25">
        <v>1</v>
      </c>
      <c r="Q293" s="3">
        <f>P293-G293</f>
        <v>-51.73</v>
      </c>
      <c r="R293" s="10" t="e">
        <f>Q293/O293</f>
        <v>#DIV/0!</v>
      </c>
      <c r="T293" s="7">
        <f ca="1">IF(S293&lt;&gt;"",S293-B293,TODAY()-B293)</f>
        <v>85</v>
      </c>
      <c r="V293" s="3">
        <f>IF((G293+H293)&lt;15,(G293+H293+2.95), ((G293+H293)*1.2))</f>
        <v>86.906399999999991</v>
      </c>
      <c r="W293" s="3">
        <f>IF((G293+I293)&lt;15,(G293+I293+2.95), ((G293+I293)*1.2))</f>
        <v>71.387399999999985</v>
      </c>
    </row>
    <row r="294" spans="1:23" hidden="1">
      <c r="A294">
        <v>342</v>
      </c>
      <c r="B294" s="12">
        <v>45781</v>
      </c>
      <c r="C294" t="s">
        <v>18</v>
      </c>
      <c r="D294" t="s">
        <v>132</v>
      </c>
      <c r="E294" t="s">
        <v>687</v>
      </c>
      <c r="F294" t="s">
        <v>46</v>
      </c>
      <c r="G294" s="3">
        <f>103.46/2</f>
        <v>51.73</v>
      </c>
      <c r="H294" s="3">
        <f>G294*0.4</f>
        <v>20.692</v>
      </c>
      <c r="I294" s="8">
        <f>G294*0.15</f>
        <v>7.7594999999999992</v>
      </c>
      <c r="J294" s="3">
        <f>G294+H294</f>
        <v>72.421999999999997</v>
      </c>
      <c r="K294" s="3">
        <f>J294*1.13</f>
        <v>81.836859999999987</v>
      </c>
      <c r="L294" s="25">
        <v>1</v>
      </c>
      <c r="Q294" s="3">
        <f>P294-G294</f>
        <v>-51.73</v>
      </c>
      <c r="R294" s="10" t="e">
        <f>Q294/O294</f>
        <v>#DIV/0!</v>
      </c>
      <c r="T294" s="7">
        <f ca="1">IF(S294&lt;&gt;"",S294-B294,TODAY()-B294)</f>
        <v>85</v>
      </c>
      <c r="V294" s="3">
        <f>IF((G294+H294)&lt;15,(G294+H294+2.95), ((G294+H294)*1.2))</f>
        <v>86.906399999999991</v>
      </c>
      <c r="W294" s="3">
        <f>IF((G294+I294)&lt;15,(G294+I294+2.95), ((G294+I294)*1.2))</f>
        <v>71.387399999999985</v>
      </c>
    </row>
    <row r="295" spans="1:23" hidden="1">
      <c r="A295">
        <v>343</v>
      </c>
      <c r="B295" s="12">
        <v>45781</v>
      </c>
      <c r="C295" t="s">
        <v>18</v>
      </c>
      <c r="D295" t="s">
        <v>132</v>
      </c>
      <c r="E295" t="s">
        <v>688</v>
      </c>
      <c r="F295" t="s">
        <v>46</v>
      </c>
      <c r="G295" s="3">
        <v>62.07</v>
      </c>
      <c r="H295" s="3">
        <f>G295*0.4</f>
        <v>24.828000000000003</v>
      </c>
      <c r="I295" s="8">
        <f>G295*0.15</f>
        <v>9.3104999999999993</v>
      </c>
      <c r="J295" s="3">
        <f>G295+H295</f>
        <v>86.897999999999996</v>
      </c>
      <c r="K295" s="3">
        <f>J295*1.13</f>
        <v>98.194739999999982</v>
      </c>
      <c r="L295" s="25">
        <v>1</v>
      </c>
      <c r="Q295" s="3">
        <f>P295-G295</f>
        <v>-62.07</v>
      </c>
      <c r="R295" s="10" t="e">
        <f>Q295/O295</f>
        <v>#DIV/0!</v>
      </c>
      <c r="T295" s="7">
        <f ca="1">IF(S295&lt;&gt;"",S295-B295,TODAY()-B295)</f>
        <v>85</v>
      </c>
      <c r="V295" s="3">
        <f>IF((G295+H295)&lt;15,(G295+H295+2.95), ((G295+H295)*1.2))</f>
        <v>104.27759999999999</v>
      </c>
      <c r="W295" s="3">
        <f>IF((G295+I295)&lt;15,(G295+I295+2.95), ((G295+I295)*1.2))</f>
        <v>85.656599999999997</v>
      </c>
    </row>
    <row r="296" spans="1:23" hidden="1">
      <c r="A296">
        <v>344</v>
      </c>
      <c r="B296" s="12">
        <v>45781</v>
      </c>
      <c r="C296" t="s">
        <v>18</v>
      </c>
      <c r="D296" t="s">
        <v>132</v>
      </c>
      <c r="E296" t="s">
        <v>689</v>
      </c>
      <c r="F296" t="s">
        <v>46</v>
      </c>
      <c r="G296" s="3">
        <v>64.25</v>
      </c>
      <c r="H296" s="3">
        <f>G296*0.4</f>
        <v>25.700000000000003</v>
      </c>
      <c r="I296" s="8">
        <f>G296*0.15</f>
        <v>9.6374999999999993</v>
      </c>
      <c r="J296" s="3">
        <f>G296+H296</f>
        <v>89.95</v>
      </c>
      <c r="K296" s="3">
        <f>J296*1.13</f>
        <v>101.64349999999999</v>
      </c>
      <c r="L296" s="25">
        <v>1</v>
      </c>
      <c r="Q296" s="3">
        <f>P296-G296</f>
        <v>-64.25</v>
      </c>
      <c r="R296" s="10" t="e">
        <f>Q296/O296</f>
        <v>#DIV/0!</v>
      </c>
      <c r="T296" s="7">
        <f ca="1">IF(S296&lt;&gt;"",S296-B296,TODAY()-B296)</f>
        <v>85</v>
      </c>
      <c r="V296" s="3">
        <f>IF((G296+H296)&lt;15,(G296+H296+2.95), ((G296+H296)*1.2))</f>
        <v>107.94</v>
      </c>
      <c r="W296" s="3">
        <f>IF((G296+I296)&lt;15,(G296+I296+2.95), ((G296+I296)*1.2))</f>
        <v>88.665000000000006</v>
      </c>
    </row>
    <row r="297" spans="1:23">
      <c r="A297">
        <v>345</v>
      </c>
      <c r="B297" s="12">
        <v>45781</v>
      </c>
      <c r="C297" t="s">
        <v>18</v>
      </c>
      <c r="D297" t="s">
        <v>691</v>
      </c>
      <c r="E297" t="s">
        <v>690</v>
      </c>
      <c r="F297" t="s">
        <v>226</v>
      </c>
      <c r="G297" s="3">
        <v>304.06</v>
      </c>
      <c r="H297" s="2">
        <f>G297*0.3</f>
        <v>91.218000000000004</v>
      </c>
      <c r="I297" s="8">
        <f>G297*0.15</f>
        <v>45.609000000000002</v>
      </c>
      <c r="J297" s="3">
        <f>G297+H297</f>
        <v>395.27800000000002</v>
      </c>
      <c r="K297" s="3">
        <f>J297*1.13</f>
        <v>446.66413999999997</v>
      </c>
      <c r="L297" s="25">
        <v>0</v>
      </c>
      <c r="O297" s="3">
        <v>479.2</v>
      </c>
      <c r="P297" s="3">
        <v>426.4</v>
      </c>
      <c r="Q297" s="3">
        <f>P297-G297</f>
        <v>122.33999999999997</v>
      </c>
      <c r="R297" s="10">
        <f>Q297/O297</f>
        <v>0.2553005008347245</v>
      </c>
      <c r="S297" s="13">
        <v>45802</v>
      </c>
      <c r="T297" s="7">
        <f ca="1">IF(S297&lt;&gt;"",S297-B297,TODAY()-B297)</f>
        <v>21</v>
      </c>
      <c r="V297" s="3">
        <f>IF((G297+H297)&lt;15,(G297+H297+2.95), ((G297+H297)*1.2))</f>
        <v>474.33359999999999</v>
      </c>
      <c r="W297" s="3">
        <f>IF((G297+I297)&lt;15,(G297+I297+2.95), ((G297+I297)*1.2))</f>
        <v>419.60279999999995</v>
      </c>
    </row>
    <row r="298" spans="1:23">
      <c r="A298">
        <v>346</v>
      </c>
      <c r="B298" s="12">
        <v>45781</v>
      </c>
      <c r="C298" t="s">
        <v>18</v>
      </c>
      <c r="D298" t="s">
        <v>691</v>
      </c>
      <c r="E298" t="s">
        <v>692</v>
      </c>
      <c r="F298" t="s">
        <v>309</v>
      </c>
      <c r="G298" s="3">
        <v>370.26</v>
      </c>
      <c r="H298" s="2">
        <f>G298*0.3</f>
        <v>111.07799999999999</v>
      </c>
      <c r="I298" s="8">
        <f>G298*0.15</f>
        <v>55.538999999999994</v>
      </c>
      <c r="J298" s="3">
        <f>G298+H298</f>
        <v>481.33799999999997</v>
      </c>
      <c r="K298" s="3">
        <f>J298*1.13</f>
        <v>543.91193999999996</v>
      </c>
      <c r="L298" s="25">
        <v>0</v>
      </c>
      <c r="O298" s="3">
        <v>490</v>
      </c>
      <c r="P298" s="3">
        <v>434.64</v>
      </c>
      <c r="Q298" s="3">
        <f>P298-G298</f>
        <v>64.38</v>
      </c>
      <c r="R298" s="10">
        <f>Q298/O298</f>
        <v>0.13138775510204082</v>
      </c>
      <c r="S298" s="13">
        <v>45803</v>
      </c>
      <c r="T298" s="7">
        <f ca="1">IF(S298&lt;&gt;"",S298-B298,TODAY()-B298)</f>
        <v>22</v>
      </c>
      <c r="V298" s="3">
        <f>IF((G298+H298)&lt;15,(G298+H298+2.95), ((G298+H298)*1.2))</f>
        <v>577.60559999999998</v>
      </c>
      <c r="W298" s="3">
        <f>IF((G298+I298)&lt;15,(G298+I298+2.95), ((G298+I298)*1.2))</f>
        <v>510.95879999999994</v>
      </c>
    </row>
    <row r="299" spans="1:23" s="16" customFormat="1" hidden="1">
      <c r="A299" s="16">
        <v>347</v>
      </c>
      <c r="B299" s="17">
        <v>45781</v>
      </c>
      <c r="C299" t="s">
        <v>18</v>
      </c>
      <c r="D299" s="16" t="s">
        <v>58</v>
      </c>
      <c r="E299" s="16" t="s">
        <v>693</v>
      </c>
      <c r="F299" s="16" t="s">
        <v>226</v>
      </c>
      <c r="G299" s="18">
        <v>162.49</v>
      </c>
      <c r="H299" s="3">
        <f>G299*0.4</f>
        <v>64.996000000000009</v>
      </c>
      <c r="I299" s="20">
        <f>G299*0.15</f>
        <v>24.3735</v>
      </c>
      <c r="J299" s="18">
        <f>G299+H299</f>
        <v>227.48600000000002</v>
      </c>
      <c r="K299" s="3">
        <f>J299*1.13</f>
        <v>257.05917999999997</v>
      </c>
      <c r="L299" s="26">
        <v>1</v>
      </c>
      <c r="M299" s="21"/>
      <c r="N299" s="18"/>
      <c r="O299" s="18"/>
      <c r="P299" s="18"/>
      <c r="Q299" s="18">
        <f>P299-G299</f>
        <v>-162.49</v>
      </c>
      <c r="R299" s="22" t="e">
        <f>Q299/O299</f>
        <v>#DIV/0!</v>
      </c>
      <c r="S299" s="23"/>
      <c r="T299" s="7">
        <f ca="1">IF(S299&lt;&gt;"",S299-B299,TODAY()-B299)</f>
        <v>85</v>
      </c>
      <c r="U299" s="23"/>
      <c r="V299" s="18">
        <f>IF((G299+H299)&lt;15,(G299+H299+2.95), ((G299+H299)*1.2))</f>
        <v>272.98320000000001</v>
      </c>
      <c r="W299" s="18">
        <f>IF((G299+I299)&lt;15,(G299+I299+2.95), ((G299+I299)*1.2))</f>
        <v>224.23620000000003</v>
      </c>
    </row>
    <row r="300" spans="1:23">
      <c r="A300">
        <v>348</v>
      </c>
      <c r="B300" s="12">
        <v>45781</v>
      </c>
      <c r="C300" t="s">
        <v>18</v>
      </c>
      <c r="D300" t="s">
        <v>55</v>
      </c>
      <c r="E300" t="s">
        <v>695</v>
      </c>
      <c r="F300" t="s">
        <v>309</v>
      </c>
      <c r="G300" s="3">
        <v>216.94</v>
      </c>
      <c r="H300" s="3">
        <f>G300*0.4</f>
        <v>86.77600000000001</v>
      </c>
      <c r="I300" s="8">
        <f>G300*0.15</f>
        <v>32.540999999999997</v>
      </c>
      <c r="J300" s="3">
        <f>G300+H300</f>
        <v>303.71600000000001</v>
      </c>
      <c r="K300" s="3">
        <f>J300*1.13</f>
        <v>343.19907999999998</v>
      </c>
      <c r="L300" s="25">
        <v>0</v>
      </c>
      <c r="O300" s="3">
        <v>276</v>
      </c>
      <c r="P300" s="3">
        <v>154.56</v>
      </c>
      <c r="Q300" s="3">
        <f>P300-G300</f>
        <v>-62.379999999999995</v>
      </c>
      <c r="R300" s="10">
        <f>Q300/O300</f>
        <v>-0.22601449275362318</v>
      </c>
      <c r="S300" s="13">
        <v>45839</v>
      </c>
      <c r="T300" s="7">
        <f ca="1">IF(S300&lt;&gt;"",S300-B300,TODAY()-B300)</f>
        <v>58</v>
      </c>
      <c r="V300" s="3">
        <f>IF((G300+H300)&lt;15,(G300+H300+2.95), ((G300+H300)*1.2))</f>
        <v>364.45920000000001</v>
      </c>
      <c r="W300" s="3">
        <f>IF((G300+I300)&lt;15,(G300+I300+2.95), ((G300+I300)*1.2))</f>
        <v>299.37719999999996</v>
      </c>
    </row>
    <row r="301" spans="1:23" hidden="1">
      <c r="A301">
        <v>349</v>
      </c>
      <c r="B301" s="12">
        <v>45782</v>
      </c>
      <c r="C301" t="s">
        <v>18</v>
      </c>
      <c r="D301" t="s">
        <v>58</v>
      </c>
      <c r="E301" t="s">
        <v>702</v>
      </c>
      <c r="F301" t="s">
        <v>309</v>
      </c>
      <c r="G301" s="3">
        <v>227.83</v>
      </c>
      <c r="H301" s="3">
        <f>G301*0.4</f>
        <v>91.132000000000005</v>
      </c>
      <c r="I301" s="8">
        <f>G301*0.15</f>
        <v>34.174500000000002</v>
      </c>
      <c r="J301" s="3">
        <f>G301+H301</f>
        <v>318.96199999999999</v>
      </c>
      <c r="K301" s="3">
        <f>J301*1.13</f>
        <v>360.42705999999993</v>
      </c>
      <c r="L301" s="25">
        <v>1</v>
      </c>
      <c r="Q301" s="3">
        <f>P301-G301</f>
        <v>-227.83</v>
      </c>
      <c r="R301" s="10" t="e">
        <f>Q301/O301</f>
        <v>#DIV/0!</v>
      </c>
      <c r="T301" s="7">
        <f ca="1">IF(S301&lt;&gt;"",S301-B301,TODAY()-B301)</f>
        <v>84</v>
      </c>
      <c r="V301" s="3">
        <f>IF((G301+H301)&lt;15,(G301+H301+2.95), ((G301+H301)*1.2))</f>
        <v>382.75439999999998</v>
      </c>
      <c r="W301" s="3">
        <f>IF((G301+I301)&lt;15,(G301+I301+2.95), ((G301+I301)*1.2))</f>
        <v>314.40539999999999</v>
      </c>
    </row>
    <row r="302" spans="1:23">
      <c r="A302">
        <v>350</v>
      </c>
      <c r="B302" s="12">
        <v>45782</v>
      </c>
      <c r="C302" t="s">
        <v>18</v>
      </c>
      <c r="D302" t="s">
        <v>582</v>
      </c>
      <c r="E302" t="s">
        <v>698</v>
      </c>
      <c r="F302" t="s">
        <v>699</v>
      </c>
      <c r="G302" s="3">
        <v>347.62</v>
      </c>
      <c r="H302" s="3">
        <f>G302*0.4</f>
        <v>139.048</v>
      </c>
      <c r="I302" s="8">
        <f>G302*0.15</f>
        <v>52.143000000000001</v>
      </c>
      <c r="J302" s="3">
        <f>G302+H302</f>
        <v>486.66800000000001</v>
      </c>
      <c r="K302" s="3">
        <f>J302*1.13</f>
        <v>549.93484000000001</v>
      </c>
      <c r="L302" s="25">
        <v>0</v>
      </c>
      <c r="O302" s="3">
        <v>549</v>
      </c>
      <c r="P302" s="3">
        <v>476.56</v>
      </c>
      <c r="Q302" s="3">
        <f>P302-G302</f>
        <v>128.94</v>
      </c>
      <c r="R302" s="10">
        <f>Q302/O302</f>
        <v>0.23486338797814207</v>
      </c>
      <c r="S302" s="13">
        <v>45835</v>
      </c>
      <c r="T302" s="7">
        <f ca="1">IF(S302&lt;&gt;"",S302-B302,TODAY()-B302)</f>
        <v>53</v>
      </c>
      <c r="V302" s="3">
        <f>IF((G302+H302)&lt;15,(G302+H302+2.95), ((G302+H302)*1.2))</f>
        <v>584.00159999999994</v>
      </c>
      <c r="W302" s="3">
        <f>IF((G302+I302)&lt;15,(G302+I302+2.95), ((G302+I302)*1.2))</f>
        <v>479.71559999999999</v>
      </c>
    </row>
    <row r="303" spans="1:23">
      <c r="A303">
        <v>351</v>
      </c>
      <c r="B303" s="12">
        <v>45782</v>
      </c>
      <c r="C303" t="s">
        <v>18</v>
      </c>
      <c r="D303" t="s">
        <v>48</v>
      </c>
      <c r="E303" t="s">
        <v>512</v>
      </c>
      <c r="F303" t="s">
        <v>309</v>
      </c>
      <c r="G303" s="3">
        <v>83.4</v>
      </c>
      <c r="H303" s="2">
        <f>G303*0.3</f>
        <v>25.02</v>
      </c>
      <c r="I303" s="8">
        <f>G303*0.15</f>
        <v>12.51</v>
      </c>
      <c r="J303" s="3">
        <f>G303+H303</f>
        <v>108.42</v>
      </c>
      <c r="K303" s="3">
        <f>J303*1.13</f>
        <v>122.51459999999999</v>
      </c>
      <c r="L303" s="25">
        <v>0</v>
      </c>
      <c r="O303" s="3">
        <v>150</v>
      </c>
      <c r="P303" s="3">
        <v>120</v>
      </c>
      <c r="Q303" s="3">
        <f>P303-G303</f>
        <v>36.599999999999994</v>
      </c>
      <c r="R303" s="10">
        <f>Q303/O303</f>
        <v>0.24399999999999997</v>
      </c>
      <c r="S303" s="13">
        <v>45817</v>
      </c>
      <c r="T303" s="7">
        <f ca="1">IF(S303&lt;&gt;"",S303-B303,TODAY()-B303)</f>
        <v>35</v>
      </c>
      <c r="V303" s="3">
        <f>IF((G303+H303)&lt;15,(G303+H303+2.95), ((G303+H303)*1.2))</f>
        <v>130.10399999999998</v>
      </c>
      <c r="W303" s="3">
        <f>IF((G303+I303)&lt;15,(G303+I303+2.95), ((G303+I303)*1.2))</f>
        <v>115.09200000000001</v>
      </c>
    </row>
    <row r="304" spans="1:23" hidden="1">
      <c r="A304">
        <v>352</v>
      </c>
      <c r="B304" s="12">
        <v>45782</v>
      </c>
      <c r="C304" t="s">
        <v>18</v>
      </c>
      <c r="D304" t="s">
        <v>48</v>
      </c>
      <c r="E304" t="s">
        <v>700</v>
      </c>
      <c r="F304" t="s">
        <v>309</v>
      </c>
      <c r="G304" s="3">
        <v>167.31</v>
      </c>
      <c r="H304" s="3">
        <f>G304*0.4</f>
        <v>66.924000000000007</v>
      </c>
      <c r="I304" s="8">
        <f>G304*0.15</f>
        <v>25.096499999999999</v>
      </c>
      <c r="J304" s="3">
        <f>G304+H304</f>
        <v>234.23400000000001</v>
      </c>
      <c r="K304" s="3">
        <f>J304*1.13</f>
        <v>264.68441999999999</v>
      </c>
      <c r="L304" s="25">
        <v>1</v>
      </c>
      <c r="Q304" s="3">
        <f>P304-G304</f>
        <v>-167.31</v>
      </c>
      <c r="R304" s="10" t="e">
        <f>Q304/O304</f>
        <v>#DIV/0!</v>
      </c>
      <c r="T304" s="7">
        <f ca="1">IF(S304&lt;&gt;"",S304-B304,TODAY()-B304)</f>
        <v>84</v>
      </c>
      <c r="V304" s="3">
        <f>IF((G304+H304)&lt;15,(G304+H304+2.95), ((G304+H304)*1.2))</f>
        <v>281.08080000000001</v>
      </c>
      <c r="W304" s="3">
        <f>IF((G304+I304)&lt;15,(G304+I304+2.95), ((G304+I304)*1.2))</f>
        <v>230.88779999999997</v>
      </c>
    </row>
    <row r="305" spans="1:23" hidden="1">
      <c r="A305">
        <v>353</v>
      </c>
      <c r="B305" s="12">
        <v>45782</v>
      </c>
      <c r="C305" t="s">
        <v>18</v>
      </c>
      <c r="D305" t="s">
        <v>48</v>
      </c>
      <c r="E305" t="s">
        <v>401</v>
      </c>
      <c r="F305" t="s">
        <v>309</v>
      </c>
      <c r="G305" s="3">
        <v>114.35</v>
      </c>
      <c r="H305" s="3">
        <f>G305*0.4</f>
        <v>45.74</v>
      </c>
      <c r="I305" s="8">
        <f>G305*0.15</f>
        <v>17.1525</v>
      </c>
      <c r="J305" s="3">
        <f>G305+H305</f>
        <v>160.09</v>
      </c>
      <c r="K305" s="3">
        <f>J305*1.13</f>
        <v>180.90169999999998</v>
      </c>
      <c r="L305" s="25">
        <v>1</v>
      </c>
      <c r="Q305" s="3">
        <f>P305-G305</f>
        <v>-114.35</v>
      </c>
      <c r="R305" s="10" t="e">
        <f>Q305/O305</f>
        <v>#DIV/0!</v>
      </c>
      <c r="T305" s="7">
        <f ca="1">IF(S305&lt;&gt;"",S305-B305,TODAY()-B305)</f>
        <v>84</v>
      </c>
      <c r="V305" s="3">
        <f>IF((G305+H305)&lt;15,(G305+H305+2.95), ((G305+H305)*1.2))</f>
        <v>192.108</v>
      </c>
      <c r="W305" s="3">
        <f>IF((G305+I305)&lt;15,(G305+I305+2.95), ((G305+I305)*1.2))</f>
        <v>157.803</v>
      </c>
    </row>
    <row r="306" spans="1:23" hidden="1">
      <c r="A306">
        <v>354</v>
      </c>
      <c r="B306" s="12">
        <v>45782</v>
      </c>
      <c r="C306" t="s">
        <v>18</v>
      </c>
      <c r="D306" t="s">
        <v>48</v>
      </c>
      <c r="E306" t="s">
        <v>512</v>
      </c>
      <c r="F306" t="s">
        <v>309</v>
      </c>
      <c r="G306" s="3">
        <v>99.1</v>
      </c>
      <c r="H306" s="3">
        <f>G306*0.4</f>
        <v>39.64</v>
      </c>
      <c r="I306" s="8">
        <f>G306*0.15</f>
        <v>14.864999999999998</v>
      </c>
      <c r="J306" s="3">
        <f>G306+H306</f>
        <v>138.74</v>
      </c>
      <c r="K306" s="3">
        <f>J306*1.13</f>
        <v>156.77619999999999</v>
      </c>
      <c r="L306" s="25">
        <v>1</v>
      </c>
      <c r="Q306" s="3">
        <f>P306-G306</f>
        <v>-99.1</v>
      </c>
      <c r="R306" s="10" t="e">
        <f>Q306/O306</f>
        <v>#DIV/0!</v>
      </c>
      <c r="T306" s="7">
        <f ca="1">IF(S306&lt;&gt;"",S306-B306,TODAY()-B306)</f>
        <v>84</v>
      </c>
      <c r="V306" s="3">
        <f>IF((G306+H306)&lt;15,(G306+H306+2.95), ((G306+H306)*1.2))</f>
        <v>166.488</v>
      </c>
      <c r="W306" s="3">
        <f>IF((G306+I306)&lt;15,(G306+I306+2.95), ((G306+I306)*1.2))</f>
        <v>136.75799999999998</v>
      </c>
    </row>
    <row r="307" spans="1:23" hidden="1">
      <c r="A307">
        <v>355</v>
      </c>
      <c r="B307" s="12">
        <v>45782</v>
      </c>
      <c r="C307" t="s">
        <v>18</v>
      </c>
      <c r="D307" t="s">
        <v>48</v>
      </c>
      <c r="E307" t="s">
        <v>333</v>
      </c>
      <c r="F307" t="s">
        <v>309</v>
      </c>
      <c r="G307" s="3">
        <v>132.86000000000001</v>
      </c>
      <c r="H307" s="3">
        <f>G307*0.4</f>
        <v>53.144000000000005</v>
      </c>
      <c r="I307" s="8">
        <f>G307*0.15</f>
        <v>19.929000000000002</v>
      </c>
      <c r="J307" s="3">
        <f>G307+H307</f>
        <v>186.00400000000002</v>
      </c>
      <c r="K307" s="3">
        <f>J307*1.13</f>
        <v>210.18451999999999</v>
      </c>
      <c r="L307" s="25">
        <v>1</v>
      </c>
      <c r="Q307" s="3">
        <f>P307-G307</f>
        <v>-132.86000000000001</v>
      </c>
      <c r="R307" s="10" t="e">
        <f>Q307/O307</f>
        <v>#DIV/0!</v>
      </c>
      <c r="T307" s="7">
        <f ca="1">IF(S307&lt;&gt;"",S307-B307,TODAY()-B307)</f>
        <v>84</v>
      </c>
      <c r="V307" s="3">
        <f>IF((G307+H307)&lt;15,(G307+H307+2.95), ((G307+H307)*1.2))</f>
        <v>223.20480000000001</v>
      </c>
      <c r="W307" s="3">
        <f>IF((G307+I307)&lt;15,(G307+I307+2.95), ((G307+I307)*1.2))</f>
        <v>183.3468</v>
      </c>
    </row>
    <row r="308" spans="1:23" hidden="1">
      <c r="A308">
        <v>356</v>
      </c>
      <c r="B308" s="12">
        <v>45782</v>
      </c>
      <c r="C308" t="s">
        <v>18</v>
      </c>
      <c r="D308" t="s">
        <v>19</v>
      </c>
      <c r="E308" t="s">
        <v>847</v>
      </c>
      <c r="F308" t="s">
        <v>309</v>
      </c>
      <c r="G308" s="3">
        <v>200.88</v>
      </c>
      <c r="H308" s="3">
        <f>G308*0.4</f>
        <v>80.352000000000004</v>
      </c>
      <c r="I308" s="8">
        <f>G308*0.15</f>
        <v>30.131999999999998</v>
      </c>
      <c r="J308" s="3">
        <f>G308+H308</f>
        <v>281.23199999999997</v>
      </c>
      <c r="K308" s="3">
        <f>J308*1.13</f>
        <v>317.79215999999991</v>
      </c>
      <c r="L308" s="25">
        <v>1</v>
      </c>
      <c r="Q308" s="3">
        <f>P308-G308</f>
        <v>-200.88</v>
      </c>
      <c r="R308" s="10" t="e">
        <f>Q308/O308</f>
        <v>#DIV/0!</v>
      </c>
      <c r="T308" s="7">
        <f ca="1">IF(S308&lt;&gt;"",S308-B308,TODAY()-B308)</f>
        <v>84</v>
      </c>
      <c r="V308" s="3">
        <f>IF((G308+H308)&lt;15,(G308+H308+2.95), ((G308+H308)*1.2))</f>
        <v>337.47839999999997</v>
      </c>
      <c r="W308" s="3">
        <f>IF((G308+I308)&lt;15,(G308+I308+2.95), ((G308+I308)*1.2))</f>
        <v>277.21440000000001</v>
      </c>
    </row>
    <row r="309" spans="1:23">
      <c r="A309">
        <v>357</v>
      </c>
      <c r="B309" s="12">
        <v>45782</v>
      </c>
      <c r="C309" t="s">
        <v>18</v>
      </c>
      <c r="D309" t="s">
        <v>546</v>
      </c>
      <c r="E309" t="s">
        <v>701</v>
      </c>
      <c r="F309" t="s">
        <v>224</v>
      </c>
      <c r="G309" s="3">
        <v>341.9</v>
      </c>
      <c r="H309" s="2">
        <f>G309*0.3</f>
        <v>102.57</v>
      </c>
      <c r="I309" s="8">
        <f>G309*0.15</f>
        <v>51.284999999999997</v>
      </c>
      <c r="J309" s="3">
        <f>G309+H309</f>
        <v>444.46999999999997</v>
      </c>
      <c r="K309" s="3">
        <f>J309*1.13</f>
        <v>502.25109999999989</v>
      </c>
      <c r="L309" s="25">
        <v>0</v>
      </c>
      <c r="O309" s="3">
        <v>439.2</v>
      </c>
      <c r="P309" s="3">
        <v>389.92</v>
      </c>
      <c r="Q309" s="3">
        <f>P309-G309</f>
        <v>48.020000000000039</v>
      </c>
      <c r="R309" s="10">
        <f>Q309/O309</f>
        <v>0.1093351548269582</v>
      </c>
      <c r="T309" s="7">
        <f ca="1">IF(S309&lt;&gt;"",S309-B309,TODAY()-B309)</f>
        <v>84</v>
      </c>
      <c r="V309" s="3">
        <f>IF((G309+H309)&lt;15,(G309+H309+2.95), ((G309+H309)*1.2))</f>
        <v>533.36399999999992</v>
      </c>
      <c r="W309" s="3">
        <f>IF((G309+I309)&lt;15,(G309+I309+2.95), ((G309+I309)*1.2))</f>
        <v>471.82199999999989</v>
      </c>
    </row>
    <row r="310" spans="1:23" hidden="1">
      <c r="A310">
        <v>358</v>
      </c>
      <c r="B310" s="12">
        <v>45783</v>
      </c>
      <c r="C310" t="s">
        <v>18</v>
      </c>
      <c r="D310" t="s">
        <v>48</v>
      </c>
      <c r="E310" t="s">
        <v>703</v>
      </c>
      <c r="F310" t="s">
        <v>226</v>
      </c>
      <c r="G310" s="3">
        <v>105.18</v>
      </c>
      <c r="H310" s="3">
        <f>G310*0.4</f>
        <v>42.072000000000003</v>
      </c>
      <c r="I310" s="8">
        <f>G310*0.15</f>
        <v>15.777000000000001</v>
      </c>
      <c r="J310" s="3">
        <f>G310+H310</f>
        <v>147.25200000000001</v>
      </c>
      <c r="K310" s="3">
        <f>J310*1.13</f>
        <v>166.39475999999999</v>
      </c>
      <c r="L310" s="25">
        <v>1</v>
      </c>
      <c r="Q310" s="3">
        <f>P310-G310</f>
        <v>-105.18</v>
      </c>
      <c r="R310" s="10" t="e">
        <f>Q310/O310</f>
        <v>#DIV/0!</v>
      </c>
      <c r="T310" s="7">
        <f ca="1">IF(S310&lt;&gt;"",S310-B310,TODAY()-B310)</f>
        <v>83</v>
      </c>
      <c r="V310" s="3">
        <f>IF((G310+H310)&lt;15,(G310+H310+2.95), ((G310+H310)*1.2))</f>
        <v>176.70240000000001</v>
      </c>
      <c r="W310" s="3">
        <f>IF((G310+I310)&lt;15,(G310+I310+2.95), ((G310+I310)*1.2))</f>
        <v>145.14840000000001</v>
      </c>
    </row>
    <row r="311" spans="1:23" hidden="1">
      <c r="A311">
        <v>359</v>
      </c>
      <c r="B311" s="12">
        <v>45783</v>
      </c>
      <c r="C311" t="s">
        <v>18</v>
      </c>
      <c r="D311" t="s">
        <v>48</v>
      </c>
      <c r="E311" t="s">
        <v>704</v>
      </c>
      <c r="F311" t="s">
        <v>226</v>
      </c>
      <c r="G311" s="3">
        <v>112.86</v>
      </c>
      <c r="H311" s="3">
        <f>G311*0.4</f>
        <v>45.144000000000005</v>
      </c>
      <c r="I311" s="8">
        <f>G311*0.15</f>
        <v>16.928999999999998</v>
      </c>
      <c r="J311" s="3">
        <f>G311+H311</f>
        <v>158.00400000000002</v>
      </c>
      <c r="K311" s="3">
        <f>J311*1.13</f>
        <v>178.54452000000001</v>
      </c>
      <c r="L311" s="25">
        <v>1</v>
      </c>
      <c r="Q311" s="3">
        <f>P311-G311</f>
        <v>-112.86</v>
      </c>
      <c r="R311" s="10" t="e">
        <f>Q311/O311</f>
        <v>#DIV/0!</v>
      </c>
      <c r="T311" s="7">
        <f ca="1">IF(S311&lt;&gt;"",S311-B311,TODAY()-B311)</f>
        <v>83</v>
      </c>
      <c r="V311" s="3">
        <f>IF((G311+H311)&lt;15,(G311+H311+2.95), ((G311+H311)*1.2))</f>
        <v>189.60480000000001</v>
      </c>
      <c r="W311" s="3">
        <f>IF((G311+I311)&lt;15,(G311+I311+2.95), ((G311+I311)*1.2))</f>
        <v>155.74679999999998</v>
      </c>
    </row>
    <row r="312" spans="1:23">
      <c r="A312">
        <v>360</v>
      </c>
      <c r="B312" s="12">
        <v>45784</v>
      </c>
      <c r="C312" t="s">
        <v>18</v>
      </c>
      <c r="D312" t="s">
        <v>706</v>
      </c>
      <c r="E312" t="s">
        <v>705</v>
      </c>
      <c r="F312" t="s">
        <v>224</v>
      </c>
      <c r="G312" s="3">
        <v>362.87</v>
      </c>
      <c r="H312" s="2">
        <f>G312*0.3</f>
        <v>108.861</v>
      </c>
      <c r="I312" s="8">
        <f>G312*0.15</f>
        <v>54.430500000000002</v>
      </c>
      <c r="J312" s="3">
        <f>G312+H312</f>
        <v>471.73099999999999</v>
      </c>
      <c r="K312" s="3">
        <f>J312*1.13</f>
        <v>533.05602999999996</v>
      </c>
      <c r="L312" s="25">
        <v>0</v>
      </c>
      <c r="O312" s="3">
        <v>649</v>
      </c>
      <c r="P312" s="3">
        <v>576.55999999999995</v>
      </c>
      <c r="Q312" s="3">
        <f>P312-G312</f>
        <v>213.68999999999994</v>
      </c>
      <c r="R312" s="10">
        <f>Q312/O312</f>
        <v>0.32926040061633272</v>
      </c>
      <c r="S312" s="13">
        <v>45833</v>
      </c>
      <c r="T312" s="7">
        <f ca="1">IF(S312&lt;&gt;"",S312-B312,TODAY()-B312)</f>
        <v>49</v>
      </c>
      <c r="V312" s="3">
        <f>IF((G312+H312)&lt;15,(G312+H312+2.95), ((G312+H312)*1.2))</f>
        <v>566.07719999999995</v>
      </c>
      <c r="W312" s="3">
        <f>IF((G312+I312)&lt;15,(G312+I312+2.95), ((G312+I312)*1.2))</f>
        <v>500.76059999999995</v>
      </c>
    </row>
    <row r="313" spans="1:23">
      <c r="A313">
        <v>361</v>
      </c>
      <c r="B313" s="12">
        <v>45784</v>
      </c>
      <c r="C313" t="s">
        <v>18</v>
      </c>
      <c r="D313" t="s">
        <v>706</v>
      </c>
      <c r="E313" t="s">
        <v>707</v>
      </c>
      <c r="F313" t="s">
        <v>224</v>
      </c>
      <c r="G313" s="3">
        <v>255.89</v>
      </c>
      <c r="H313" s="2">
        <f>G313*0.3</f>
        <v>76.766999999999996</v>
      </c>
      <c r="I313" s="8">
        <f>G313*0.15</f>
        <v>38.383499999999998</v>
      </c>
      <c r="J313" s="3">
        <f>G313+H313</f>
        <v>332.65699999999998</v>
      </c>
      <c r="K313" s="3">
        <f>J313*1.13</f>
        <v>375.90240999999992</v>
      </c>
      <c r="L313" s="25">
        <v>0</v>
      </c>
      <c r="O313" s="3">
        <v>384.3</v>
      </c>
      <c r="P313" s="3">
        <v>341.18</v>
      </c>
      <c r="Q313" s="3">
        <f>P313-G313</f>
        <v>85.29000000000002</v>
      </c>
      <c r="R313" s="10">
        <f>Q313/O313</f>
        <v>0.22193598750975804</v>
      </c>
      <c r="S313" s="13">
        <v>45791</v>
      </c>
      <c r="T313" s="7">
        <f ca="1">IF(S313&lt;&gt;"",S313-B313,TODAY()-B313)</f>
        <v>7</v>
      </c>
      <c r="V313" s="3">
        <f>IF((G313+H313)&lt;15,(G313+H313+2.95), ((G313+H313)*1.2))</f>
        <v>399.18839999999994</v>
      </c>
      <c r="W313" s="3">
        <f>IF((G313+I313)&lt;15,(G313+I313+2.95), ((G313+I313)*1.2))</f>
        <v>353.12819999999999</v>
      </c>
    </row>
    <row r="314" spans="1:23" hidden="1">
      <c r="A314">
        <v>362</v>
      </c>
      <c r="B314" s="12">
        <v>45784</v>
      </c>
      <c r="C314" t="s">
        <v>18</v>
      </c>
      <c r="D314" t="s">
        <v>706</v>
      </c>
      <c r="E314" t="s">
        <v>708</v>
      </c>
      <c r="F314" t="s">
        <v>224</v>
      </c>
      <c r="G314" s="3">
        <f>(608.98/2)+50</f>
        <v>354.49</v>
      </c>
      <c r="H314" s="3">
        <f>G314*0.4</f>
        <v>141.79600000000002</v>
      </c>
      <c r="I314" s="8">
        <f>G314*0.15</f>
        <v>53.173499999999997</v>
      </c>
      <c r="J314" s="3">
        <f>G314+H314</f>
        <v>496.28600000000006</v>
      </c>
      <c r="K314" s="3">
        <f>J314*1.13</f>
        <v>560.80318</v>
      </c>
      <c r="L314" s="25">
        <v>1</v>
      </c>
      <c r="Q314" s="3">
        <f>P314-G314</f>
        <v>-354.49</v>
      </c>
      <c r="R314" s="10" t="e">
        <f>Q314/O314</f>
        <v>#DIV/0!</v>
      </c>
      <c r="T314" s="7">
        <f ca="1">IF(S314&lt;&gt;"",S314-B314,TODAY()-B314)</f>
        <v>82</v>
      </c>
      <c r="V314" s="3">
        <f>IF((G314+H314)&lt;15,(G314+H314+2.95), ((G314+H314)*1.2))</f>
        <v>595.54320000000007</v>
      </c>
      <c r="W314" s="3">
        <f>IF((G314+I314)&lt;15,(G314+I314+2.95), ((G314+I314)*1.2))</f>
        <v>489.19619999999998</v>
      </c>
    </row>
    <row r="315" spans="1:23" hidden="1">
      <c r="A315">
        <v>363</v>
      </c>
      <c r="B315" s="12">
        <v>45785</v>
      </c>
      <c r="C315" t="s">
        <v>18</v>
      </c>
      <c r="D315" t="s">
        <v>132</v>
      </c>
      <c r="E315" t="s">
        <v>709</v>
      </c>
      <c r="F315" t="s">
        <v>309</v>
      </c>
      <c r="G315" s="3">
        <v>136.76</v>
      </c>
      <c r="H315" s="3">
        <f>G315*0.4</f>
        <v>54.704000000000001</v>
      </c>
      <c r="I315" s="8">
        <f>G315*0.15</f>
        <v>20.513999999999999</v>
      </c>
      <c r="J315" s="3">
        <f>G315+H315</f>
        <v>191.464</v>
      </c>
      <c r="K315" s="3">
        <f>J315*1.13</f>
        <v>216.35431999999997</v>
      </c>
      <c r="L315" s="25">
        <v>1</v>
      </c>
      <c r="Q315" s="3">
        <f>P315-G315</f>
        <v>-136.76</v>
      </c>
      <c r="R315" s="10" t="e">
        <f>Q315/O315</f>
        <v>#DIV/0!</v>
      </c>
      <c r="T315" s="7">
        <f ca="1">IF(S315&lt;&gt;"",S315-B315,TODAY()-B315)</f>
        <v>81</v>
      </c>
      <c r="V315" s="3">
        <f>IF((G315+H315)&lt;15,(G315+H315+2.95), ((G315+H315)*1.2))</f>
        <v>229.7568</v>
      </c>
      <c r="W315" s="3">
        <f>IF((G315+I315)&lt;15,(G315+I315+2.95), ((G315+I315)*1.2))</f>
        <v>188.72880000000001</v>
      </c>
    </row>
    <row r="316" spans="1:23" hidden="1">
      <c r="A316">
        <v>364</v>
      </c>
      <c r="B316" s="12">
        <v>45785</v>
      </c>
      <c r="C316" t="s">
        <v>18</v>
      </c>
      <c r="D316" t="s">
        <v>132</v>
      </c>
      <c r="E316" t="s">
        <v>710</v>
      </c>
      <c r="F316" t="s">
        <v>309</v>
      </c>
      <c r="G316" s="3">
        <v>161.87</v>
      </c>
      <c r="H316" s="3">
        <f>G316*0.4</f>
        <v>64.748000000000005</v>
      </c>
      <c r="I316" s="8">
        <f>G316*0.15</f>
        <v>24.2805</v>
      </c>
      <c r="J316" s="3">
        <f>G316+H316</f>
        <v>226.61799999999999</v>
      </c>
      <c r="K316" s="3">
        <f>J316*1.13</f>
        <v>256.07833999999997</v>
      </c>
      <c r="L316" s="25">
        <v>1</v>
      </c>
      <c r="Q316" s="3">
        <f>P316-G316</f>
        <v>-161.87</v>
      </c>
      <c r="R316" s="10" t="e">
        <f>Q316/O316</f>
        <v>#DIV/0!</v>
      </c>
      <c r="T316" s="7">
        <f ca="1">IF(S316&lt;&gt;"",S316-B316,TODAY()-B316)</f>
        <v>81</v>
      </c>
      <c r="V316" s="3">
        <f>IF((G316+H316)&lt;15,(G316+H316+2.95), ((G316+H316)*1.2))</f>
        <v>271.94159999999999</v>
      </c>
      <c r="W316" s="3">
        <f>IF((G316+I316)&lt;15,(G316+I316+2.95), ((G316+I316)*1.2))</f>
        <v>223.38059999999999</v>
      </c>
    </row>
    <row r="317" spans="1:23" hidden="1">
      <c r="A317">
        <v>364</v>
      </c>
      <c r="B317" s="12">
        <v>45802</v>
      </c>
      <c r="D317" t="s">
        <v>594</v>
      </c>
      <c r="E317" t="s">
        <v>818</v>
      </c>
      <c r="F317" t="s">
        <v>254</v>
      </c>
      <c r="G317" s="3">
        <v>216.71</v>
      </c>
      <c r="H317" s="3">
        <f>G317*0.4</f>
        <v>86.684000000000012</v>
      </c>
      <c r="I317" s="8">
        <f>G317*0.15</f>
        <v>32.506500000000003</v>
      </c>
      <c r="J317" s="3">
        <f>G317+H317</f>
        <v>303.39400000000001</v>
      </c>
      <c r="K317" s="3">
        <f>J317*1.13</f>
        <v>342.83521999999999</v>
      </c>
      <c r="L317" s="25">
        <v>1</v>
      </c>
      <c r="Q317" s="3">
        <f>P317-G317</f>
        <v>-216.71</v>
      </c>
      <c r="R317" s="10" t="e">
        <f>Q317/O317</f>
        <v>#DIV/0!</v>
      </c>
      <c r="T317" s="7">
        <f ca="1">IF(S317&lt;&gt;"",S317-B317,TODAY()-B317)</f>
        <v>64</v>
      </c>
      <c r="V317" s="3">
        <f>IF((G317+H317)&lt;15,(G317+H317+2.95), ((G317+H317)*1.2))</f>
        <v>364.07279999999997</v>
      </c>
      <c r="W317" s="3">
        <f>IF((G317+I317)&lt;15,(G317+I317+2.95), ((G317+I317)*1.2))</f>
        <v>299.0598</v>
      </c>
    </row>
    <row r="318" spans="1:23">
      <c r="A318">
        <v>365</v>
      </c>
      <c r="B318" s="12">
        <v>45785</v>
      </c>
      <c r="C318" t="s">
        <v>18</v>
      </c>
      <c r="D318" t="s">
        <v>132</v>
      </c>
      <c r="E318" t="s">
        <v>711</v>
      </c>
      <c r="F318" t="s">
        <v>309</v>
      </c>
      <c r="G318" s="3">
        <v>179.69</v>
      </c>
      <c r="H318" s="2">
        <f>G318*0.3</f>
        <v>53.906999999999996</v>
      </c>
      <c r="I318" s="8">
        <f>G318*0.15</f>
        <v>26.953499999999998</v>
      </c>
      <c r="J318" s="3">
        <f>G318+H318</f>
        <v>233.59699999999998</v>
      </c>
      <c r="K318" s="3">
        <f>J318*1.13</f>
        <v>263.96460999999994</v>
      </c>
      <c r="L318" s="25">
        <v>0</v>
      </c>
      <c r="O318" s="3">
        <v>276.25</v>
      </c>
      <c r="P318" s="3">
        <v>245.17</v>
      </c>
      <c r="Q318" s="3">
        <f>P318-G318</f>
        <v>65.47999999999999</v>
      </c>
      <c r="R318" s="10">
        <f>Q318/O318</f>
        <v>0.23703167420814475</v>
      </c>
      <c r="S318" s="13">
        <v>45798</v>
      </c>
      <c r="T318" s="7">
        <f ca="1">IF(S318&lt;&gt;"",S318-B318,TODAY()-B318)</f>
        <v>13</v>
      </c>
      <c r="V318" s="3">
        <f>IF((G318+H318)&lt;15,(G318+H318+2.95), ((G318+H318)*1.2))</f>
        <v>280.31639999999999</v>
      </c>
      <c r="W318" s="3">
        <f>IF((G318+I318)&lt;15,(G318+I318+2.95), ((G318+I318)*1.2))</f>
        <v>247.97219999999999</v>
      </c>
    </row>
    <row r="319" spans="1:23">
      <c r="A319">
        <v>366</v>
      </c>
      <c r="B319" s="12">
        <v>45785</v>
      </c>
      <c r="C319" t="s">
        <v>18</v>
      </c>
      <c r="D319" t="s">
        <v>132</v>
      </c>
      <c r="E319" t="s">
        <v>712</v>
      </c>
      <c r="F319" t="s">
        <v>224</v>
      </c>
      <c r="G319" s="3">
        <v>304.92</v>
      </c>
      <c r="H319" s="3">
        <f>G319*0.4</f>
        <v>121.96800000000002</v>
      </c>
      <c r="I319" s="8">
        <f>G319*0.15</f>
        <v>45.738</v>
      </c>
      <c r="J319" s="3">
        <f>G319+H319</f>
        <v>426.88800000000003</v>
      </c>
      <c r="K319" s="3">
        <f>J319*1.13</f>
        <v>482.38344000000001</v>
      </c>
      <c r="L319" s="25">
        <v>0</v>
      </c>
      <c r="O319" s="3">
        <v>449</v>
      </c>
      <c r="P319" s="3">
        <v>398</v>
      </c>
      <c r="Q319" s="3">
        <f>P319-G319</f>
        <v>93.079999999999984</v>
      </c>
      <c r="R319" s="10">
        <f>Q319/O319</f>
        <v>0.20730512249443203</v>
      </c>
      <c r="S319" s="13">
        <v>45858</v>
      </c>
      <c r="T319" s="7">
        <f ca="1">IF(S319&lt;&gt;"",S319-B319,TODAY()-B319)</f>
        <v>73</v>
      </c>
      <c r="V319" s="3">
        <f>IF((G319+H319)&lt;15,(G319+H319+2.95), ((G319+H319)*1.2))</f>
        <v>512.26560000000006</v>
      </c>
      <c r="W319" s="3">
        <f>IF((G319+I319)&lt;15,(G319+I319+2.95), ((G319+I319)*1.2))</f>
        <v>420.78960000000001</v>
      </c>
    </row>
    <row r="320" spans="1:23">
      <c r="A320">
        <v>367</v>
      </c>
      <c r="B320" s="12">
        <v>45785</v>
      </c>
      <c r="C320" t="s">
        <v>18</v>
      </c>
      <c r="D320" t="s">
        <v>132</v>
      </c>
      <c r="E320" t="s">
        <v>713</v>
      </c>
      <c r="F320" t="s">
        <v>224</v>
      </c>
      <c r="G320" s="3">
        <v>152.46</v>
      </c>
      <c r="H320" s="3">
        <f>G320*0.4</f>
        <v>60.984000000000009</v>
      </c>
      <c r="I320" s="8">
        <f>G320*0.15</f>
        <v>22.869</v>
      </c>
      <c r="J320" s="3">
        <f>G320+H320</f>
        <v>213.44400000000002</v>
      </c>
      <c r="K320" s="3">
        <f>J320*1.13</f>
        <v>241.19172</v>
      </c>
      <c r="L320" s="25">
        <v>0</v>
      </c>
      <c r="O320" s="3">
        <v>275</v>
      </c>
      <c r="P320" s="3">
        <v>243.77</v>
      </c>
      <c r="Q320" s="3">
        <f>P320-G320</f>
        <v>91.31</v>
      </c>
      <c r="R320" s="10">
        <f>Q320/O320</f>
        <v>0.33203636363636363</v>
      </c>
      <c r="S320" s="13">
        <v>45851</v>
      </c>
      <c r="T320" s="7">
        <f ca="1">IF(S320&lt;&gt;"",S320-B320,TODAY()-B320)</f>
        <v>66</v>
      </c>
      <c r="V320" s="3">
        <f>IF((G320+H320)&lt;15,(G320+H320+2.95), ((G320+H320)*1.2))</f>
        <v>256.13280000000003</v>
      </c>
      <c r="W320" s="3">
        <f>IF((G320+I320)&lt;15,(G320+I320+2.95), ((G320+I320)*1.2))</f>
        <v>210.3948</v>
      </c>
    </row>
    <row r="321" spans="1:23">
      <c r="A321">
        <v>368</v>
      </c>
      <c r="B321" s="12">
        <v>45785</v>
      </c>
      <c r="C321" t="s">
        <v>18</v>
      </c>
      <c r="D321" t="s">
        <v>132</v>
      </c>
      <c r="E321" s="15" t="s">
        <v>715</v>
      </c>
      <c r="F321" t="s">
        <v>309</v>
      </c>
      <c r="G321" s="3">
        <v>96.02</v>
      </c>
      <c r="H321" s="2">
        <f>G321*0.3</f>
        <v>28.805999999999997</v>
      </c>
      <c r="I321" s="8">
        <f>G321*0.15</f>
        <v>14.402999999999999</v>
      </c>
      <c r="J321" s="3">
        <f>G321+H321</f>
        <v>124.82599999999999</v>
      </c>
      <c r="K321" s="3">
        <f>J321*1.13</f>
        <v>141.05337999999998</v>
      </c>
      <c r="L321" s="25">
        <v>0</v>
      </c>
      <c r="O321" s="3">
        <v>185</v>
      </c>
      <c r="P321" s="3">
        <v>146.46</v>
      </c>
      <c r="Q321" s="3">
        <f>P321-G321</f>
        <v>50.440000000000012</v>
      </c>
      <c r="R321" s="10">
        <f>Q321/O321</f>
        <v>0.27264864864864874</v>
      </c>
      <c r="S321" s="13">
        <v>45820</v>
      </c>
      <c r="T321" s="7">
        <f ca="1">IF(S321&lt;&gt;"",S321-B321,TODAY()-B321)</f>
        <v>35</v>
      </c>
      <c r="V321" s="3">
        <f>IF((G321+H321)&lt;15,(G321+H321+2.95), ((G321+H321)*1.2))</f>
        <v>149.79119999999998</v>
      </c>
      <c r="W321" s="3">
        <f>IF((G321+I321)&lt;15,(G321+I321+2.95), ((G321+I321)*1.2))</f>
        <v>132.5076</v>
      </c>
    </row>
    <row r="322" spans="1:23">
      <c r="A322">
        <v>369</v>
      </c>
      <c r="B322" s="12">
        <v>45785</v>
      </c>
      <c r="C322" t="s">
        <v>18</v>
      </c>
      <c r="D322" t="s">
        <v>132</v>
      </c>
      <c r="E322" t="s">
        <v>716</v>
      </c>
      <c r="F322" t="s">
        <v>226</v>
      </c>
      <c r="G322" s="3">
        <v>50</v>
      </c>
      <c r="H322" s="3">
        <f>G322*0.4</f>
        <v>20</v>
      </c>
      <c r="I322" s="8">
        <f>G322*0.15</f>
        <v>7.5</v>
      </c>
      <c r="J322" s="3">
        <f>G322+H322</f>
        <v>70</v>
      </c>
      <c r="K322" s="3">
        <f>J322*1.13</f>
        <v>79.099999999999994</v>
      </c>
      <c r="L322" s="25">
        <v>0</v>
      </c>
      <c r="O322" s="3">
        <v>35</v>
      </c>
      <c r="P322" s="3">
        <v>30.63</v>
      </c>
      <c r="Q322" s="3">
        <f>P322-G322</f>
        <v>-19.37</v>
      </c>
      <c r="R322" s="10">
        <f>Q322/O322</f>
        <v>-0.55342857142857149</v>
      </c>
      <c r="S322" s="13">
        <v>45835</v>
      </c>
      <c r="T322" s="7">
        <f ca="1">IF(S322&lt;&gt;"",S322-B322,TODAY()-B322)</f>
        <v>50</v>
      </c>
      <c r="V322" s="3">
        <f>IF((G322+H322)&lt;15,(G322+H322+2.95), ((G322+H322)*1.2))</f>
        <v>84</v>
      </c>
      <c r="W322" s="3">
        <f>IF((G322+I322)&lt;15,(G322+I322+2.95), ((G322+I322)*1.2))</f>
        <v>69</v>
      </c>
    </row>
    <row r="323" spans="1:23" hidden="1">
      <c r="A323">
        <v>370</v>
      </c>
      <c r="B323" s="12">
        <v>45785</v>
      </c>
      <c r="C323" t="s">
        <v>18</v>
      </c>
      <c r="D323" t="s">
        <v>132</v>
      </c>
      <c r="E323" t="s">
        <v>714</v>
      </c>
      <c r="F323" t="s">
        <v>226</v>
      </c>
      <c r="G323" s="3">
        <v>50</v>
      </c>
      <c r="H323" s="3">
        <f>G323*0.4</f>
        <v>20</v>
      </c>
      <c r="I323" s="8">
        <f>G323*0.15</f>
        <v>7.5</v>
      </c>
      <c r="J323" s="3">
        <f>G323+H323</f>
        <v>70</v>
      </c>
      <c r="K323" s="3">
        <f>J323*1.13</f>
        <v>79.099999999999994</v>
      </c>
      <c r="L323" s="25">
        <v>1</v>
      </c>
      <c r="Q323" s="3">
        <f>P323-G323</f>
        <v>-50</v>
      </c>
      <c r="R323" s="10" t="e">
        <f>Q323/O323</f>
        <v>#DIV/0!</v>
      </c>
      <c r="T323" s="7">
        <f ca="1">IF(S323&lt;&gt;"",S323-B323,TODAY()-B323)</f>
        <v>81</v>
      </c>
      <c r="V323" s="3">
        <f>IF((G323+H323)&lt;15,(G323+H323+2.95), ((G323+H323)*1.2))</f>
        <v>84</v>
      </c>
      <c r="W323" s="3">
        <f>IF((G323+I323)&lt;15,(G323+I323+2.95), ((G323+I323)*1.2))</f>
        <v>69</v>
      </c>
    </row>
    <row r="324" spans="1:23">
      <c r="A324">
        <v>371</v>
      </c>
      <c r="B324" s="12">
        <v>45785</v>
      </c>
      <c r="C324" t="s">
        <v>18</v>
      </c>
      <c r="D324" t="s">
        <v>132</v>
      </c>
      <c r="E324" t="s">
        <v>717</v>
      </c>
      <c r="F324" t="s">
        <v>309</v>
      </c>
      <c r="G324" s="3">
        <v>291.58999999999997</v>
      </c>
      <c r="H324" s="2">
        <f>G324*0.3</f>
        <v>87.47699999999999</v>
      </c>
      <c r="I324" s="8">
        <f>G324*0.15</f>
        <v>43.738499999999995</v>
      </c>
      <c r="J324" s="3">
        <f>G324+H324</f>
        <v>379.06699999999995</v>
      </c>
      <c r="K324" s="3">
        <f>J324*1.13</f>
        <v>428.34570999999988</v>
      </c>
      <c r="L324" s="25">
        <v>0</v>
      </c>
      <c r="O324" s="3">
        <v>449</v>
      </c>
      <c r="P324" s="3">
        <f>343.26+7.62</f>
        <v>350.88</v>
      </c>
      <c r="Q324" s="3">
        <f>P324-G324</f>
        <v>59.29000000000002</v>
      </c>
      <c r="R324" s="10">
        <f>Q324/O324</f>
        <v>0.13204899777282855</v>
      </c>
      <c r="S324" s="13">
        <v>45803</v>
      </c>
      <c r="T324" s="7">
        <f ca="1">IF(S324&lt;&gt;"",S324-B324,TODAY()-B324)</f>
        <v>18</v>
      </c>
      <c r="V324" s="3">
        <f>IF((G324+H324)&lt;15,(G324+H324+2.95), ((G324+H324)*1.2))</f>
        <v>454.88039999999995</v>
      </c>
      <c r="W324" s="3">
        <f>IF((G324+I324)&lt;15,(G324+I324+2.95), ((G324+I324)*1.2))</f>
        <v>402.39419999999996</v>
      </c>
    </row>
    <row r="325" spans="1:23">
      <c r="A325">
        <v>372</v>
      </c>
      <c r="B325" s="12">
        <v>45785</v>
      </c>
      <c r="C325" t="s">
        <v>18</v>
      </c>
      <c r="D325" t="s">
        <v>132</v>
      </c>
      <c r="E325" t="s">
        <v>718</v>
      </c>
      <c r="F325" t="s">
        <v>226</v>
      </c>
      <c r="G325" s="3">
        <v>267.55</v>
      </c>
      <c r="H325" s="3">
        <f>G325*0.4</f>
        <v>107.02000000000001</v>
      </c>
      <c r="I325" s="8">
        <f>G325*0.15</f>
        <v>40.1325</v>
      </c>
      <c r="J325" s="3">
        <f>G325+H325</f>
        <v>374.57000000000005</v>
      </c>
      <c r="K325" s="3">
        <f>J325*1.13</f>
        <v>423.26410000000004</v>
      </c>
      <c r="L325" s="25">
        <v>0</v>
      </c>
      <c r="O325" s="3">
        <v>369</v>
      </c>
      <c r="P325" s="3">
        <v>327.75</v>
      </c>
      <c r="Q325" s="3">
        <f>P325-G325</f>
        <v>60.199999999999989</v>
      </c>
      <c r="R325" s="10">
        <f>Q325/O325</f>
        <v>0.16314363143631433</v>
      </c>
      <c r="S325" s="13">
        <v>45856</v>
      </c>
      <c r="T325" s="7">
        <f ca="1">IF(S325&lt;&gt;"",S325-B325,TODAY()-B325)</f>
        <v>71</v>
      </c>
      <c r="V325" s="3">
        <f>IF((G325+H325)&lt;15,(G325+H325+2.95), ((G325+H325)*1.2))</f>
        <v>449.48400000000004</v>
      </c>
      <c r="W325" s="3">
        <f>IF((G325+I325)&lt;15,(G325+I325+2.95), ((G325+I325)*1.2))</f>
        <v>369.21899999999999</v>
      </c>
    </row>
    <row r="326" spans="1:23">
      <c r="A326">
        <v>373</v>
      </c>
      <c r="B326" s="12">
        <v>45785</v>
      </c>
      <c r="C326" t="s">
        <v>18</v>
      </c>
      <c r="D326" t="s">
        <v>132</v>
      </c>
      <c r="E326" t="s">
        <v>719</v>
      </c>
      <c r="F326" t="s">
        <v>226</v>
      </c>
      <c r="G326" s="3">
        <v>245.75</v>
      </c>
      <c r="H326" s="2">
        <f>G326*0.3</f>
        <v>73.724999999999994</v>
      </c>
      <c r="I326" s="8">
        <f>G326*0.15</f>
        <v>36.862499999999997</v>
      </c>
      <c r="J326" s="3">
        <f>G326+H326</f>
        <v>319.47500000000002</v>
      </c>
      <c r="K326" s="3">
        <f>J326*1.13</f>
        <v>361.00675000000001</v>
      </c>
      <c r="L326" s="25">
        <v>0</v>
      </c>
      <c r="O326" s="3">
        <v>405</v>
      </c>
      <c r="P326" s="3">
        <v>359.18</v>
      </c>
      <c r="Q326" s="3">
        <f>P326-G326</f>
        <v>113.43</v>
      </c>
      <c r="R326" s="10">
        <f>Q326/O326</f>
        <v>0.28007407407407409</v>
      </c>
      <c r="S326" s="13">
        <v>45822</v>
      </c>
      <c r="T326" s="7">
        <f ca="1">IF(S326&lt;&gt;"",S326-B326,TODAY()-B326)</f>
        <v>37</v>
      </c>
      <c r="V326" s="3">
        <f>IF((G326+H326)&lt;15,(G326+H326+2.95), ((G326+H326)*1.2))</f>
        <v>383.37</v>
      </c>
      <c r="W326" s="3">
        <f>IF((G326+I326)&lt;15,(G326+I326+2.95), ((G326+I326)*1.2))</f>
        <v>339.13499999999999</v>
      </c>
    </row>
    <row r="327" spans="1:23">
      <c r="A327">
        <v>374</v>
      </c>
      <c r="B327" s="12">
        <v>45786</v>
      </c>
      <c r="C327" t="s">
        <v>18</v>
      </c>
      <c r="D327" t="s">
        <v>122</v>
      </c>
      <c r="E327" t="s">
        <v>722</v>
      </c>
      <c r="F327" t="s">
        <v>309</v>
      </c>
      <c r="G327" s="3">
        <v>287.73</v>
      </c>
      <c r="H327" s="2">
        <f>G327*0.3</f>
        <v>86.319000000000003</v>
      </c>
      <c r="I327" s="8">
        <f>G327*0.15</f>
        <v>43.159500000000001</v>
      </c>
      <c r="J327" s="3">
        <f>G327+H327</f>
        <v>374.04900000000004</v>
      </c>
      <c r="K327" s="3">
        <f>J327*1.13</f>
        <v>422.67536999999999</v>
      </c>
      <c r="L327" s="25">
        <v>0</v>
      </c>
      <c r="O327" s="3">
        <v>375</v>
      </c>
      <c r="P327" s="3">
        <v>332.97</v>
      </c>
      <c r="Q327" s="3">
        <f>P327-G327</f>
        <v>45.240000000000009</v>
      </c>
      <c r="R327" s="10">
        <f>Q327/O327</f>
        <v>0.12064000000000002</v>
      </c>
      <c r="S327" s="13">
        <v>45807</v>
      </c>
      <c r="T327" s="7">
        <f ca="1">IF(S327&lt;&gt;"",S327-B327,TODAY()-B327)</f>
        <v>21</v>
      </c>
      <c r="V327" s="3">
        <f>IF((G327+H327)&lt;15,(G327+H327+2.95), ((G327+H327)*1.2))</f>
        <v>448.85880000000003</v>
      </c>
      <c r="W327" s="3">
        <f>IF((G327+I327)&lt;15,(G327+I327+2.95), ((G327+I327)*1.2))</f>
        <v>397.06739999999996</v>
      </c>
    </row>
    <row r="328" spans="1:23" hidden="1">
      <c r="A328">
        <v>375</v>
      </c>
      <c r="B328" s="12">
        <v>45786</v>
      </c>
      <c r="C328" t="s">
        <v>18</v>
      </c>
      <c r="D328" t="s">
        <v>122</v>
      </c>
      <c r="E328" t="s">
        <v>723</v>
      </c>
      <c r="F328" t="s">
        <v>226</v>
      </c>
      <c r="G328" s="3">
        <v>228.69</v>
      </c>
      <c r="H328" s="3">
        <f>G328*0.4</f>
        <v>91.475999999999999</v>
      </c>
      <c r="I328" s="8">
        <f>G328*0.15</f>
        <v>34.3035</v>
      </c>
      <c r="J328" s="3">
        <f>G328+H328</f>
        <v>320.166</v>
      </c>
      <c r="K328" s="3">
        <f>J328*1.13</f>
        <v>361.78757999999993</v>
      </c>
      <c r="L328" s="25">
        <v>1</v>
      </c>
      <c r="Q328" s="3">
        <f>P328-G328</f>
        <v>-228.69</v>
      </c>
      <c r="R328" s="10" t="e">
        <f>Q328/O328</f>
        <v>#DIV/0!</v>
      </c>
      <c r="T328" s="7">
        <f ca="1">IF(S328&lt;&gt;"",S328-B328,TODAY()-B328)</f>
        <v>80</v>
      </c>
      <c r="V328" s="3">
        <f>IF((G328+H328)&lt;15,(G328+H328+2.95), ((G328+H328)*1.2))</f>
        <v>384.19919999999996</v>
      </c>
      <c r="W328" s="3">
        <f>IF((G328+I328)&lt;15,(G328+I328+2.95), ((G328+I328)*1.2))</f>
        <v>315.59219999999999</v>
      </c>
    </row>
    <row r="329" spans="1:23">
      <c r="A329">
        <v>376</v>
      </c>
      <c r="B329" s="12">
        <v>45786</v>
      </c>
      <c r="C329" t="s">
        <v>18</v>
      </c>
      <c r="D329" t="s">
        <v>19</v>
      </c>
      <c r="E329" t="s">
        <v>756</v>
      </c>
      <c r="F329" t="s">
        <v>309</v>
      </c>
      <c r="G329" s="3">
        <v>96.06</v>
      </c>
      <c r="H329" s="3">
        <f>G329*0.4</f>
        <v>38.424000000000007</v>
      </c>
      <c r="I329" s="8">
        <f>G329*0.15</f>
        <v>14.408999999999999</v>
      </c>
      <c r="J329" s="3">
        <f>G329+H329</f>
        <v>134.48400000000001</v>
      </c>
      <c r="K329" s="3">
        <f>J329*1.13</f>
        <v>151.96691999999999</v>
      </c>
      <c r="L329" s="25">
        <v>0</v>
      </c>
      <c r="O329" s="3">
        <v>81</v>
      </c>
      <c r="P329" s="3">
        <v>74.849999999999994</v>
      </c>
      <c r="Q329" s="3">
        <f>P329-G329</f>
        <v>-21.210000000000008</v>
      </c>
      <c r="R329" s="10">
        <f>Q329/O329</f>
        <v>-0.26185185185185195</v>
      </c>
      <c r="S329" s="13">
        <v>45843</v>
      </c>
      <c r="T329" s="7">
        <f ca="1">IF(S329&lt;&gt;"",S329-B329,TODAY()-B329)</f>
        <v>57</v>
      </c>
      <c r="V329" s="3">
        <f>IF((G329+H329)&lt;15,(G329+H329+2.95), ((G329+H329)*1.2))</f>
        <v>161.38079999999999</v>
      </c>
      <c r="W329" s="3">
        <f>IF((G329+I329)&lt;15,(G329+I329+2.95), ((G329+I329)*1.2))</f>
        <v>132.56279999999998</v>
      </c>
    </row>
    <row r="330" spans="1:23" hidden="1">
      <c r="A330">
        <v>377</v>
      </c>
      <c r="B330" s="12">
        <v>45786</v>
      </c>
      <c r="C330" t="s">
        <v>18</v>
      </c>
      <c r="D330" t="s">
        <v>19</v>
      </c>
      <c r="E330" t="s">
        <v>724</v>
      </c>
      <c r="F330" t="s">
        <v>309</v>
      </c>
      <c r="G330" s="3">
        <v>146.16</v>
      </c>
      <c r="H330" s="3">
        <f>G330*0.4</f>
        <v>58.463999999999999</v>
      </c>
      <c r="I330" s="8">
        <f>G330*0.15</f>
        <v>21.923999999999999</v>
      </c>
      <c r="J330" s="3">
        <f>G330+H330</f>
        <v>204.624</v>
      </c>
      <c r="K330" s="3">
        <f>J330*1.13</f>
        <v>231.22511999999998</v>
      </c>
      <c r="L330" s="25">
        <v>1</v>
      </c>
      <c r="Q330" s="3">
        <f>P330-G330</f>
        <v>-146.16</v>
      </c>
      <c r="R330" s="10" t="e">
        <f>Q330/O330</f>
        <v>#DIV/0!</v>
      </c>
      <c r="T330" s="7">
        <f ca="1">IF(S330&lt;&gt;"",S330-B330,TODAY()-B330)</f>
        <v>80</v>
      </c>
      <c r="V330" s="3">
        <f>IF((G330+H330)&lt;15,(G330+H330+2.95), ((G330+H330)*1.2))</f>
        <v>245.54879999999997</v>
      </c>
      <c r="W330" s="3">
        <f>IF((G330+I330)&lt;15,(G330+I330+2.95), ((G330+I330)*1.2))</f>
        <v>201.70079999999999</v>
      </c>
    </row>
    <row r="331" spans="1:23" hidden="1">
      <c r="A331">
        <v>378</v>
      </c>
      <c r="B331" s="12">
        <v>45786</v>
      </c>
      <c r="C331" t="s">
        <v>18</v>
      </c>
      <c r="D331" t="s">
        <v>19</v>
      </c>
      <c r="E331" t="s">
        <v>725</v>
      </c>
      <c r="F331" t="s">
        <v>309</v>
      </c>
      <c r="G331" s="3">
        <v>157.05000000000001</v>
      </c>
      <c r="H331" s="3">
        <f>G331*0.4</f>
        <v>62.820000000000007</v>
      </c>
      <c r="I331" s="8">
        <f>G331*0.15</f>
        <v>23.557500000000001</v>
      </c>
      <c r="J331" s="3">
        <f>G331+H331</f>
        <v>219.87</v>
      </c>
      <c r="K331" s="3">
        <f>J331*1.13</f>
        <v>248.45309999999998</v>
      </c>
      <c r="L331" s="25">
        <v>1</v>
      </c>
      <c r="Q331" s="3">
        <f>P331-G331</f>
        <v>-157.05000000000001</v>
      </c>
      <c r="R331" s="10" t="e">
        <f>Q331/O331</f>
        <v>#DIV/0!</v>
      </c>
      <c r="T331" s="7">
        <f ca="1">IF(S331&lt;&gt;"",S331-B331,TODAY()-B331)</f>
        <v>80</v>
      </c>
      <c r="V331" s="3">
        <f>IF((G331+H331)&lt;15,(G331+H331+2.95), ((G331+H331)*1.2))</f>
        <v>263.84399999999999</v>
      </c>
      <c r="W331" s="3">
        <f>IF((G331+I331)&lt;15,(G331+I331+2.95), ((G331+I331)*1.2))</f>
        <v>216.72900000000001</v>
      </c>
    </row>
    <row r="332" spans="1:23" hidden="1">
      <c r="A332">
        <v>379</v>
      </c>
      <c r="B332" s="12">
        <v>45786</v>
      </c>
      <c r="C332" t="s">
        <v>18</v>
      </c>
      <c r="D332" t="s">
        <v>19</v>
      </c>
      <c r="E332" t="s">
        <v>726</v>
      </c>
      <c r="F332" t="s">
        <v>309</v>
      </c>
      <c r="G332" s="3">
        <v>118.93</v>
      </c>
      <c r="H332" s="3">
        <f>G332*0.4</f>
        <v>47.572000000000003</v>
      </c>
      <c r="I332" s="8">
        <f>G332*0.15</f>
        <v>17.839500000000001</v>
      </c>
      <c r="J332" s="3">
        <f>G332+H332</f>
        <v>166.50200000000001</v>
      </c>
      <c r="K332" s="3">
        <f>J332*1.13</f>
        <v>188.14725999999999</v>
      </c>
      <c r="L332" s="25">
        <v>1</v>
      </c>
      <c r="Q332" s="3">
        <f>P332-G332</f>
        <v>-118.93</v>
      </c>
      <c r="R332" s="10" t="e">
        <f>Q332/O332</f>
        <v>#DIV/0!</v>
      </c>
      <c r="T332" s="7">
        <f ca="1">IF(S332&lt;&gt;"",S332-B332,TODAY()-B332)</f>
        <v>80</v>
      </c>
      <c r="V332" s="3">
        <f>IF((G332+H332)&lt;15,(G332+H332+2.95), ((G332+H332)*1.2))</f>
        <v>199.80240000000001</v>
      </c>
      <c r="W332" s="3">
        <f>IF((G332+I332)&lt;15,(G332+I332+2.95), ((G332+I332)*1.2))</f>
        <v>164.12339999999998</v>
      </c>
    </row>
    <row r="333" spans="1:23" hidden="1">
      <c r="A333">
        <v>381</v>
      </c>
      <c r="B333" s="12">
        <v>45786</v>
      </c>
      <c r="C333" t="s">
        <v>18</v>
      </c>
      <c r="D333" t="s">
        <v>58</v>
      </c>
      <c r="E333" t="s">
        <v>727</v>
      </c>
      <c r="F333" t="s">
        <v>309</v>
      </c>
      <c r="G333" s="3">
        <v>369.4</v>
      </c>
      <c r="H333" s="3">
        <f>G333*0.4</f>
        <v>147.76</v>
      </c>
      <c r="I333" s="8">
        <f>G333*0.15</f>
        <v>55.41</v>
      </c>
      <c r="J333" s="3">
        <f>G333+H333</f>
        <v>517.16</v>
      </c>
      <c r="K333" s="3">
        <f>J333*1.13</f>
        <v>584.3907999999999</v>
      </c>
      <c r="L333" s="25">
        <v>1</v>
      </c>
      <c r="Q333" s="3">
        <f>P333-G333</f>
        <v>-369.4</v>
      </c>
      <c r="R333" s="10" t="e">
        <f>Q333/O333</f>
        <v>#DIV/0!</v>
      </c>
      <c r="T333" s="7">
        <f ca="1">IF(S333&lt;&gt;"",S333-B333,TODAY()-B333)</f>
        <v>80</v>
      </c>
      <c r="V333" s="3">
        <f>IF((G333+H333)&lt;15,(G333+H333+2.95), ((G333+H333)*1.2))</f>
        <v>620.59199999999998</v>
      </c>
      <c r="W333" s="3">
        <f>IF((G333+I333)&lt;15,(G333+I333+2.95), ((G333+I333)*1.2))</f>
        <v>509.77199999999993</v>
      </c>
    </row>
    <row r="334" spans="1:23" hidden="1">
      <c r="A334">
        <v>382</v>
      </c>
      <c r="B334" s="12">
        <v>45787</v>
      </c>
      <c r="C334" t="s">
        <v>18</v>
      </c>
      <c r="D334" t="s">
        <v>19</v>
      </c>
      <c r="E334" t="s">
        <v>728</v>
      </c>
      <c r="F334" t="s">
        <v>224</v>
      </c>
      <c r="G334" s="3">
        <v>184.27</v>
      </c>
      <c r="H334" s="3">
        <f>G334*0.4</f>
        <v>73.708000000000013</v>
      </c>
      <c r="I334" s="8">
        <f>G334*0.15</f>
        <v>27.640499999999999</v>
      </c>
      <c r="J334" s="3">
        <f>G334+H334</f>
        <v>257.97800000000001</v>
      </c>
      <c r="K334" s="3">
        <f>J334*1.13</f>
        <v>291.51513999999997</v>
      </c>
      <c r="L334" s="25">
        <v>1</v>
      </c>
      <c r="Q334" s="3">
        <f>P334-G334</f>
        <v>-184.27</v>
      </c>
      <c r="R334" s="10" t="e">
        <f>Q334/O334</f>
        <v>#DIV/0!</v>
      </c>
      <c r="T334" s="7">
        <f ca="1">IF(S334&lt;&gt;"",S334-B334,TODAY()-B334)</f>
        <v>79</v>
      </c>
      <c r="V334" s="3">
        <f>IF((G334+H334)&lt;15,(G334+H334+2.95), ((G334+H334)*1.2))</f>
        <v>309.5736</v>
      </c>
      <c r="W334" s="3">
        <f>IF((G334+I334)&lt;15,(G334+I334+2.95), ((G334+I334)*1.2))</f>
        <v>254.29259999999999</v>
      </c>
    </row>
    <row r="335" spans="1:23" hidden="1">
      <c r="A335">
        <v>383</v>
      </c>
      <c r="B335" s="12">
        <v>45787</v>
      </c>
      <c r="C335" t="s">
        <v>18</v>
      </c>
      <c r="D335" t="s">
        <v>132</v>
      </c>
      <c r="E335" t="s">
        <v>729</v>
      </c>
      <c r="F335" t="s">
        <v>309</v>
      </c>
      <c r="G335" s="3">
        <v>190.8</v>
      </c>
      <c r="H335" s="3">
        <f>G335*0.4</f>
        <v>76.320000000000007</v>
      </c>
      <c r="I335" s="8">
        <f>G335*0.15</f>
        <v>28.62</v>
      </c>
      <c r="J335" s="3">
        <f>G335+H335</f>
        <v>267.12</v>
      </c>
      <c r="K335" s="3">
        <f>J335*1.13</f>
        <v>301.84559999999999</v>
      </c>
      <c r="L335" s="25">
        <v>1</v>
      </c>
      <c r="Q335" s="3">
        <f>P335-G335</f>
        <v>-190.8</v>
      </c>
      <c r="R335" s="10" t="e">
        <f>Q335/O335</f>
        <v>#DIV/0!</v>
      </c>
      <c r="T335" s="7">
        <f ca="1">IF(S335&lt;&gt;"",S335-B335,TODAY()-B335)</f>
        <v>79</v>
      </c>
      <c r="V335" s="3">
        <f>IF((G335+H335)&lt;15,(G335+H335+2.95), ((G335+H335)*1.2))</f>
        <v>320.54399999999998</v>
      </c>
      <c r="W335" s="3">
        <f>IF((G335+I335)&lt;15,(G335+I335+2.95), ((G335+I335)*1.2))</f>
        <v>263.30400000000003</v>
      </c>
    </row>
    <row r="336" spans="1:23" hidden="1">
      <c r="A336">
        <v>384</v>
      </c>
      <c r="B336" s="12">
        <v>45787</v>
      </c>
      <c r="C336" t="s">
        <v>18</v>
      </c>
      <c r="D336" t="s">
        <v>533</v>
      </c>
      <c r="E336" t="s">
        <v>730</v>
      </c>
      <c r="F336" t="s">
        <v>226</v>
      </c>
      <c r="G336" s="3">
        <v>118.93</v>
      </c>
      <c r="H336" s="3">
        <f>G336*0.4</f>
        <v>47.572000000000003</v>
      </c>
      <c r="I336" s="8">
        <f>G336*0.15</f>
        <v>17.839500000000001</v>
      </c>
      <c r="J336" s="3">
        <f>G336+H336</f>
        <v>166.50200000000001</v>
      </c>
      <c r="K336" s="3">
        <f>J336*1.13</f>
        <v>188.14725999999999</v>
      </c>
      <c r="L336" s="25">
        <v>1</v>
      </c>
      <c r="Q336" s="3">
        <f>P336-G336</f>
        <v>-118.93</v>
      </c>
      <c r="R336" s="10" t="e">
        <f>Q336/O336</f>
        <v>#DIV/0!</v>
      </c>
      <c r="T336" s="7">
        <f ca="1">IF(S336&lt;&gt;"",S336-B336,TODAY()-B336)</f>
        <v>79</v>
      </c>
      <c r="V336" s="3">
        <f>IF((G336+H336)&lt;15,(G336+H336+2.95), ((G336+H336)*1.2))</f>
        <v>199.80240000000001</v>
      </c>
      <c r="W336" s="3">
        <f>IF((G336+I336)&lt;15,(G336+I336+2.95), ((G336+I336)*1.2))</f>
        <v>164.12339999999998</v>
      </c>
    </row>
    <row r="337" spans="1:23" hidden="1">
      <c r="A337">
        <v>385</v>
      </c>
      <c r="B337" s="12">
        <v>45787</v>
      </c>
      <c r="C337" t="s">
        <v>18</v>
      </c>
      <c r="D337" t="s">
        <v>533</v>
      </c>
      <c r="E337" t="s">
        <v>731</v>
      </c>
      <c r="F337" t="s">
        <v>309</v>
      </c>
      <c r="G337" s="3">
        <v>83.85</v>
      </c>
      <c r="H337" s="3">
        <f>G337*0.4</f>
        <v>33.54</v>
      </c>
      <c r="I337" s="8">
        <f>G337*0.15</f>
        <v>12.577499999999999</v>
      </c>
      <c r="J337" s="3">
        <f>G337+H337</f>
        <v>117.38999999999999</v>
      </c>
      <c r="K337" s="3">
        <f>J337*1.13</f>
        <v>132.65069999999997</v>
      </c>
      <c r="L337" s="25">
        <v>1</v>
      </c>
      <c r="Q337" s="3">
        <f>P337-G337</f>
        <v>-83.85</v>
      </c>
      <c r="R337" s="10" t="e">
        <f>Q337/O337</f>
        <v>#DIV/0!</v>
      </c>
      <c r="T337" s="7">
        <f ca="1">IF(S337&lt;&gt;"",S337-B337,TODAY()-B337)</f>
        <v>79</v>
      </c>
      <c r="V337" s="3">
        <f>IF((G337+H337)&lt;15,(G337+H337+2.95), ((G337+H337)*1.2))</f>
        <v>140.86799999999997</v>
      </c>
      <c r="W337" s="3">
        <f>IF((G337+I337)&lt;15,(G337+I337+2.95), ((G337+I337)*1.2))</f>
        <v>115.71299999999999</v>
      </c>
    </row>
    <row r="338" spans="1:23">
      <c r="A338">
        <v>386</v>
      </c>
      <c r="B338" s="12">
        <v>45787</v>
      </c>
      <c r="C338" t="s">
        <v>18</v>
      </c>
      <c r="D338" t="s">
        <v>439</v>
      </c>
      <c r="E338" t="s">
        <v>732</v>
      </c>
      <c r="F338" t="s">
        <v>226</v>
      </c>
      <c r="G338" s="3">
        <v>243.41</v>
      </c>
      <c r="H338" s="2">
        <f>G338*0.3</f>
        <v>73.022999999999996</v>
      </c>
      <c r="I338" s="8">
        <f>G338*0.15</f>
        <v>36.511499999999998</v>
      </c>
      <c r="J338" s="3">
        <f>G338+H338</f>
        <v>316.43299999999999</v>
      </c>
      <c r="K338" s="3">
        <f>J338*1.13</f>
        <v>357.56928999999997</v>
      </c>
      <c r="L338" s="25">
        <v>0</v>
      </c>
      <c r="O338" s="3">
        <v>299</v>
      </c>
      <c r="P338" s="3">
        <v>265.38</v>
      </c>
      <c r="Q338" s="3">
        <f>P338-G338</f>
        <v>21.97</v>
      </c>
      <c r="R338" s="10">
        <f>Q338/O338</f>
        <v>7.3478260869565215E-2</v>
      </c>
      <c r="S338" s="13">
        <v>45809</v>
      </c>
      <c r="T338" s="7">
        <f ca="1">IF(S338&lt;&gt;"",S338-B338,TODAY()-B338)</f>
        <v>22</v>
      </c>
      <c r="V338" s="3">
        <f>IF((G338+H338)&lt;15,(G338+H338+2.95), ((G338+H338)*1.2))</f>
        <v>379.71959999999996</v>
      </c>
      <c r="W338" s="3">
        <f>IF((G338+I338)&lt;15,(G338+I338+2.95), ((G338+I338)*1.2))</f>
        <v>335.90579999999994</v>
      </c>
    </row>
    <row r="339" spans="1:23" hidden="1">
      <c r="A339">
        <v>387</v>
      </c>
      <c r="B339" s="12">
        <v>45788</v>
      </c>
      <c r="C339" t="s">
        <v>18</v>
      </c>
      <c r="D339" t="s">
        <v>733</v>
      </c>
      <c r="E339" t="s">
        <v>734</v>
      </c>
      <c r="F339" t="s">
        <v>226</v>
      </c>
      <c r="G339" s="3">
        <v>172.57</v>
      </c>
      <c r="H339" s="3">
        <f>G339*0.4</f>
        <v>69.028000000000006</v>
      </c>
      <c r="I339" s="8">
        <f>G339*0.15</f>
        <v>25.885499999999997</v>
      </c>
      <c r="J339" s="3">
        <f>G339+H339</f>
        <v>241.59800000000001</v>
      </c>
      <c r="K339" s="3">
        <f>J339*1.13</f>
        <v>273.00574</v>
      </c>
      <c r="L339" s="25">
        <v>1</v>
      </c>
      <c r="Q339" s="3">
        <f>P339-G339</f>
        <v>-172.57</v>
      </c>
      <c r="R339" s="10" t="e">
        <f>Q339/O339</f>
        <v>#DIV/0!</v>
      </c>
      <c r="T339" s="7">
        <f ca="1">IF(S339&lt;&gt;"",S339-B339,TODAY()-B339)</f>
        <v>78</v>
      </c>
      <c r="V339" s="3">
        <f>IF((G339+H339)&lt;15,(G339+H339+2.95), ((G339+H339)*1.2))</f>
        <v>289.91759999999999</v>
      </c>
      <c r="W339" s="3">
        <f>IF((G339+I339)&lt;15,(G339+I339+2.95), ((G339+I339)*1.2))</f>
        <v>238.14659999999998</v>
      </c>
    </row>
    <row r="340" spans="1:23">
      <c r="A340">
        <v>388</v>
      </c>
      <c r="B340" s="12">
        <v>45788</v>
      </c>
      <c r="C340" t="s">
        <v>18</v>
      </c>
      <c r="D340" t="s">
        <v>733</v>
      </c>
      <c r="E340" t="s">
        <v>735</v>
      </c>
      <c r="F340" t="s">
        <v>226</v>
      </c>
      <c r="G340" s="3">
        <v>162.54</v>
      </c>
      <c r="H340" s="2">
        <f>G340*0.3</f>
        <v>48.761999999999993</v>
      </c>
      <c r="I340" s="8">
        <f>G340*0.15</f>
        <v>24.380999999999997</v>
      </c>
      <c r="J340" s="3">
        <f>G340+H340</f>
        <v>211.30199999999999</v>
      </c>
      <c r="K340" s="3">
        <f>J340*1.13</f>
        <v>238.77125999999996</v>
      </c>
      <c r="L340" s="25">
        <v>0</v>
      </c>
      <c r="O340" s="3">
        <v>260</v>
      </c>
      <c r="P340" s="3">
        <v>230.79</v>
      </c>
      <c r="Q340" s="3">
        <f>P340-G340</f>
        <v>68.25</v>
      </c>
      <c r="R340" s="10">
        <f>Q340/O340</f>
        <v>0.26250000000000001</v>
      </c>
      <c r="S340" s="13">
        <v>45833</v>
      </c>
      <c r="T340" s="7">
        <f ca="1">IF(S340&lt;&gt;"",S340-B340,TODAY()-B340)</f>
        <v>45</v>
      </c>
      <c r="V340" s="3">
        <f>IF((G340+H340)&lt;15,(G340+H340+2.95), ((G340+H340)*1.2))</f>
        <v>253.56239999999997</v>
      </c>
      <c r="W340" s="3">
        <f>IF((G340+I340)&lt;15,(G340+I340+2.95), ((G340+I340)*1.2))</f>
        <v>224.30519999999999</v>
      </c>
    </row>
    <row r="341" spans="1:23" hidden="1">
      <c r="A341">
        <v>389</v>
      </c>
      <c r="B341" s="12">
        <v>45789</v>
      </c>
      <c r="C341" t="s">
        <v>18</v>
      </c>
      <c r="D341" t="s">
        <v>19</v>
      </c>
      <c r="E341" s="15" t="s">
        <v>736</v>
      </c>
      <c r="F341" t="s">
        <v>309</v>
      </c>
      <c r="G341" s="3">
        <v>91.71</v>
      </c>
      <c r="H341" s="3">
        <f>G341*0.4</f>
        <v>36.683999999999997</v>
      </c>
      <c r="I341" s="8">
        <f>G341*0.15</f>
        <v>13.756499999999999</v>
      </c>
      <c r="J341" s="3">
        <f>G341+H341</f>
        <v>128.39400000000001</v>
      </c>
      <c r="K341" s="3">
        <f>J341*1.13</f>
        <v>145.08521999999999</v>
      </c>
      <c r="L341" s="25">
        <v>1</v>
      </c>
      <c r="M341" s="7" t="s">
        <v>606</v>
      </c>
      <c r="Q341" s="3">
        <f>P341-G341</f>
        <v>-91.71</v>
      </c>
      <c r="R341" s="10" t="e">
        <f>Q341/O341</f>
        <v>#DIV/0!</v>
      </c>
      <c r="T341" s="7">
        <f ca="1">IF(S341&lt;&gt;"",S341-B341,TODAY()-B341)</f>
        <v>77</v>
      </c>
      <c r="V341" s="3">
        <f>IF((G341+H341)&lt;15,(G341+H341+2.95), ((G341+H341)*1.2))</f>
        <v>154.0728</v>
      </c>
      <c r="W341" s="3">
        <f>IF((G341+I341)&lt;15,(G341+I341+2.95), ((G341+I341)*1.2))</f>
        <v>126.5598</v>
      </c>
    </row>
    <row r="342" spans="1:23">
      <c r="A342">
        <v>390</v>
      </c>
      <c r="B342" s="12">
        <v>45789</v>
      </c>
      <c r="C342" t="s">
        <v>18</v>
      </c>
      <c r="D342" t="s">
        <v>19</v>
      </c>
      <c r="E342" t="s">
        <v>737</v>
      </c>
      <c r="F342" t="s">
        <v>224</v>
      </c>
      <c r="G342" s="3">
        <v>98.01</v>
      </c>
      <c r="H342" s="2">
        <f>G342*0.3</f>
        <v>29.402999999999999</v>
      </c>
      <c r="I342" s="8">
        <f>G342*0.15</f>
        <v>14.701499999999999</v>
      </c>
      <c r="J342" s="3">
        <f>G342+H342</f>
        <v>127.41300000000001</v>
      </c>
      <c r="K342" s="3">
        <f>J342*1.13</f>
        <v>143.97668999999999</v>
      </c>
      <c r="L342" s="25">
        <v>0</v>
      </c>
      <c r="M342" s="7" t="s">
        <v>606</v>
      </c>
      <c r="O342" s="3">
        <v>75</v>
      </c>
      <c r="P342" s="3">
        <v>66.27</v>
      </c>
      <c r="Q342" s="3">
        <f>P342-G342</f>
        <v>-31.740000000000009</v>
      </c>
      <c r="R342" s="10">
        <f>Q342/O342</f>
        <v>-0.42320000000000013</v>
      </c>
      <c r="S342" s="13">
        <v>45798</v>
      </c>
      <c r="T342" s="7">
        <f ca="1">IF(S342&lt;&gt;"",S342-B342,TODAY()-B342)</f>
        <v>9</v>
      </c>
      <c r="V342" s="3">
        <f>IF((G342+H342)&lt;15,(G342+H342+2.95), ((G342+H342)*1.2))</f>
        <v>152.8956</v>
      </c>
      <c r="W342" s="3">
        <f>IF((G342+I342)&lt;15,(G342+I342+2.95), ((G342+I342)*1.2))</f>
        <v>135.25379999999998</v>
      </c>
    </row>
    <row r="343" spans="1:23">
      <c r="A343">
        <v>391</v>
      </c>
      <c r="B343" s="12">
        <v>45789</v>
      </c>
      <c r="C343" t="s">
        <v>18</v>
      </c>
      <c r="D343" t="s">
        <v>19</v>
      </c>
      <c r="E343" t="s">
        <v>743</v>
      </c>
      <c r="F343" t="s">
        <v>309</v>
      </c>
      <c r="G343" s="3">
        <v>151.6</v>
      </c>
      <c r="H343" s="2">
        <f>G343*0.3</f>
        <v>45.48</v>
      </c>
      <c r="I343" s="8">
        <f>G343*0.15</f>
        <v>22.74</v>
      </c>
      <c r="J343" s="3">
        <f>G343+H343</f>
        <v>197.07999999999998</v>
      </c>
      <c r="K343" s="3">
        <f>J343*1.13</f>
        <v>222.70039999999997</v>
      </c>
      <c r="L343" s="25">
        <v>0</v>
      </c>
      <c r="O343" s="3">
        <v>252</v>
      </c>
      <c r="P343" s="3">
        <v>223.72</v>
      </c>
      <c r="Q343" s="3">
        <f>P343-G343</f>
        <v>72.12</v>
      </c>
      <c r="R343" s="10">
        <f>Q343/O343</f>
        <v>0.28619047619047622</v>
      </c>
      <c r="S343" s="13">
        <v>45795</v>
      </c>
      <c r="T343" s="7">
        <f ca="1">IF(S343&lt;&gt;"",S343-B343,TODAY()-B343)</f>
        <v>6</v>
      </c>
      <c r="V343" s="3">
        <f>IF((G343+H343)&lt;15,(G343+H343+2.95), ((G343+H343)*1.2))</f>
        <v>236.49599999999998</v>
      </c>
      <c r="W343" s="3">
        <f>IF((G343+I343)&lt;15,(G343+I343+2.95), ((G343+I343)*1.2))</f>
        <v>209.208</v>
      </c>
    </row>
    <row r="344" spans="1:23" hidden="1">
      <c r="A344">
        <v>392</v>
      </c>
      <c r="B344" s="12">
        <v>45789</v>
      </c>
      <c r="C344" t="s">
        <v>18</v>
      </c>
      <c r="D344" t="s">
        <v>19</v>
      </c>
      <c r="E344" t="s">
        <v>738</v>
      </c>
      <c r="F344" t="s">
        <v>739</v>
      </c>
      <c r="G344" s="3">
        <v>130.68</v>
      </c>
      <c r="H344" s="3">
        <f>G344*0.4</f>
        <v>52.272000000000006</v>
      </c>
      <c r="I344" s="8">
        <f>G344*0.15</f>
        <v>19.602</v>
      </c>
      <c r="J344" s="3">
        <f>G344+H344</f>
        <v>182.952</v>
      </c>
      <c r="K344" s="3">
        <f>J344*1.13</f>
        <v>206.73575999999997</v>
      </c>
      <c r="L344" s="25">
        <v>1</v>
      </c>
      <c r="Q344" s="3">
        <f>P344-G344</f>
        <v>-130.68</v>
      </c>
      <c r="R344" s="10" t="e">
        <f>Q344/O344</f>
        <v>#DIV/0!</v>
      </c>
      <c r="T344" s="7">
        <f ca="1">IF(S344&lt;&gt;"",S344-B344,TODAY()-B344)</f>
        <v>77</v>
      </c>
      <c r="V344" s="3">
        <f>IF((G344+H344)&lt;15,(G344+H344+2.95), ((G344+H344)*1.2))</f>
        <v>219.54239999999999</v>
      </c>
      <c r="W344" s="3">
        <f>IF((G344+I344)&lt;15,(G344+I344+2.95), ((G344+I344)*1.2))</f>
        <v>180.33840000000001</v>
      </c>
    </row>
    <row r="345" spans="1:23">
      <c r="A345">
        <v>393</v>
      </c>
      <c r="B345" s="12">
        <v>45789</v>
      </c>
      <c r="C345" t="s">
        <v>18</v>
      </c>
      <c r="D345" t="s">
        <v>19</v>
      </c>
      <c r="E345" t="s">
        <v>742</v>
      </c>
      <c r="F345" t="s">
        <v>224</v>
      </c>
      <c r="G345" s="3">
        <f>434.74/3</f>
        <v>144.91333333333333</v>
      </c>
      <c r="H345" s="3">
        <f>G345*0.4</f>
        <v>57.965333333333334</v>
      </c>
      <c r="I345" s="8">
        <f>G345*0.15</f>
        <v>21.736999999999998</v>
      </c>
      <c r="J345" s="3">
        <f>G345+H345</f>
        <v>202.87866666666667</v>
      </c>
      <c r="K345" s="3">
        <f>J345*1.13</f>
        <v>229.25289333333333</v>
      </c>
      <c r="L345" s="25">
        <v>0</v>
      </c>
      <c r="M345" s="7" t="s">
        <v>606</v>
      </c>
      <c r="O345" s="3">
        <v>276.25</v>
      </c>
      <c r="P345" s="3">
        <v>244.83</v>
      </c>
      <c r="Q345" s="3">
        <f>P345-G345</f>
        <v>99.916666666666686</v>
      </c>
      <c r="R345" s="10">
        <f>Q345/O345</f>
        <v>0.36168929110105585</v>
      </c>
      <c r="S345" s="13">
        <v>45835</v>
      </c>
      <c r="T345" s="7">
        <f ca="1">IF(S345&lt;&gt;"",S345-B345,TODAY()-B345)</f>
        <v>46</v>
      </c>
      <c r="V345" s="3">
        <f>IF((G345+H345)&lt;15,(G345+H345+2.95), ((G345+H345)*1.2))</f>
        <v>243.45439999999999</v>
      </c>
      <c r="W345" s="3">
        <f>IF((G345+I345)&lt;15,(G345+I345+2.95), ((G345+I345)*1.2))</f>
        <v>199.98039999999997</v>
      </c>
    </row>
    <row r="346" spans="1:23">
      <c r="A346">
        <v>394</v>
      </c>
      <c r="B346" s="12">
        <v>45789</v>
      </c>
      <c r="C346" t="s">
        <v>18</v>
      </c>
      <c r="D346" t="s">
        <v>19</v>
      </c>
      <c r="E346" t="s">
        <v>740</v>
      </c>
      <c r="F346" t="s">
        <v>224</v>
      </c>
      <c r="G346" s="3">
        <f>434.74/3</f>
        <v>144.91333333333333</v>
      </c>
      <c r="H346" s="2">
        <f>G346*0.3</f>
        <v>43.473999999999997</v>
      </c>
      <c r="I346" s="8">
        <f>G346*0.15</f>
        <v>21.736999999999998</v>
      </c>
      <c r="J346" s="3">
        <f>G346+H346</f>
        <v>188.38733333333332</v>
      </c>
      <c r="K346" s="3">
        <f>J346*1.13</f>
        <v>212.87768666666662</v>
      </c>
      <c r="L346" s="25">
        <v>0</v>
      </c>
      <c r="M346" s="7" t="s">
        <v>606</v>
      </c>
      <c r="O346" s="3">
        <v>199</v>
      </c>
      <c r="P346" s="3">
        <v>176.24</v>
      </c>
      <c r="Q346" s="3">
        <f>P346-G346</f>
        <v>31.326666666666682</v>
      </c>
      <c r="R346" s="10">
        <f>Q346/O346</f>
        <v>0.15742043551088786</v>
      </c>
      <c r="S346" s="13">
        <v>45814</v>
      </c>
      <c r="T346" s="7">
        <f ca="1">IF(S346&lt;&gt;"",S346-B346,TODAY()-B346)</f>
        <v>25</v>
      </c>
      <c r="V346" s="3">
        <f>IF((G346+H346)&lt;15,(G346+H346+2.95), ((G346+H346)*1.2))</f>
        <v>226.06479999999996</v>
      </c>
      <c r="W346" s="3">
        <f>IF((G346+I346)&lt;15,(G346+I346+2.95), ((G346+I346)*1.2))</f>
        <v>199.98039999999997</v>
      </c>
    </row>
    <row r="347" spans="1:23" hidden="1">
      <c r="A347">
        <v>395</v>
      </c>
      <c r="B347" s="12">
        <v>45789</v>
      </c>
      <c r="C347" t="s">
        <v>18</v>
      </c>
      <c r="D347" t="s">
        <v>19</v>
      </c>
      <c r="E347" t="s">
        <v>741</v>
      </c>
      <c r="F347" t="s">
        <v>224</v>
      </c>
      <c r="G347" s="3">
        <f>434.74/3</f>
        <v>144.91333333333333</v>
      </c>
      <c r="H347" s="3">
        <f>G347*0.4</f>
        <v>57.965333333333334</v>
      </c>
      <c r="I347" s="8">
        <f>G347*0.15</f>
        <v>21.736999999999998</v>
      </c>
      <c r="J347" s="3">
        <f>G347+H347</f>
        <v>202.87866666666667</v>
      </c>
      <c r="K347" s="3">
        <f>J347*1.13</f>
        <v>229.25289333333333</v>
      </c>
      <c r="L347" s="25">
        <v>1</v>
      </c>
      <c r="M347" s="7" t="s">
        <v>606</v>
      </c>
      <c r="Q347" s="3">
        <f>P347-G347</f>
        <v>-144.91333333333333</v>
      </c>
      <c r="R347" s="10" t="e">
        <f>Q347/O347</f>
        <v>#DIV/0!</v>
      </c>
      <c r="T347" s="7">
        <f ca="1">IF(S347&lt;&gt;"",S347-B347,TODAY()-B347)</f>
        <v>77</v>
      </c>
      <c r="V347" s="3">
        <f>IF((G347+H347)&lt;15,(G347+H347+2.95), ((G347+H347)*1.2))</f>
        <v>243.45439999999999</v>
      </c>
      <c r="W347" s="3">
        <f>IF((G347+I347)&lt;15,(G347+I347+2.95), ((G347+I347)*1.2))</f>
        <v>199.98039999999997</v>
      </c>
    </row>
    <row r="348" spans="1:23">
      <c r="A348">
        <v>397</v>
      </c>
      <c r="B348" s="12">
        <v>45785</v>
      </c>
      <c r="C348" t="s">
        <v>18</v>
      </c>
      <c r="D348" t="s">
        <v>744</v>
      </c>
      <c r="E348" t="s">
        <v>745</v>
      </c>
      <c r="F348" t="s">
        <v>309</v>
      </c>
      <c r="G348" s="3">
        <v>190.13</v>
      </c>
      <c r="H348" s="2">
        <f>G348*0.3</f>
        <v>57.038999999999994</v>
      </c>
      <c r="I348" s="8">
        <f>G348*0.15</f>
        <v>28.519499999999997</v>
      </c>
      <c r="J348" s="3">
        <f>G348+H348</f>
        <v>247.16899999999998</v>
      </c>
      <c r="K348" s="3">
        <f>J348*1.13</f>
        <v>279.30096999999995</v>
      </c>
      <c r="L348" s="25">
        <v>0</v>
      </c>
      <c r="O348" s="3">
        <v>250</v>
      </c>
      <c r="P348" s="3">
        <v>221.55</v>
      </c>
      <c r="Q348" s="3">
        <f>P348-G348</f>
        <v>31.420000000000016</v>
      </c>
      <c r="R348" s="10">
        <f>Q348/O348</f>
        <v>0.12568000000000007</v>
      </c>
      <c r="S348" s="13">
        <v>45807</v>
      </c>
      <c r="T348" s="7">
        <f ca="1">IF(S348&lt;&gt;"",S348-B348,TODAY()-B348)</f>
        <v>22</v>
      </c>
      <c r="V348" s="3">
        <f>IF((G348+H348)&lt;15,(G348+H348+2.95), ((G348+H348)*1.2))</f>
        <v>296.60279999999995</v>
      </c>
      <c r="W348" s="3">
        <f>IF((G348+I348)&lt;15,(G348+I348+2.95), ((G348+I348)*1.2))</f>
        <v>262.37939999999998</v>
      </c>
    </row>
    <row r="349" spans="1:23">
      <c r="A349">
        <v>399</v>
      </c>
      <c r="B349" s="12">
        <v>45785</v>
      </c>
      <c r="C349" t="s">
        <v>18</v>
      </c>
      <c r="D349" t="s">
        <v>747</v>
      </c>
      <c r="E349" t="s">
        <v>746</v>
      </c>
      <c r="F349" t="s">
        <v>309</v>
      </c>
      <c r="G349" s="3">
        <v>270.77</v>
      </c>
      <c r="H349" s="2">
        <f>G349*0.3</f>
        <v>81.230999999999995</v>
      </c>
      <c r="I349" s="8">
        <f>G349*0.15</f>
        <v>40.615499999999997</v>
      </c>
      <c r="J349" s="3">
        <f>G349+H349</f>
        <v>352.00099999999998</v>
      </c>
      <c r="K349" s="3">
        <f>J349*1.13</f>
        <v>397.76112999999992</v>
      </c>
      <c r="L349" s="25">
        <v>0</v>
      </c>
      <c r="O349" s="3">
        <v>360</v>
      </c>
      <c r="P349" s="3">
        <v>319.44</v>
      </c>
      <c r="Q349" s="3">
        <f>P349-G349</f>
        <v>48.670000000000016</v>
      </c>
      <c r="R349" s="10">
        <f>Q349/O349</f>
        <v>0.13519444444444448</v>
      </c>
      <c r="S349" s="13">
        <v>45793</v>
      </c>
      <c r="T349" s="7">
        <f ca="1">IF(S349&lt;&gt;"",S349-B349,TODAY()-B349)</f>
        <v>8</v>
      </c>
      <c r="V349" s="3">
        <f>IF((G349+H349)&lt;15,(G349+H349+2.95), ((G349+H349)*1.2))</f>
        <v>422.40119999999996</v>
      </c>
      <c r="W349" s="3">
        <f>IF((G349+I349)&lt;15,(G349+I349+2.95), ((G349+I349)*1.2))</f>
        <v>373.66259999999994</v>
      </c>
    </row>
    <row r="350" spans="1:23">
      <c r="A350">
        <v>400</v>
      </c>
      <c r="B350" s="12">
        <v>45786</v>
      </c>
      <c r="C350" t="s">
        <v>18</v>
      </c>
      <c r="D350" t="s">
        <v>749</v>
      </c>
      <c r="E350" t="s">
        <v>748</v>
      </c>
      <c r="F350" t="s">
        <v>224</v>
      </c>
      <c r="G350" s="3">
        <v>218.02</v>
      </c>
      <c r="H350" s="2">
        <f>G350*0.3</f>
        <v>65.406000000000006</v>
      </c>
      <c r="I350" s="8">
        <f>G350*0.15</f>
        <v>32.703000000000003</v>
      </c>
      <c r="J350" s="3">
        <f>G350+H350</f>
        <v>283.42600000000004</v>
      </c>
      <c r="K350" s="3">
        <f>J350*1.13</f>
        <v>320.27138000000002</v>
      </c>
      <c r="L350" s="25">
        <v>0</v>
      </c>
      <c r="O350" s="3">
        <v>399</v>
      </c>
      <c r="P350" s="3">
        <v>354.14</v>
      </c>
      <c r="Q350" s="3">
        <f>P350-G350</f>
        <v>136.11999999999998</v>
      </c>
      <c r="R350" s="10">
        <f>Q350/O350</f>
        <v>0.34115288220551371</v>
      </c>
      <c r="S350" s="13">
        <v>45830</v>
      </c>
      <c r="T350" s="7">
        <f ca="1">IF(S350&lt;&gt;"",S350-B350,TODAY()-B350)</f>
        <v>44</v>
      </c>
      <c r="V350" s="3">
        <f>IF((G350+H350)&lt;15,(G350+H350+2.95), ((G350+H350)*1.2))</f>
        <v>340.11120000000005</v>
      </c>
      <c r="W350" s="3">
        <f>IF((G350+I350)&lt;15,(G350+I350+2.95), ((G350+I350)*1.2))</f>
        <v>300.86759999999998</v>
      </c>
    </row>
    <row r="351" spans="1:23">
      <c r="A351">
        <v>401</v>
      </c>
      <c r="B351" s="12">
        <v>45781</v>
      </c>
      <c r="D351" t="s">
        <v>752</v>
      </c>
      <c r="E351" t="s">
        <v>751</v>
      </c>
      <c r="F351" t="s">
        <v>226</v>
      </c>
      <c r="G351" s="3">
        <v>239.58</v>
      </c>
      <c r="H351" s="2">
        <f>G351*0.3</f>
        <v>71.873999999999995</v>
      </c>
      <c r="I351" s="8">
        <f>G351*0.15</f>
        <v>35.936999999999998</v>
      </c>
      <c r="J351" s="3">
        <f>G351+H351</f>
        <v>311.45400000000001</v>
      </c>
      <c r="K351" s="3">
        <f>J351*1.13</f>
        <v>351.94301999999999</v>
      </c>
      <c r="L351" s="25">
        <v>0</v>
      </c>
      <c r="O351" s="3">
        <v>299</v>
      </c>
      <c r="P351" s="3">
        <v>265.17</v>
      </c>
      <c r="Q351" s="3">
        <f>P351-G351</f>
        <v>25.590000000000003</v>
      </c>
      <c r="R351" s="10">
        <f>Q351/O351</f>
        <v>8.5585284280936466E-2</v>
      </c>
      <c r="S351" s="13">
        <v>45795</v>
      </c>
      <c r="T351" s="7">
        <f ca="1">IF(S351&lt;&gt;"",S351-B351,TODAY()-B351)</f>
        <v>14</v>
      </c>
      <c r="V351" s="3">
        <f>IF((G351+H351)&lt;15,(G351+H351+2.95), ((G351+H351)*1.2))</f>
        <v>373.7448</v>
      </c>
      <c r="W351" s="3">
        <f>IF((G351+I351)&lt;15,(G351+I351+2.95), ((G351+I351)*1.2))</f>
        <v>330.62039999999996</v>
      </c>
    </row>
    <row r="352" spans="1:23" s="16" customFormat="1" hidden="1">
      <c r="A352" s="16">
        <v>402</v>
      </c>
      <c r="B352" s="17">
        <v>45792</v>
      </c>
      <c r="C352"/>
      <c r="D352" s="16" t="s">
        <v>58</v>
      </c>
      <c r="E352" s="16" t="s">
        <v>753</v>
      </c>
      <c r="F352" s="16" t="s">
        <v>575</v>
      </c>
      <c r="G352" s="18">
        <v>102.6</v>
      </c>
      <c r="H352" s="3">
        <f>G352*0.4</f>
        <v>41.04</v>
      </c>
      <c r="I352" s="20">
        <f>G352*0.15</f>
        <v>15.389999999999999</v>
      </c>
      <c r="J352" s="18">
        <f>G352+H352</f>
        <v>143.63999999999999</v>
      </c>
      <c r="K352" s="3">
        <f>J352*1.13</f>
        <v>162.31319999999997</v>
      </c>
      <c r="L352" s="26">
        <v>1</v>
      </c>
      <c r="M352" s="21"/>
      <c r="N352" s="18"/>
      <c r="O352" s="18"/>
      <c r="P352" s="18"/>
      <c r="Q352" s="18">
        <f>P352-G352</f>
        <v>-102.6</v>
      </c>
      <c r="R352" s="22" t="e">
        <f>Q352/O352</f>
        <v>#DIV/0!</v>
      </c>
      <c r="S352" s="23"/>
      <c r="T352" s="7">
        <f ca="1">IF(S352&lt;&gt;"",S352-B352,TODAY()-B352)</f>
        <v>74</v>
      </c>
      <c r="U352" s="23"/>
      <c r="V352" s="18">
        <f>IF((G352+H352)&lt;15,(G352+H352+2.95), ((G352+H352)*1.2))</f>
        <v>172.36799999999997</v>
      </c>
      <c r="W352" s="18">
        <f>IF((G352+I352)&lt;15,(G352+I352+2.95), ((G352+I352)*1.2))</f>
        <v>141.58799999999999</v>
      </c>
    </row>
    <row r="353" spans="1:23" s="16" customFormat="1" hidden="1">
      <c r="A353" s="16">
        <v>403</v>
      </c>
      <c r="B353" s="17">
        <v>45792</v>
      </c>
      <c r="C353"/>
      <c r="D353" s="16" t="s">
        <v>58</v>
      </c>
      <c r="E353" s="16" t="s">
        <v>754</v>
      </c>
      <c r="F353" s="16" t="s">
        <v>755</v>
      </c>
      <c r="G353" s="18">
        <v>129.82</v>
      </c>
      <c r="H353" s="3">
        <f>G353*0.4</f>
        <v>51.927999999999997</v>
      </c>
      <c r="I353" s="20">
        <f>G353*0.15</f>
        <v>19.472999999999999</v>
      </c>
      <c r="J353" s="18">
        <f>G353+H353</f>
        <v>181.74799999999999</v>
      </c>
      <c r="K353" s="3">
        <f>J353*1.13</f>
        <v>205.37523999999996</v>
      </c>
      <c r="L353" s="26">
        <v>1</v>
      </c>
      <c r="M353" s="21"/>
      <c r="N353" s="18"/>
      <c r="O353" s="18"/>
      <c r="P353" s="18"/>
      <c r="Q353" s="18">
        <f>P353-G353</f>
        <v>-129.82</v>
      </c>
      <c r="R353" s="22" t="e">
        <f>Q353/O353</f>
        <v>#DIV/0!</v>
      </c>
      <c r="S353" s="23"/>
      <c r="T353" s="7">
        <f ca="1">IF(S353&lt;&gt;"",S353-B353,TODAY()-B353)</f>
        <v>74</v>
      </c>
      <c r="U353" s="23"/>
      <c r="V353" s="18">
        <f>IF((G353+H353)&lt;15,(G353+H353+2.95), ((G353+H353)*1.2))</f>
        <v>218.09759999999997</v>
      </c>
      <c r="W353" s="18">
        <f>IF((G353+I353)&lt;15,(G353+I353+2.95), ((G353+I353)*1.2))</f>
        <v>179.1516</v>
      </c>
    </row>
    <row r="354" spans="1:23">
      <c r="A354">
        <v>404</v>
      </c>
      <c r="B354" s="12">
        <v>45790</v>
      </c>
      <c r="D354" t="s">
        <v>19</v>
      </c>
      <c r="E354" t="s">
        <v>758</v>
      </c>
      <c r="F354" t="s">
        <v>575</v>
      </c>
      <c r="G354" s="3">
        <v>109.13</v>
      </c>
      <c r="H354" s="2">
        <f>G354*0.3</f>
        <v>32.738999999999997</v>
      </c>
      <c r="I354" s="8">
        <f>G354*0.15</f>
        <v>16.369499999999999</v>
      </c>
      <c r="J354" s="3">
        <f>G354+H354</f>
        <v>141.869</v>
      </c>
      <c r="K354" s="3">
        <f>J354*1.13</f>
        <v>160.31196999999997</v>
      </c>
      <c r="L354" s="25">
        <v>0</v>
      </c>
      <c r="O354" s="3">
        <v>199.2</v>
      </c>
      <c r="P354" s="3">
        <v>176.49</v>
      </c>
      <c r="Q354" s="3">
        <f>P354-G354</f>
        <v>67.360000000000014</v>
      </c>
      <c r="R354" s="10">
        <f>Q354/O354</f>
        <v>0.33815261044176714</v>
      </c>
      <c r="S354" s="13">
        <v>45795</v>
      </c>
      <c r="T354" s="7">
        <f ca="1">IF(S354&lt;&gt;"",S354-B354,TODAY()-B354)</f>
        <v>5</v>
      </c>
      <c r="V354" s="3">
        <f>IF((G354+H354)&lt;15,(G354+H354+2.95), ((G354+H354)*1.2))</f>
        <v>170.24279999999999</v>
      </c>
      <c r="W354" s="3">
        <f>IF((G354+I354)&lt;15,(G354+I354+2.95), ((G354+I354)*1.2))</f>
        <v>150.5994</v>
      </c>
    </row>
    <row r="355" spans="1:23" hidden="1">
      <c r="A355">
        <v>405</v>
      </c>
      <c r="B355" s="12">
        <v>45790</v>
      </c>
      <c r="D355" t="s">
        <v>19</v>
      </c>
      <c r="E355" t="s">
        <v>757</v>
      </c>
      <c r="F355" t="s">
        <v>226</v>
      </c>
      <c r="G355" s="3">
        <v>108.9</v>
      </c>
      <c r="H355" s="3">
        <f>G355*0.4</f>
        <v>43.56</v>
      </c>
      <c r="I355" s="8">
        <f>G355*0.15</f>
        <v>16.335000000000001</v>
      </c>
      <c r="J355" s="3">
        <f>G355+H355</f>
        <v>152.46</v>
      </c>
      <c r="K355" s="3">
        <f>J355*1.13</f>
        <v>172.27979999999999</v>
      </c>
      <c r="L355" s="25">
        <v>1</v>
      </c>
      <c r="Q355" s="3">
        <f>P355-G355</f>
        <v>-108.9</v>
      </c>
      <c r="R355" s="10" t="e">
        <f>Q355/O355</f>
        <v>#DIV/0!</v>
      </c>
      <c r="T355" s="7">
        <f ca="1">IF(S355&lt;&gt;"",S355-B355,TODAY()-B355)</f>
        <v>76</v>
      </c>
      <c r="V355" s="3">
        <f>IF((G355+H355)&lt;15,(G355+H355+2.95), ((G355+H355)*1.2))</f>
        <v>182.952</v>
      </c>
      <c r="W355" s="3">
        <f>IF((G355+I355)&lt;15,(G355+I355+2.95), ((G355+I355)*1.2))</f>
        <v>150.28200000000001</v>
      </c>
    </row>
    <row r="356" spans="1:23">
      <c r="A356">
        <v>406</v>
      </c>
      <c r="B356" s="12">
        <v>45790</v>
      </c>
      <c r="D356" t="s">
        <v>48</v>
      </c>
      <c r="E356" t="s">
        <v>332</v>
      </c>
      <c r="F356" t="s">
        <v>226</v>
      </c>
      <c r="G356" s="3">
        <v>0.01</v>
      </c>
      <c r="H356" s="3">
        <f>G356*0.4</f>
        <v>4.0000000000000001E-3</v>
      </c>
      <c r="I356" s="8">
        <f>G356*0.15</f>
        <v>1.5E-3</v>
      </c>
      <c r="J356" s="3">
        <f>G356+H356</f>
        <v>1.4E-2</v>
      </c>
      <c r="K356" s="3">
        <f>J356*1.13</f>
        <v>1.5819999999999997E-2</v>
      </c>
      <c r="L356" s="25">
        <v>0</v>
      </c>
      <c r="O356" s="3">
        <v>64</v>
      </c>
      <c r="P356" s="3">
        <v>56.35</v>
      </c>
      <c r="Q356" s="3">
        <f>P356-G356</f>
        <v>56.34</v>
      </c>
      <c r="R356" s="10">
        <f>Q356/O356</f>
        <v>0.88031250000000005</v>
      </c>
      <c r="S356" s="13">
        <v>45859</v>
      </c>
      <c r="T356" s="7">
        <f ca="1">IF(S356&lt;&gt;"",S356-B356,TODAY()-B356)</f>
        <v>69</v>
      </c>
      <c r="V356" s="3">
        <f>IF((G356+H356)&lt;15,(G356+H356+2.95), ((G356+H356)*1.2))</f>
        <v>2.964</v>
      </c>
      <c r="W356" s="3">
        <f>IF((G356+I356)&lt;15,(G356+I356+2.95), ((G356+I356)*1.2))</f>
        <v>2.9615</v>
      </c>
    </row>
    <row r="357" spans="1:23">
      <c r="A357">
        <v>407</v>
      </c>
      <c r="B357" s="12">
        <v>45791</v>
      </c>
      <c r="D357" t="s">
        <v>19</v>
      </c>
      <c r="E357" t="s">
        <v>759</v>
      </c>
      <c r="F357" t="s">
        <v>226</v>
      </c>
      <c r="G357" s="3">
        <v>118.93</v>
      </c>
      <c r="H357" s="2">
        <f>G357*0.3</f>
        <v>35.679000000000002</v>
      </c>
      <c r="I357" s="8">
        <f>G357*0.15</f>
        <v>17.839500000000001</v>
      </c>
      <c r="J357" s="3">
        <f>G357+H357</f>
        <v>154.60900000000001</v>
      </c>
      <c r="K357" s="3">
        <f>J357*1.13</f>
        <v>174.70817</v>
      </c>
      <c r="L357" s="25">
        <v>0</v>
      </c>
      <c r="O357" s="3">
        <v>250</v>
      </c>
      <c r="P357" s="3">
        <v>222.1</v>
      </c>
      <c r="Q357" s="3">
        <f>P357-G357</f>
        <v>103.16999999999999</v>
      </c>
      <c r="R357" s="10">
        <f>Q357/O357</f>
        <v>0.41267999999999994</v>
      </c>
      <c r="S357" s="13">
        <v>45798</v>
      </c>
      <c r="T357" s="7">
        <f ca="1">IF(S357&lt;&gt;"",S357-B357,TODAY()-B357)</f>
        <v>7</v>
      </c>
      <c r="V357" s="3">
        <f>IF((G357+H357)&lt;15,(G357+H357+2.95), ((G357+H357)*1.2))</f>
        <v>185.5308</v>
      </c>
      <c r="W357" s="3">
        <f>IF((G357+I357)&lt;15,(G357+I357+2.95), ((G357+I357)*1.2))</f>
        <v>164.12339999999998</v>
      </c>
    </row>
    <row r="358" spans="1:23" hidden="1">
      <c r="A358">
        <v>408</v>
      </c>
      <c r="B358" s="12">
        <v>45793</v>
      </c>
      <c r="D358" t="s">
        <v>132</v>
      </c>
      <c r="E358" t="s">
        <v>760</v>
      </c>
      <c r="F358" t="s">
        <v>46</v>
      </c>
      <c r="G358" s="3">
        <v>99.73</v>
      </c>
      <c r="H358" s="3">
        <f>G358*0.4</f>
        <v>39.892000000000003</v>
      </c>
      <c r="I358" s="8">
        <f>G358*0.15</f>
        <v>14.9595</v>
      </c>
      <c r="J358" s="3">
        <f>G358+H358</f>
        <v>139.62200000000001</v>
      </c>
      <c r="K358" s="3">
        <f>J358*1.13</f>
        <v>157.77286000000001</v>
      </c>
      <c r="L358" s="25">
        <v>1</v>
      </c>
      <c r="Q358" s="3">
        <f>P358-G358</f>
        <v>-99.73</v>
      </c>
      <c r="R358" s="10" t="e">
        <f>Q358/O358</f>
        <v>#DIV/0!</v>
      </c>
      <c r="T358" s="7">
        <f ca="1">IF(S358&lt;&gt;"",S358-B358,TODAY()-B358)</f>
        <v>73</v>
      </c>
      <c r="V358" s="3">
        <f>IF((G358+H358)&lt;15,(G358+H358+2.95), ((G358+H358)*1.2))</f>
        <v>167.54640000000001</v>
      </c>
      <c r="W358" s="3">
        <f>IF((G358+I358)&lt;15,(G358+I358+2.95), ((G358+I358)*1.2))</f>
        <v>137.62739999999999</v>
      </c>
    </row>
    <row r="359" spans="1:23" hidden="1">
      <c r="A359">
        <v>409</v>
      </c>
      <c r="B359" s="12">
        <v>45793</v>
      </c>
      <c r="D359" t="s">
        <v>19</v>
      </c>
      <c r="E359" t="s">
        <v>761</v>
      </c>
      <c r="F359" t="s">
        <v>762</v>
      </c>
      <c r="G359" s="3">
        <v>68.84</v>
      </c>
      <c r="H359" s="3">
        <f>G359*0.4</f>
        <v>27.536000000000001</v>
      </c>
      <c r="I359" s="8">
        <f>G359*0.15</f>
        <v>10.326000000000001</v>
      </c>
      <c r="J359" s="3">
        <f>G359+H359</f>
        <v>96.376000000000005</v>
      </c>
      <c r="K359" s="3">
        <f>J359*1.13</f>
        <v>108.90487999999999</v>
      </c>
      <c r="L359" s="25">
        <v>1</v>
      </c>
      <c r="Q359" s="3">
        <f>P359-G359</f>
        <v>-68.84</v>
      </c>
      <c r="R359" s="10" t="e">
        <f>Q359/O359</f>
        <v>#DIV/0!</v>
      </c>
      <c r="T359" s="7">
        <f ca="1">IF(S359&lt;&gt;"",S359-B359,TODAY()-B359)</f>
        <v>73</v>
      </c>
      <c r="V359" s="3">
        <f>IF((G359+H359)&lt;15,(G359+H359+2.95), ((G359+H359)*1.2))</f>
        <v>115.6512</v>
      </c>
      <c r="W359" s="3">
        <f>IF((G359+I359)&lt;15,(G359+I359+2.95), ((G359+I359)*1.2))</f>
        <v>94.999199999999988</v>
      </c>
    </row>
    <row r="360" spans="1:23">
      <c r="A360">
        <v>410</v>
      </c>
      <c r="B360" s="12">
        <v>45793</v>
      </c>
      <c r="D360" t="s">
        <v>58</v>
      </c>
      <c r="E360" t="s">
        <v>764</v>
      </c>
      <c r="F360" t="s">
        <v>575</v>
      </c>
      <c r="G360" s="3">
        <v>287.73</v>
      </c>
      <c r="H360" s="3">
        <f>G360*0.4</f>
        <v>115.09200000000001</v>
      </c>
      <c r="I360" s="8">
        <f>G360*0.15</f>
        <v>43.159500000000001</v>
      </c>
      <c r="J360" s="3">
        <f>G360+H360</f>
        <v>402.822</v>
      </c>
      <c r="K360" s="3">
        <f>J360*1.13</f>
        <v>455.18885999999998</v>
      </c>
      <c r="L360" s="25">
        <v>0</v>
      </c>
      <c r="O360" s="3">
        <v>516</v>
      </c>
      <c r="P360" s="3">
        <v>314.76</v>
      </c>
      <c r="Q360" s="3">
        <f>P360-G360</f>
        <v>27.029999999999973</v>
      </c>
      <c r="R360" s="10">
        <f>Q360/O360</f>
        <v>5.2383720930232504E-2</v>
      </c>
      <c r="S360" s="13">
        <v>45839</v>
      </c>
      <c r="T360" s="7">
        <f ca="1">IF(S360&lt;&gt;"",S360-B360,TODAY()-B360)</f>
        <v>46</v>
      </c>
      <c r="V360" s="3">
        <f>IF((G360+H360)&lt;15,(G360+H360+2.95), ((G360+H360)*1.2))</f>
        <v>483.38639999999998</v>
      </c>
      <c r="W360" s="3">
        <f>IF((G360+I360)&lt;15,(G360+I360+2.95), ((G360+I360)*1.2))</f>
        <v>397.06739999999996</v>
      </c>
    </row>
    <row r="361" spans="1:23" s="16" customFormat="1" hidden="1">
      <c r="A361" s="16">
        <v>411</v>
      </c>
      <c r="B361" s="17">
        <v>45793</v>
      </c>
      <c r="C361"/>
      <c r="D361" s="16" t="s">
        <v>58</v>
      </c>
      <c r="E361" s="16" t="s">
        <v>765</v>
      </c>
      <c r="F361" s="16" t="s">
        <v>699</v>
      </c>
      <c r="G361" s="18">
        <v>444.54</v>
      </c>
      <c r="H361" s="3">
        <f>G361*0.4</f>
        <v>177.81600000000003</v>
      </c>
      <c r="I361" s="20">
        <f>G361*0.15</f>
        <v>66.680999999999997</v>
      </c>
      <c r="J361" s="18">
        <f>G361+H361</f>
        <v>622.35599999999999</v>
      </c>
      <c r="K361" s="3">
        <f>J361*1.13</f>
        <v>703.26227999999992</v>
      </c>
      <c r="L361" s="26">
        <v>1</v>
      </c>
      <c r="M361" s="21"/>
      <c r="N361" s="18"/>
      <c r="O361" s="18"/>
      <c r="P361" s="18"/>
      <c r="Q361" s="18">
        <f>P361-G361</f>
        <v>-444.54</v>
      </c>
      <c r="R361" s="22" t="e">
        <f>Q361/O361</f>
        <v>#DIV/0!</v>
      </c>
      <c r="S361" s="23"/>
      <c r="T361" s="7">
        <f ca="1">IF(S361&lt;&gt;"",S361-B361,TODAY()-B361)</f>
        <v>73</v>
      </c>
      <c r="U361" s="23"/>
      <c r="V361" s="18">
        <f>IF((G361+H361)&lt;15,(G361+H361+2.95), ((G361+H361)*1.2))</f>
        <v>746.82719999999995</v>
      </c>
      <c r="W361" s="18">
        <f>IF((G361+I361)&lt;15,(G361+I361+2.95), ((G361+I361)*1.2))</f>
        <v>613.46519999999998</v>
      </c>
    </row>
    <row r="362" spans="1:23">
      <c r="A362">
        <v>412</v>
      </c>
      <c r="B362" s="12">
        <v>45794</v>
      </c>
      <c r="D362" t="s">
        <v>19</v>
      </c>
      <c r="E362" t="s">
        <v>763</v>
      </c>
      <c r="F362" t="s">
        <v>224</v>
      </c>
      <c r="G362" s="3">
        <v>151.6</v>
      </c>
      <c r="H362" s="3">
        <f>G362*0.4</f>
        <v>60.64</v>
      </c>
      <c r="I362" s="8">
        <f>G362*0.15</f>
        <v>22.74</v>
      </c>
      <c r="J362" s="3">
        <f>G362+H362</f>
        <v>212.24</v>
      </c>
      <c r="K362" s="3">
        <f>J362*1.13</f>
        <v>239.8312</v>
      </c>
      <c r="L362" s="25">
        <v>0</v>
      </c>
      <c r="O362" s="3">
        <v>233</v>
      </c>
      <c r="P362" s="3">
        <v>178.18</v>
      </c>
      <c r="Q362" s="3">
        <f>P362-G362</f>
        <v>26.580000000000013</v>
      </c>
      <c r="R362" s="10">
        <f>Q362/O362</f>
        <v>0.11407725321888418</v>
      </c>
      <c r="S362" s="13">
        <v>45862</v>
      </c>
      <c r="T362" s="7">
        <f ca="1">IF(S362&lt;&gt;"",S362-B362,TODAY()-B362)</f>
        <v>68</v>
      </c>
      <c r="V362" s="3">
        <f>IF((G362+H362)&lt;15,(G362+H362+2.95), ((G362+H362)*1.2))</f>
        <v>254.68799999999999</v>
      </c>
      <c r="W362" s="3">
        <f>IF((G362+I362)&lt;15,(G362+I362+2.95), ((G362+I362)*1.2))</f>
        <v>209.208</v>
      </c>
    </row>
    <row r="363" spans="1:23" hidden="1">
      <c r="A363">
        <v>413</v>
      </c>
      <c r="B363" s="12">
        <v>45794</v>
      </c>
      <c r="D363" t="s">
        <v>19</v>
      </c>
      <c r="E363" t="s">
        <v>766</v>
      </c>
      <c r="F363" t="s">
        <v>224</v>
      </c>
      <c r="G363" s="3">
        <v>184.27</v>
      </c>
      <c r="H363" s="3">
        <f>G363*0.4</f>
        <v>73.708000000000013</v>
      </c>
      <c r="I363" s="8">
        <f>G363*0.15</f>
        <v>27.640499999999999</v>
      </c>
      <c r="J363" s="3">
        <f>G363+H363</f>
        <v>257.97800000000001</v>
      </c>
      <c r="K363" s="3">
        <f>J363*1.13</f>
        <v>291.51513999999997</v>
      </c>
      <c r="L363" s="25">
        <v>1</v>
      </c>
      <c r="Q363" s="3">
        <f>P363-G363</f>
        <v>-184.27</v>
      </c>
      <c r="R363" s="10" t="e">
        <f>Q363/O363</f>
        <v>#DIV/0!</v>
      </c>
      <c r="T363" s="7">
        <f ca="1">IF(S363&lt;&gt;"",S363-B363,TODAY()-B363)</f>
        <v>72</v>
      </c>
      <c r="V363" s="3">
        <f>IF((G363+H363)&lt;15,(G363+H363+2.95), ((G363+H363)*1.2))</f>
        <v>309.5736</v>
      </c>
      <c r="W363" s="3">
        <f>IF((G363+I363)&lt;15,(G363+I363+2.95), ((G363+I363)*1.2))</f>
        <v>254.29259999999999</v>
      </c>
    </row>
    <row r="364" spans="1:23">
      <c r="A364">
        <v>414</v>
      </c>
      <c r="B364" s="12">
        <v>45037</v>
      </c>
      <c r="D364" t="s">
        <v>294</v>
      </c>
      <c r="E364" t="s">
        <v>768</v>
      </c>
      <c r="F364" t="s">
        <v>224</v>
      </c>
      <c r="G364" s="3">
        <v>0.01</v>
      </c>
      <c r="H364" s="2">
        <f>G364*0.3</f>
        <v>3.0000000000000001E-3</v>
      </c>
      <c r="I364" s="8">
        <f>G364*0.15</f>
        <v>1.5E-3</v>
      </c>
      <c r="J364" s="3">
        <f>G364+H364</f>
        <v>1.3000000000000001E-2</v>
      </c>
      <c r="K364" s="3">
        <f>J364*1.13</f>
        <v>1.469E-2</v>
      </c>
      <c r="L364" s="25">
        <v>0</v>
      </c>
      <c r="O364" s="3">
        <v>699</v>
      </c>
      <c r="P364" s="3">
        <v>620.47</v>
      </c>
      <c r="Q364" s="3">
        <f>P364-G364</f>
        <v>620.46</v>
      </c>
      <c r="R364" s="10">
        <f>Q364/O364</f>
        <v>0.88763948497854084</v>
      </c>
      <c r="S364" s="13">
        <v>45795</v>
      </c>
      <c r="T364" s="7">
        <f ca="1">IF(S364&lt;&gt;"",S364-B364,TODAY()-B364)</f>
        <v>758</v>
      </c>
      <c r="V364" s="3">
        <f>IF((G364+H364)&lt;15,(G364+H364+2.95), ((G364+H364)*1.2))</f>
        <v>2.9630000000000001</v>
      </c>
      <c r="W364" s="3">
        <f>IF((G364+I364)&lt;15,(G364+I364+2.95), ((G364+I364)*1.2))</f>
        <v>2.9615</v>
      </c>
    </row>
    <row r="365" spans="1:23" hidden="1">
      <c r="A365">
        <v>415</v>
      </c>
      <c r="B365" s="12">
        <v>45794</v>
      </c>
      <c r="D365" t="s">
        <v>533</v>
      </c>
      <c r="E365" t="s">
        <v>769</v>
      </c>
      <c r="F365" t="s">
        <v>294</v>
      </c>
      <c r="G365" s="3">
        <v>56.53</v>
      </c>
      <c r="H365" s="2">
        <f>G365*0.3</f>
        <v>16.959</v>
      </c>
      <c r="I365" s="8">
        <f>G365*0.15</f>
        <v>8.4794999999999998</v>
      </c>
      <c r="J365" s="3">
        <f>G365+H365</f>
        <v>73.489000000000004</v>
      </c>
      <c r="K365" s="3">
        <f>J365*1.13</f>
        <v>83.042569999999998</v>
      </c>
      <c r="L365" s="25">
        <v>0</v>
      </c>
      <c r="Q365" s="3">
        <f>P365-G365</f>
        <v>-56.53</v>
      </c>
      <c r="R365" s="10" t="e">
        <f>Q365/O365</f>
        <v>#DIV/0!</v>
      </c>
      <c r="T365" s="7">
        <f ca="1">IF(S365&lt;&gt;"",S365-B365,TODAY()-B365)</f>
        <v>72</v>
      </c>
      <c r="V365" s="3">
        <f>IF((G365+H365)&lt;15,(G365+H365+2.95), ((G365+H365)*1.2))</f>
        <v>88.186800000000005</v>
      </c>
      <c r="W365" s="3">
        <f>IF((G365+I365)&lt;15,(G365+I365+2.95), ((G365+I365)*1.2))</f>
        <v>78.011399999999995</v>
      </c>
    </row>
    <row r="366" spans="1:23" hidden="1">
      <c r="A366">
        <v>416</v>
      </c>
      <c r="B366" s="12">
        <v>45794</v>
      </c>
      <c r="D366" t="s">
        <v>48</v>
      </c>
      <c r="E366" t="s">
        <v>770</v>
      </c>
      <c r="F366" t="s">
        <v>575</v>
      </c>
      <c r="G366" s="3">
        <v>128.05000000000001</v>
      </c>
      <c r="H366" s="3">
        <f>G366*0.4</f>
        <v>51.220000000000006</v>
      </c>
      <c r="I366" s="8">
        <f>G366*0.15</f>
        <v>19.2075</v>
      </c>
      <c r="J366" s="3">
        <f>G366+H366</f>
        <v>179.27</v>
      </c>
      <c r="K366" s="3">
        <f>J366*1.13</f>
        <v>202.57509999999999</v>
      </c>
      <c r="L366" s="25">
        <v>1</v>
      </c>
      <c r="Q366" s="3">
        <f>P366-G366</f>
        <v>-128.05000000000001</v>
      </c>
      <c r="R366" s="10" t="e">
        <f>Q366/O366</f>
        <v>#DIV/0!</v>
      </c>
      <c r="T366" s="7">
        <f ca="1">IF(S366&lt;&gt;"",S366-B366,TODAY()-B366)</f>
        <v>72</v>
      </c>
      <c r="V366" s="3">
        <f>IF((G366+H366)&lt;15,(G366+H366+2.95), ((G366+H366)*1.2))</f>
        <v>215.124</v>
      </c>
      <c r="W366" s="3">
        <f>IF((G366+I366)&lt;15,(G366+I366+2.95), ((G366+I366)*1.2))</f>
        <v>176.70900000000003</v>
      </c>
    </row>
    <row r="367" spans="1:23" hidden="1">
      <c r="A367">
        <v>417</v>
      </c>
      <c r="B367" s="12">
        <v>45794</v>
      </c>
      <c r="D367" t="s">
        <v>48</v>
      </c>
      <c r="E367" t="s">
        <v>771</v>
      </c>
      <c r="F367" t="s">
        <v>575</v>
      </c>
      <c r="G367" s="3">
        <v>172.76</v>
      </c>
      <c r="H367" s="3">
        <f>G367*0.4</f>
        <v>69.103999999999999</v>
      </c>
      <c r="I367" s="8">
        <f>G367*0.15</f>
        <v>25.913999999999998</v>
      </c>
      <c r="J367" s="3">
        <f>G367+H367</f>
        <v>241.86399999999998</v>
      </c>
      <c r="K367" s="3">
        <f>J367*1.13</f>
        <v>273.30631999999997</v>
      </c>
      <c r="L367" s="25">
        <v>1</v>
      </c>
      <c r="Q367" s="3">
        <f>P367-G367</f>
        <v>-172.76</v>
      </c>
      <c r="R367" s="10" t="e">
        <f>Q367/O367</f>
        <v>#DIV/0!</v>
      </c>
      <c r="T367" s="7">
        <f ca="1">IF(S367&lt;&gt;"",S367-B367,TODAY()-B367)</f>
        <v>72</v>
      </c>
      <c r="V367" s="3">
        <f>IF((G367+H367)&lt;15,(G367+H367+2.95), ((G367+H367)*1.2))</f>
        <v>290.23679999999996</v>
      </c>
      <c r="W367" s="3">
        <f>IF((G367+I367)&lt;15,(G367+I367+2.95), ((G367+I367)*1.2))</f>
        <v>238.40879999999996</v>
      </c>
    </row>
    <row r="368" spans="1:23" hidden="1">
      <c r="A368">
        <v>418</v>
      </c>
      <c r="B368" s="12">
        <v>45795</v>
      </c>
      <c r="D368" t="s">
        <v>132</v>
      </c>
      <c r="E368" t="s">
        <v>772</v>
      </c>
      <c r="F368" t="s">
        <v>226</v>
      </c>
      <c r="G368" s="3">
        <v>222.79</v>
      </c>
      <c r="H368" s="3">
        <f>G368*0.4</f>
        <v>89.116</v>
      </c>
      <c r="I368" s="8">
        <f>G368*0.15</f>
        <v>33.418499999999995</v>
      </c>
      <c r="J368" s="3">
        <f>G368+H368</f>
        <v>311.90600000000001</v>
      </c>
      <c r="K368" s="3">
        <f>J368*1.13</f>
        <v>352.45377999999999</v>
      </c>
      <c r="L368" s="25">
        <v>1</v>
      </c>
      <c r="Q368" s="3">
        <f>P368-G368</f>
        <v>-222.79</v>
      </c>
      <c r="R368" s="10" t="e">
        <f>Q368/O368</f>
        <v>#DIV/0!</v>
      </c>
      <c r="T368" s="7">
        <f ca="1">IF(S368&lt;&gt;"",S368-B368,TODAY()-B368)</f>
        <v>71</v>
      </c>
      <c r="V368" s="3">
        <f>IF((G368+H368)&lt;15,(G368+H368+2.95), ((G368+H368)*1.2))</f>
        <v>374.28719999999998</v>
      </c>
      <c r="W368" s="3">
        <f>IF((G368+I368)&lt;15,(G368+I368+2.95), ((G368+I368)*1.2))</f>
        <v>307.45019999999994</v>
      </c>
    </row>
    <row r="369" spans="1:23">
      <c r="A369">
        <v>419</v>
      </c>
      <c r="B369" s="12">
        <v>45795</v>
      </c>
      <c r="D369" t="s">
        <v>132</v>
      </c>
      <c r="E369" t="s">
        <v>808</v>
      </c>
      <c r="F369" t="s">
        <v>226</v>
      </c>
      <c r="G369" s="3">
        <f>199.98/10</f>
        <v>19.997999999999998</v>
      </c>
      <c r="H369" s="2">
        <f>G369*0.3</f>
        <v>5.9993999999999987</v>
      </c>
      <c r="I369" s="8">
        <f>G369*0.15</f>
        <v>2.9996999999999994</v>
      </c>
      <c r="J369" s="3">
        <f>G369+H369</f>
        <v>25.997399999999995</v>
      </c>
      <c r="K369" s="3">
        <f>J369*1.13</f>
        <v>29.377061999999992</v>
      </c>
      <c r="L369" s="25">
        <v>0</v>
      </c>
      <c r="O369" s="3">
        <v>43</v>
      </c>
      <c r="P369" s="3">
        <v>37.909999999999997</v>
      </c>
      <c r="Q369" s="3">
        <f>P369-G369</f>
        <v>17.911999999999999</v>
      </c>
      <c r="R369" s="10">
        <f>Q369/O369</f>
        <v>0.41655813953488369</v>
      </c>
      <c r="S369" s="13">
        <v>45802</v>
      </c>
      <c r="T369" s="7">
        <f ca="1">IF(S369&lt;&gt;"",S369-B369,TODAY()-B369)</f>
        <v>7</v>
      </c>
      <c r="V369" s="3">
        <f>IF((G369+H369)&lt;15,(G369+H369+2.95), ((G369+H369)*1.2))</f>
        <v>31.196879999999993</v>
      </c>
      <c r="W369" s="3">
        <f>IF((G369+I369)&lt;15,(G369+I369+2.95), ((G369+I369)*1.2))</f>
        <v>27.597239999999996</v>
      </c>
    </row>
    <row r="370" spans="1:23">
      <c r="A370">
        <v>420</v>
      </c>
      <c r="B370" s="12">
        <v>45789</v>
      </c>
      <c r="D370" t="s">
        <v>774</v>
      </c>
      <c r="E370" t="s">
        <v>773</v>
      </c>
      <c r="F370" t="s">
        <v>226</v>
      </c>
      <c r="G370" s="3">
        <v>53.58</v>
      </c>
      <c r="H370" s="2">
        <f>G370*0.3</f>
        <v>16.073999999999998</v>
      </c>
      <c r="I370" s="8">
        <f>G370*0.15</f>
        <v>8.036999999999999</v>
      </c>
      <c r="J370" s="3">
        <f>G370+H370</f>
        <v>69.653999999999996</v>
      </c>
      <c r="K370" s="3">
        <f>J370*1.13</f>
        <v>78.709019999999995</v>
      </c>
      <c r="L370" s="25">
        <v>0</v>
      </c>
      <c r="O370" s="3">
        <v>86.25</v>
      </c>
      <c r="P370" s="3">
        <v>76.02</v>
      </c>
      <c r="Q370" s="3">
        <f>P370-G370</f>
        <v>22.439999999999998</v>
      </c>
      <c r="R370" s="10">
        <f>Q370/O370</f>
        <v>0.26017391304347826</v>
      </c>
      <c r="S370" s="13">
        <v>45813</v>
      </c>
      <c r="T370" s="7">
        <f ca="1">IF(S370&lt;&gt;"",S370-B370,TODAY()-B370)</f>
        <v>24</v>
      </c>
      <c r="V370" s="3">
        <f>IF((G370+H370)&lt;15,(G370+H370+2.95), ((G370+H370)*1.2))</f>
        <v>83.584799999999987</v>
      </c>
      <c r="W370" s="3">
        <f>IF((G370+I370)&lt;15,(G370+I370+2.95), ((G370+I370)*1.2))</f>
        <v>73.940399999999997</v>
      </c>
    </row>
    <row r="371" spans="1:23" hidden="1">
      <c r="A371">
        <v>421</v>
      </c>
      <c r="B371" s="12">
        <v>45795</v>
      </c>
      <c r="D371" t="s">
        <v>775</v>
      </c>
      <c r="E371" t="s">
        <v>776</v>
      </c>
      <c r="F371" t="s">
        <v>226</v>
      </c>
      <c r="G371" s="3">
        <f>252.6/2</f>
        <v>126.3</v>
      </c>
      <c r="H371" s="3">
        <f>G371*0.4</f>
        <v>50.52</v>
      </c>
      <c r="I371" s="8">
        <f>G371*0.15</f>
        <v>18.945</v>
      </c>
      <c r="J371" s="3">
        <f>G371+H371</f>
        <v>176.82</v>
      </c>
      <c r="K371" s="3">
        <f>J371*1.13</f>
        <v>199.80659999999997</v>
      </c>
      <c r="L371" s="25">
        <v>1</v>
      </c>
      <c r="Q371" s="3">
        <f>P371-G371</f>
        <v>-126.3</v>
      </c>
      <c r="R371" s="10" t="e">
        <f>Q371/O371</f>
        <v>#DIV/0!</v>
      </c>
      <c r="T371" s="7">
        <f ca="1">IF(S371&lt;&gt;"",S371-B371,TODAY()-B371)</f>
        <v>71</v>
      </c>
      <c r="V371" s="3">
        <f>IF((G371+H371)&lt;15,(G371+H371+2.95), ((G371+H371)*1.2))</f>
        <v>212.184</v>
      </c>
      <c r="W371" s="3">
        <f>IF((G371+I371)&lt;15,(G371+I371+2.95), ((G371+I371)*1.2))</f>
        <v>174.29400000000001</v>
      </c>
    </row>
    <row r="372" spans="1:23" hidden="1">
      <c r="A372">
        <v>422</v>
      </c>
      <c r="B372" s="12">
        <v>45795</v>
      </c>
      <c r="D372" t="s">
        <v>775</v>
      </c>
      <c r="E372" t="s">
        <v>777</v>
      </c>
      <c r="F372" t="s">
        <v>226</v>
      </c>
      <c r="G372" s="3">
        <f>252.6/2</f>
        <v>126.3</v>
      </c>
      <c r="H372" s="3">
        <f>G372*0.4</f>
        <v>50.52</v>
      </c>
      <c r="I372" s="8">
        <f>G372*0.15</f>
        <v>18.945</v>
      </c>
      <c r="J372" s="3">
        <f>G372+H372</f>
        <v>176.82</v>
      </c>
      <c r="K372" s="3">
        <f>J372*1.13</f>
        <v>199.80659999999997</v>
      </c>
      <c r="L372" s="25">
        <v>1</v>
      </c>
      <c r="Q372" s="3">
        <f>P372-G372</f>
        <v>-126.3</v>
      </c>
      <c r="R372" s="10" t="e">
        <f>Q372/O372</f>
        <v>#DIV/0!</v>
      </c>
      <c r="T372" s="7">
        <f ca="1">IF(S372&lt;&gt;"",S372-B372,TODAY()-B372)</f>
        <v>71</v>
      </c>
      <c r="V372" s="3">
        <f>IF((G372+H372)&lt;15,(G372+H372+2.95), ((G372+H372)*1.2))</f>
        <v>212.184</v>
      </c>
      <c r="W372" s="3">
        <f>IF((G372+I372)&lt;15,(G372+I372+2.95), ((G372+I372)*1.2))</f>
        <v>174.29400000000001</v>
      </c>
    </row>
    <row r="373" spans="1:23" hidden="1">
      <c r="A373">
        <v>423</v>
      </c>
      <c r="B373" s="12">
        <v>45795</v>
      </c>
      <c r="D373" t="s">
        <v>48</v>
      </c>
      <c r="E373" t="s">
        <v>778</v>
      </c>
      <c r="F373" t="s">
        <v>294</v>
      </c>
      <c r="G373" s="3">
        <v>59.44</v>
      </c>
      <c r="H373" s="2">
        <f>G373*0.3</f>
        <v>17.831999999999997</v>
      </c>
      <c r="I373" s="8">
        <f>G373*0.15</f>
        <v>8.9159999999999986</v>
      </c>
      <c r="J373" s="3">
        <f>G373+H373</f>
        <v>77.271999999999991</v>
      </c>
      <c r="K373" s="3">
        <f>J373*1.13</f>
        <v>87.317359999999979</v>
      </c>
      <c r="L373" s="25">
        <v>0</v>
      </c>
      <c r="Q373" s="3">
        <f>P373-G373</f>
        <v>-59.44</v>
      </c>
      <c r="R373" s="10" t="e">
        <f>Q373/O373</f>
        <v>#DIV/0!</v>
      </c>
      <c r="T373" s="7">
        <f ca="1">IF(S373&lt;&gt;"",S373-B373,TODAY()-B373)</f>
        <v>71</v>
      </c>
      <c r="V373" s="3">
        <f>IF((G373+H373)&lt;15,(G373+H373+2.95), ((G373+H373)*1.2))</f>
        <v>92.726399999999984</v>
      </c>
      <c r="W373" s="3">
        <f>IF((G373+I373)&lt;15,(G373+I373+2.95), ((G373+I373)*1.2))</f>
        <v>82.027199999999993</v>
      </c>
    </row>
    <row r="374" spans="1:23" hidden="1">
      <c r="A374">
        <v>424</v>
      </c>
      <c r="B374" s="12">
        <v>45795</v>
      </c>
      <c r="D374" t="s">
        <v>101</v>
      </c>
      <c r="E374" t="s">
        <v>779</v>
      </c>
      <c r="F374" t="s">
        <v>294</v>
      </c>
      <c r="G374" s="3">
        <v>86.84</v>
      </c>
      <c r="H374" s="2">
        <f>G374*0.3</f>
        <v>26.052</v>
      </c>
      <c r="I374" s="8">
        <f>G374*0.15</f>
        <v>13.026</v>
      </c>
      <c r="J374" s="3">
        <f>G374+H374</f>
        <v>112.892</v>
      </c>
      <c r="K374" s="3">
        <f>J374*1.13</f>
        <v>127.56795999999999</v>
      </c>
      <c r="L374" s="25">
        <v>0</v>
      </c>
      <c r="Q374" s="3">
        <f>P374-G374</f>
        <v>-86.84</v>
      </c>
      <c r="R374" s="10" t="e">
        <f>Q374/O374</f>
        <v>#DIV/0!</v>
      </c>
      <c r="T374" s="7">
        <f ca="1">IF(S374&lt;&gt;"",S374-B374,TODAY()-B374)</f>
        <v>71</v>
      </c>
      <c r="V374" s="3">
        <f>IF((G374+H374)&lt;15,(G374+H374+2.95), ((G374+H374)*1.2))</f>
        <v>135.47039999999998</v>
      </c>
      <c r="W374" s="3">
        <f>IF((G374+I374)&lt;15,(G374+I374+2.95), ((G374+I374)*1.2))</f>
        <v>119.83919999999999</v>
      </c>
    </row>
    <row r="375" spans="1:23">
      <c r="A375">
        <v>425</v>
      </c>
      <c r="B375" s="12">
        <v>45796</v>
      </c>
      <c r="D375" t="s">
        <v>582</v>
      </c>
      <c r="E375" t="s">
        <v>780</v>
      </c>
      <c r="F375" t="s">
        <v>226</v>
      </c>
      <c r="G375" s="3">
        <v>347.62</v>
      </c>
      <c r="H375" s="2">
        <f>G375*0.3</f>
        <v>104.286</v>
      </c>
      <c r="I375" s="8">
        <f>G375*0.15</f>
        <v>52.143000000000001</v>
      </c>
      <c r="J375" s="3">
        <f>G375+H375</f>
        <v>451.90600000000001</v>
      </c>
      <c r="K375" s="3">
        <f>J375*1.13</f>
        <v>510.65377999999998</v>
      </c>
      <c r="L375" s="25">
        <v>0</v>
      </c>
      <c r="O375" s="3">
        <v>561.75</v>
      </c>
      <c r="P375" s="3">
        <v>498.57</v>
      </c>
      <c r="Q375" s="3">
        <f>P375-G375</f>
        <v>150.94999999999999</v>
      </c>
      <c r="R375" s="10">
        <f>Q375/O375</f>
        <v>0.26871384067645748</v>
      </c>
      <c r="S375" s="13">
        <v>45803</v>
      </c>
      <c r="T375" s="7">
        <f ca="1">IF(S375&lt;&gt;"",S375-B375,TODAY()-B375)</f>
        <v>7</v>
      </c>
      <c r="V375" s="3">
        <f>IF((G375+H375)&lt;15,(G375+H375+2.95), ((G375+H375)*1.2))</f>
        <v>542.28719999999998</v>
      </c>
      <c r="W375" s="3">
        <f>IF((G375+I375)&lt;15,(G375+I375+2.95), ((G375+I375)*1.2))</f>
        <v>479.71559999999999</v>
      </c>
    </row>
    <row r="376" spans="1:23" hidden="1">
      <c r="A376">
        <v>426</v>
      </c>
      <c r="B376" s="12">
        <v>45797</v>
      </c>
      <c r="D376" t="s">
        <v>48</v>
      </c>
      <c r="E376" t="s">
        <v>781</v>
      </c>
      <c r="F376" t="s">
        <v>226</v>
      </c>
      <c r="G376" s="3">
        <v>287.73</v>
      </c>
      <c r="H376" s="3">
        <f>G376*0.4</f>
        <v>115.09200000000001</v>
      </c>
      <c r="I376" s="8">
        <f>G376*0.15</f>
        <v>43.159500000000001</v>
      </c>
      <c r="J376" s="3">
        <f>G376+H376</f>
        <v>402.822</v>
      </c>
      <c r="K376" s="3">
        <f>J376*1.13</f>
        <v>455.18885999999998</v>
      </c>
      <c r="L376" s="25">
        <v>1</v>
      </c>
      <c r="Q376" s="3">
        <f>P376-G376</f>
        <v>-287.73</v>
      </c>
      <c r="R376" s="10" t="e">
        <f>Q376/O376</f>
        <v>#DIV/0!</v>
      </c>
      <c r="T376" s="7">
        <f ca="1">IF(S376&lt;&gt;"",S376-B376,TODAY()-B376)</f>
        <v>69</v>
      </c>
      <c r="V376" s="3">
        <f>IF((G376+H376)&lt;15,(G376+H376+2.95), ((G376+H376)*1.2))</f>
        <v>483.38639999999998</v>
      </c>
      <c r="W376" s="3">
        <f>IF((G376+I376)&lt;15,(G376+I376+2.95), ((G376+I376)*1.2))</f>
        <v>397.06739999999996</v>
      </c>
    </row>
    <row r="377" spans="1:23" hidden="1">
      <c r="A377">
        <v>427</v>
      </c>
      <c r="B377" s="12">
        <v>45797</v>
      </c>
      <c r="D377" t="s">
        <v>48</v>
      </c>
      <c r="E377" t="s">
        <v>865</v>
      </c>
      <c r="F377" t="s">
        <v>309</v>
      </c>
      <c r="G377" s="3">
        <v>143.47999999999999</v>
      </c>
      <c r="H377" s="3">
        <f>G377*0.4</f>
        <v>57.391999999999996</v>
      </c>
      <c r="I377" s="8">
        <f>G377*0.15</f>
        <v>21.521999999999998</v>
      </c>
      <c r="J377" s="3">
        <f>G377+H377</f>
        <v>200.87199999999999</v>
      </c>
      <c r="K377" s="3">
        <f>J377*1.13</f>
        <v>226.98535999999996</v>
      </c>
      <c r="L377" s="25">
        <v>1</v>
      </c>
      <c r="Q377" s="3">
        <f>P377-G377</f>
        <v>-143.47999999999999</v>
      </c>
      <c r="R377" s="10" t="e">
        <f>Q377/O377</f>
        <v>#DIV/0!</v>
      </c>
      <c r="T377" s="7">
        <f ca="1">IF(S377&lt;&gt;"",S377-B377,TODAY()-B377)</f>
        <v>69</v>
      </c>
      <c r="V377" s="3">
        <f>IF((G377+H377)&lt;15,(G377+H377+2.95), ((G377+H377)*1.2))</f>
        <v>241.04639999999998</v>
      </c>
      <c r="W377" s="3">
        <f>IF((G377+I377)&lt;15,(G377+I377+2.95), ((G377+I377)*1.2))</f>
        <v>198.00239999999997</v>
      </c>
    </row>
    <row r="378" spans="1:23">
      <c r="A378">
        <v>428</v>
      </c>
      <c r="B378" s="12">
        <v>45798</v>
      </c>
      <c r="D378" t="s">
        <v>19</v>
      </c>
      <c r="E378" t="s">
        <v>782</v>
      </c>
      <c r="F378" t="s">
        <v>309</v>
      </c>
      <c r="G378" s="3">
        <v>94.97</v>
      </c>
      <c r="H378" s="2">
        <f>G378*0.3</f>
        <v>28.491</v>
      </c>
      <c r="I378" s="8">
        <f>G378*0.15</f>
        <v>14.2455</v>
      </c>
      <c r="J378" s="3">
        <f>G378+H378</f>
        <v>123.461</v>
      </c>
      <c r="K378" s="3">
        <f>J378*1.13</f>
        <v>139.51092999999997</v>
      </c>
      <c r="L378" s="25">
        <v>0</v>
      </c>
      <c r="O378" s="3">
        <v>239.2</v>
      </c>
      <c r="P378" s="3">
        <v>211.96</v>
      </c>
      <c r="Q378" s="3">
        <f>P378-G378</f>
        <v>116.99000000000001</v>
      </c>
      <c r="R378" s="10">
        <f>Q378/O378</f>
        <v>0.48908862876254189</v>
      </c>
      <c r="S378" s="13">
        <v>45802</v>
      </c>
      <c r="T378" s="7">
        <f ca="1">IF(S378&lt;&gt;"",S378-B378,TODAY()-B378)</f>
        <v>4</v>
      </c>
      <c r="V378" s="3">
        <f>IF((G378+H378)&lt;15,(G378+H378+2.95), ((G378+H378)*1.2))</f>
        <v>148.1532</v>
      </c>
      <c r="W378" s="3">
        <f>IF((G378+I378)&lt;15,(G378+I378+2.95), ((G378+I378)*1.2))</f>
        <v>131.05859999999998</v>
      </c>
    </row>
    <row r="379" spans="1:23">
      <c r="A379">
        <v>429</v>
      </c>
      <c r="B379" s="12">
        <v>45798</v>
      </c>
      <c r="D379" t="s">
        <v>19</v>
      </c>
      <c r="E379" t="s">
        <v>783</v>
      </c>
      <c r="F379" t="s">
        <v>224</v>
      </c>
      <c r="G379" s="3">
        <v>152.46</v>
      </c>
      <c r="H379" s="2">
        <f>G379*0.3</f>
        <v>45.738</v>
      </c>
      <c r="I379" s="8">
        <f>G379*0.15</f>
        <v>22.869</v>
      </c>
      <c r="J379" s="3">
        <f>G379+H379</f>
        <v>198.19800000000001</v>
      </c>
      <c r="K379" s="3">
        <f>J379*1.13</f>
        <v>223.96374</v>
      </c>
      <c r="L379" s="25">
        <v>0</v>
      </c>
      <c r="O379" s="3">
        <v>296.64999999999998</v>
      </c>
      <c r="P379" s="3">
        <v>263.44</v>
      </c>
      <c r="Q379" s="3">
        <f>P379-G379</f>
        <v>110.97999999999999</v>
      </c>
      <c r="R379" s="10">
        <f>Q379/O379</f>
        <v>0.37411090510702849</v>
      </c>
      <c r="S379" s="13">
        <v>45807</v>
      </c>
      <c r="T379" s="7">
        <f ca="1">IF(S379&lt;&gt;"",S379-B379,TODAY()-B379)</f>
        <v>9</v>
      </c>
      <c r="V379" s="3">
        <f>IF((G379+H379)&lt;15,(G379+H379+2.95), ((G379+H379)*1.2))</f>
        <v>237.83760000000001</v>
      </c>
      <c r="W379" s="3">
        <f>IF((G379+I379)&lt;15,(G379+I379+2.95), ((G379+I379)*1.2))</f>
        <v>210.3948</v>
      </c>
    </row>
    <row r="380" spans="1:23">
      <c r="A380">
        <v>430</v>
      </c>
      <c r="B380" s="12">
        <v>45798</v>
      </c>
      <c r="D380" t="s">
        <v>19</v>
      </c>
      <c r="E380" t="s">
        <v>784</v>
      </c>
      <c r="F380" t="s">
        <v>309</v>
      </c>
      <c r="G380" s="3">
        <v>173.38</v>
      </c>
      <c r="H380" s="2">
        <f>G380*0.3</f>
        <v>52.013999999999996</v>
      </c>
      <c r="I380" s="8">
        <f>G380*0.15</f>
        <v>26.006999999999998</v>
      </c>
      <c r="J380" s="3">
        <f>G380+H380</f>
        <v>225.39400000000001</v>
      </c>
      <c r="K380" s="3">
        <f>J380*1.13</f>
        <v>254.69521999999998</v>
      </c>
      <c r="L380" s="25">
        <v>0</v>
      </c>
      <c r="O380" s="3">
        <v>375</v>
      </c>
      <c r="P380" s="3">
        <v>293.25</v>
      </c>
      <c r="Q380" s="3">
        <f>P380-G380</f>
        <v>119.87</v>
      </c>
      <c r="R380" s="10">
        <f>Q380/O380</f>
        <v>0.31965333333333334</v>
      </c>
      <c r="S380" s="13">
        <v>45820</v>
      </c>
      <c r="T380" s="7">
        <f ca="1">IF(S380&lt;&gt;"",S380-B380,TODAY()-B380)</f>
        <v>22</v>
      </c>
      <c r="V380" s="3">
        <f>IF((G380+H380)&lt;15,(G380+H380+2.95), ((G380+H380)*1.2))</f>
        <v>270.47280000000001</v>
      </c>
      <c r="W380" s="3">
        <f>IF((G380+I380)&lt;15,(G380+I380+2.95), ((G380+I380)*1.2))</f>
        <v>239.26439999999999</v>
      </c>
    </row>
    <row r="381" spans="1:23" hidden="1">
      <c r="A381" s="16">
        <v>431</v>
      </c>
      <c r="B381" s="17">
        <v>45798</v>
      </c>
      <c r="D381" s="16" t="s">
        <v>19</v>
      </c>
      <c r="E381" s="16" t="s">
        <v>785</v>
      </c>
      <c r="F381" s="16" t="s">
        <v>309</v>
      </c>
      <c r="G381" s="18">
        <v>196.02</v>
      </c>
      <c r="H381" s="19">
        <f>G381*0.3</f>
        <v>58.805999999999997</v>
      </c>
      <c r="I381" s="20">
        <f>G381*0.15</f>
        <v>29.402999999999999</v>
      </c>
      <c r="J381" s="18">
        <f>G381+H381</f>
        <v>254.82600000000002</v>
      </c>
      <c r="K381" s="3">
        <f>J381*1.13</f>
        <v>287.95337999999998</v>
      </c>
      <c r="L381" s="26">
        <v>0</v>
      </c>
      <c r="M381" s="21"/>
      <c r="N381" s="18"/>
      <c r="O381" s="18"/>
      <c r="P381" s="18"/>
      <c r="Q381" s="18"/>
      <c r="R381" s="22" t="e">
        <f>Q381/O381</f>
        <v>#DIV/0!</v>
      </c>
      <c r="S381" s="23"/>
      <c r="T381" s="7">
        <f ca="1">IF(S381&lt;&gt;"",S381-B381,TODAY()-B381)</f>
        <v>68</v>
      </c>
      <c r="V381" s="3">
        <f>IF((G381+H381)&lt;15,(G381+H381+2.95), ((G381+H381)*1.2))</f>
        <v>305.7912</v>
      </c>
      <c r="W381" s="3">
        <f>IF((G381+I381)&lt;15,(G381+I381+2.95), ((G381+I381)*1.2))</f>
        <v>270.50759999999997</v>
      </c>
    </row>
    <row r="382" spans="1:23">
      <c r="A382">
        <v>432</v>
      </c>
      <c r="B382" s="12">
        <v>45798</v>
      </c>
      <c r="D382" t="s">
        <v>48</v>
      </c>
      <c r="E382" t="s">
        <v>786</v>
      </c>
      <c r="F382" t="s">
        <v>309</v>
      </c>
      <c r="G382" s="3">
        <v>51.82</v>
      </c>
      <c r="H382" s="2">
        <f>G382*0.3</f>
        <v>15.545999999999999</v>
      </c>
      <c r="I382" s="8">
        <f>G382*0.15</f>
        <v>7.7729999999999997</v>
      </c>
      <c r="J382" s="3">
        <f>G382+H382</f>
        <v>67.366</v>
      </c>
      <c r="K382" s="3">
        <f>J382*1.13</f>
        <v>76.12357999999999</v>
      </c>
      <c r="L382" s="25">
        <v>0</v>
      </c>
      <c r="O382" s="3">
        <v>120</v>
      </c>
      <c r="P382" s="3">
        <v>96.13</v>
      </c>
      <c r="Q382" s="3">
        <f>P382-G382</f>
        <v>44.309999999999995</v>
      </c>
      <c r="R382" s="10">
        <f>Q382/O382</f>
        <v>0.36924999999999997</v>
      </c>
      <c r="S382" s="13">
        <v>45810</v>
      </c>
      <c r="T382" s="7">
        <f ca="1">IF(S382&lt;&gt;"",S382-B382,TODAY()-B382)</f>
        <v>12</v>
      </c>
      <c r="V382" s="3">
        <f>IF((G382+H382)&lt;15,(G382+H382+2.95), ((G382+H382)*1.2))</f>
        <v>80.839199999999991</v>
      </c>
      <c r="W382" s="3">
        <f>IF((G382+I382)&lt;15,(G382+I382+2.95), ((G382+I382)*1.2))</f>
        <v>71.511600000000001</v>
      </c>
    </row>
    <row r="383" spans="1:23">
      <c r="A383">
        <v>433</v>
      </c>
      <c r="B383" s="12">
        <v>45799</v>
      </c>
      <c r="D383" t="s">
        <v>787</v>
      </c>
      <c r="E383" t="s">
        <v>788</v>
      </c>
      <c r="F383" t="s">
        <v>309</v>
      </c>
      <c r="G383" s="3">
        <v>224.54</v>
      </c>
      <c r="H383" s="2">
        <f>G383*0.3</f>
        <v>67.361999999999995</v>
      </c>
      <c r="I383" s="8">
        <f>G383*0.15</f>
        <v>33.680999999999997</v>
      </c>
      <c r="J383" s="3">
        <f>G383+H383</f>
        <v>291.90199999999999</v>
      </c>
      <c r="K383" s="3">
        <f>J383*1.13</f>
        <v>329.84925999999996</v>
      </c>
      <c r="L383" s="25">
        <v>0</v>
      </c>
      <c r="O383" s="3">
        <v>325</v>
      </c>
      <c r="P383" s="3">
        <v>288.20999999999998</v>
      </c>
      <c r="Q383" s="3">
        <f>P383-G383</f>
        <v>63.669999999999987</v>
      </c>
      <c r="R383" s="10">
        <f>Q383/O383</f>
        <v>0.19590769230769228</v>
      </c>
      <c r="S383" s="13">
        <v>45816</v>
      </c>
      <c r="T383" s="7">
        <f ca="1">IF(S383&lt;&gt;"",S383-B383,TODAY()-B383)</f>
        <v>17</v>
      </c>
      <c r="V383" s="3">
        <f>IF((G383+H383)&lt;15,(G383+H383+2.95), ((G383+H383)*1.2))</f>
        <v>350.2824</v>
      </c>
      <c r="W383" s="3">
        <f>IF((G383+I383)&lt;15,(G383+I383+2.95), ((G383+I383)*1.2))</f>
        <v>309.86520000000002</v>
      </c>
    </row>
    <row r="384" spans="1:23" hidden="1">
      <c r="A384">
        <v>434</v>
      </c>
      <c r="B384" s="12">
        <v>45799</v>
      </c>
      <c r="D384" t="s">
        <v>787</v>
      </c>
      <c r="E384" t="s">
        <v>789</v>
      </c>
      <c r="F384" t="s">
        <v>309</v>
      </c>
      <c r="G384" s="3">
        <v>276.68</v>
      </c>
      <c r="H384" s="3">
        <f>G384*0.4</f>
        <v>110.67200000000001</v>
      </c>
      <c r="I384" s="8">
        <f>G384*0.15</f>
        <v>41.502000000000002</v>
      </c>
      <c r="J384" s="3">
        <f>G384+H384</f>
        <v>387.35200000000003</v>
      </c>
      <c r="K384" s="3">
        <f>J384*1.13</f>
        <v>437.70776000000001</v>
      </c>
      <c r="L384" s="25">
        <v>1</v>
      </c>
      <c r="Q384" s="3">
        <f>P384-G384</f>
        <v>-276.68</v>
      </c>
      <c r="R384" s="10" t="e">
        <f>Q384/O384</f>
        <v>#DIV/0!</v>
      </c>
      <c r="T384" s="7">
        <f ca="1">IF(S384&lt;&gt;"",S384-B384,TODAY()-B384)</f>
        <v>67</v>
      </c>
      <c r="V384" s="3">
        <f>IF((G384+H384)&lt;15,(G384+H384+2.95), ((G384+H384)*1.2))</f>
        <v>464.82240000000002</v>
      </c>
      <c r="W384" s="3">
        <f>IF((G384+I384)&lt;15,(G384+I384+2.95), ((G384+I384)*1.2))</f>
        <v>381.8184</v>
      </c>
    </row>
    <row r="385" spans="1:23">
      <c r="A385">
        <v>435</v>
      </c>
      <c r="B385" s="12">
        <v>45799</v>
      </c>
      <c r="D385" t="s">
        <v>787</v>
      </c>
      <c r="E385" t="s">
        <v>790</v>
      </c>
      <c r="F385" t="s">
        <v>254</v>
      </c>
      <c r="G385" s="3">
        <v>73.64</v>
      </c>
      <c r="H385" s="3">
        <f>G385*0.4</f>
        <v>29.456000000000003</v>
      </c>
      <c r="I385" s="8">
        <f>G385*0.15</f>
        <v>11.045999999999999</v>
      </c>
      <c r="J385" s="3">
        <f>G385+H385</f>
        <v>103.096</v>
      </c>
      <c r="K385" s="3">
        <f>J385*1.13</f>
        <v>116.49847999999999</v>
      </c>
      <c r="L385" s="25">
        <v>0</v>
      </c>
      <c r="O385" s="3">
        <v>89</v>
      </c>
      <c r="P385" s="3">
        <v>78.53</v>
      </c>
      <c r="Q385" s="3">
        <f>P385-G385</f>
        <v>4.8900000000000006</v>
      </c>
      <c r="R385" s="10">
        <f>Q385/O385</f>
        <v>5.4943820224719109E-2</v>
      </c>
      <c r="S385" s="13">
        <v>45855</v>
      </c>
      <c r="T385" s="7">
        <f ca="1">IF(S385&lt;&gt;"",S385-B385,TODAY()-B385)</f>
        <v>56</v>
      </c>
      <c r="V385" s="3">
        <f>IF((G385+H385)&lt;15,(G385+H385+2.95), ((G385+H385)*1.2))</f>
        <v>123.7152</v>
      </c>
      <c r="W385" s="3">
        <f>IF((G385+I385)&lt;15,(G385+I385+2.95), ((G385+I385)*1.2))</f>
        <v>101.62320000000001</v>
      </c>
    </row>
    <row r="386" spans="1:23" hidden="1">
      <c r="A386">
        <v>436</v>
      </c>
      <c r="B386" s="12">
        <v>45799</v>
      </c>
      <c r="D386" t="s">
        <v>787</v>
      </c>
      <c r="E386" t="s">
        <v>791</v>
      </c>
      <c r="F386" t="s">
        <v>309</v>
      </c>
      <c r="G386" s="3">
        <v>347.02</v>
      </c>
      <c r="H386" s="3">
        <f>G386*0.4</f>
        <v>138.80799999999999</v>
      </c>
      <c r="I386" s="8">
        <f>G386*0.15</f>
        <v>52.052999999999997</v>
      </c>
      <c r="J386" s="3">
        <f>G386+H386</f>
        <v>485.82799999999997</v>
      </c>
      <c r="K386" s="3">
        <f>J386*1.13</f>
        <v>548.98563999999988</v>
      </c>
      <c r="L386" s="25">
        <v>1</v>
      </c>
      <c r="Q386" s="3">
        <f>P386-G386</f>
        <v>-347.02</v>
      </c>
      <c r="R386" s="10" t="e">
        <f>Q386/O386</f>
        <v>#DIV/0!</v>
      </c>
      <c r="T386" s="7">
        <f ca="1">IF(S386&lt;&gt;"",S386-B386,TODAY()-B386)</f>
        <v>67</v>
      </c>
      <c r="V386" s="3">
        <f>IF((G386+H386)&lt;15,(G386+H386+2.95), ((G386+H386)*1.2))</f>
        <v>582.9935999999999</v>
      </c>
      <c r="W386" s="3">
        <f>IF((G386+I386)&lt;15,(G386+I386+2.95), ((G386+I386)*1.2))</f>
        <v>478.88759999999996</v>
      </c>
    </row>
    <row r="387" spans="1:23">
      <c r="A387">
        <v>437</v>
      </c>
      <c r="B387" s="12">
        <v>45799</v>
      </c>
      <c r="D387" t="s">
        <v>787</v>
      </c>
      <c r="E387" t="s">
        <v>792</v>
      </c>
      <c r="F387" t="s">
        <v>309</v>
      </c>
      <c r="G387" s="3">
        <v>259.54000000000002</v>
      </c>
      <c r="H387" s="3">
        <f>G387*0.4</f>
        <v>103.81600000000002</v>
      </c>
      <c r="I387" s="8">
        <f>G387*0.15</f>
        <v>38.931000000000004</v>
      </c>
      <c r="J387" s="3">
        <f>G387+H387</f>
        <v>363.35600000000005</v>
      </c>
      <c r="K387" s="3">
        <f>J387*1.13</f>
        <v>410.59228000000002</v>
      </c>
      <c r="L387" s="25">
        <v>0</v>
      </c>
      <c r="O387" s="3">
        <v>429</v>
      </c>
      <c r="P387" s="3">
        <v>380.55</v>
      </c>
      <c r="Q387" s="3">
        <f>P387-G387</f>
        <v>121.00999999999999</v>
      </c>
      <c r="R387" s="10">
        <f>Q387/O387</f>
        <v>0.28207459207459207</v>
      </c>
      <c r="S387" s="13">
        <v>45835</v>
      </c>
      <c r="T387" s="7">
        <f ca="1">IF(S387&lt;&gt;"",S387-B387,TODAY()-B387)</f>
        <v>36</v>
      </c>
      <c r="V387" s="3">
        <f>IF((G387+H387)&lt;15,(G387+H387+2.95), ((G387+H387)*1.2))</f>
        <v>436.02720000000005</v>
      </c>
      <c r="W387" s="3">
        <f>IF((G387+I387)&lt;15,(G387+I387+2.95), ((G387+I387)*1.2))</f>
        <v>358.16519999999997</v>
      </c>
    </row>
    <row r="388" spans="1:23">
      <c r="A388">
        <v>438</v>
      </c>
      <c r="B388" s="12">
        <v>45799</v>
      </c>
      <c r="D388" t="s">
        <v>787</v>
      </c>
      <c r="E388" t="s">
        <v>793</v>
      </c>
      <c r="F388" t="s">
        <v>309</v>
      </c>
      <c r="G388" s="3">
        <v>466.56</v>
      </c>
      <c r="H388" s="2">
        <f>G388*0.3</f>
        <v>139.96799999999999</v>
      </c>
      <c r="I388" s="8">
        <f>G388*0.15</f>
        <v>69.983999999999995</v>
      </c>
      <c r="J388" s="3">
        <f>G388+H388</f>
        <v>606.52800000000002</v>
      </c>
      <c r="K388" s="3">
        <f>J388*1.13</f>
        <v>685.37663999999995</v>
      </c>
      <c r="L388" s="25">
        <v>0</v>
      </c>
      <c r="O388" s="3">
        <v>789</v>
      </c>
      <c r="P388" s="3">
        <v>700.9</v>
      </c>
      <c r="Q388" s="3">
        <f>P388-G388</f>
        <v>234.33999999999997</v>
      </c>
      <c r="R388" s="10">
        <f>Q388/O388</f>
        <v>0.29700887198986053</v>
      </c>
      <c r="S388" s="13">
        <v>45833</v>
      </c>
      <c r="T388" s="7">
        <f ca="1">IF(S388&lt;&gt;"",S388-B388,TODAY()-B388)</f>
        <v>34</v>
      </c>
      <c r="V388" s="3">
        <f>IF((G388+H388)&lt;15,(G388+H388+2.95), ((G388+H388)*1.2))</f>
        <v>727.83360000000005</v>
      </c>
      <c r="W388" s="3">
        <f>IF((G388+I388)&lt;15,(G388+I388+2.95), ((G388+I388)*1.2))</f>
        <v>643.8528</v>
      </c>
    </row>
    <row r="389" spans="1:23" hidden="1">
      <c r="A389">
        <v>439</v>
      </c>
      <c r="B389" s="12">
        <v>45799</v>
      </c>
      <c r="D389" t="s">
        <v>787</v>
      </c>
      <c r="E389" t="s">
        <v>299</v>
      </c>
      <c r="F389" t="s">
        <v>226</v>
      </c>
      <c r="G389" s="3">
        <v>388.56</v>
      </c>
      <c r="H389" s="3">
        <f>G389*0.4</f>
        <v>155.42400000000001</v>
      </c>
      <c r="I389" s="8">
        <f>G389*0.15</f>
        <v>58.283999999999999</v>
      </c>
      <c r="J389" s="3">
        <f>G389+H389</f>
        <v>543.98400000000004</v>
      </c>
      <c r="K389" s="3">
        <f>J389*1.13</f>
        <v>614.70191999999997</v>
      </c>
      <c r="L389" s="25">
        <v>1</v>
      </c>
      <c r="Q389" s="3">
        <f>P389-G389</f>
        <v>-388.56</v>
      </c>
      <c r="R389" s="10" t="e">
        <f>Q389/O389</f>
        <v>#DIV/0!</v>
      </c>
      <c r="T389" s="7">
        <f ca="1">IF(S389&lt;&gt;"",S389-B389,TODAY()-B389)</f>
        <v>67</v>
      </c>
      <c r="V389" s="3">
        <f>IF((G389+H389)&lt;15,(G389+H389+2.95), ((G389+H389)*1.2))</f>
        <v>652.7808</v>
      </c>
      <c r="W389" s="3">
        <f>IF((G389+I389)&lt;15,(G389+I389+2.95), ((G389+I389)*1.2))</f>
        <v>536.21280000000002</v>
      </c>
    </row>
    <row r="390" spans="1:23" hidden="1">
      <c r="A390">
        <v>440</v>
      </c>
      <c r="B390" s="12">
        <v>45799</v>
      </c>
      <c r="D390" t="s">
        <v>787</v>
      </c>
      <c r="E390" t="s">
        <v>794</v>
      </c>
      <c r="F390" t="s">
        <v>226</v>
      </c>
      <c r="G390" s="3">
        <v>350.36</v>
      </c>
      <c r="H390" s="3">
        <f>G390*0.4</f>
        <v>140.14400000000001</v>
      </c>
      <c r="I390" s="8">
        <f>G390*0.15</f>
        <v>52.554000000000002</v>
      </c>
      <c r="J390" s="3">
        <f>G390+H390</f>
        <v>490.50400000000002</v>
      </c>
      <c r="K390" s="3">
        <f>J390*1.13</f>
        <v>554.26951999999994</v>
      </c>
      <c r="L390" s="25">
        <v>1</v>
      </c>
      <c r="Q390" s="3">
        <f>P390-G390</f>
        <v>-350.36</v>
      </c>
      <c r="R390" s="10" t="e">
        <f>Q390/O390</f>
        <v>#DIV/0!</v>
      </c>
      <c r="T390" s="7">
        <f ca="1">IF(S390&lt;&gt;"",S390-B390,TODAY()-B390)</f>
        <v>67</v>
      </c>
      <c r="V390" s="3">
        <f>IF((G390+H390)&lt;15,(G390+H390+2.95), ((G390+H390)*1.2))</f>
        <v>588.60479999999995</v>
      </c>
      <c r="W390" s="3">
        <f>IF((G390+I390)&lt;15,(G390+I390+2.95), ((G390+I390)*1.2))</f>
        <v>483.49679999999995</v>
      </c>
    </row>
    <row r="391" spans="1:23">
      <c r="A391">
        <v>441</v>
      </c>
      <c r="B391" s="12">
        <v>45799</v>
      </c>
      <c r="D391" t="s">
        <v>787</v>
      </c>
      <c r="E391" t="s">
        <v>795</v>
      </c>
      <c r="F391" t="s">
        <v>226</v>
      </c>
      <c r="G391" s="3">
        <v>360.86</v>
      </c>
      <c r="H391" s="2">
        <f>G391*0.3</f>
        <v>108.258</v>
      </c>
      <c r="I391" s="8">
        <f>G391*0.15</f>
        <v>54.128999999999998</v>
      </c>
      <c r="J391" s="3">
        <f>G391+H391</f>
        <v>469.11799999999999</v>
      </c>
      <c r="K391" s="3">
        <f>J391*1.13</f>
        <v>530.10333999999989</v>
      </c>
      <c r="L391" s="25">
        <v>0</v>
      </c>
      <c r="O391" s="3">
        <v>540</v>
      </c>
      <c r="P391" s="3">
        <v>479.05</v>
      </c>
      <c r="Q391" s="3">
        <f>P391-G391</f>
        <v>118.19</v>
      </c>
      <c r="R391" s="10">
        <f>Q391/O391</f>
        <v>0.21887037037037035</v>
      </c>
      <c r="S391" s="13">
        <v>45805</v>
      </c>
      <c r="T391" s="7">
        <f ca="1">IF(S391&lt;&gt;"",S391-B391,TODAY()-B391)</f>
        <v>6</v>
      </c>
      <c r="V391" s="3">
        <f>IF((G391+H391)&lt;15,(G391+H391+2.95), ((G391+H391)*1.2))</f>
        <v>562.94159999999999</v>
      </c>
      <c r="W391" s="3">
        <f>IF((G391+I391)&lt;15,(G391+I391+2.95), ((G391+I391)*1.2))</f>
        <v>497.98680000000002</v>
      </c>
    </row>
    <row r="392" spans="1:23">
      <c r="A392">
        <v>442</v>
      </c>
      <c r="B392" s="12">
        <v>45799</v>
      </c>
      <c r="D392" t="s">
        <v>787</v>
      </c>
      <c r="E392" t="s">
        <v>796</v>
      </c>
      <c r="F392" t="s">
        <v>226</v>
      </c>
      <c r="G392" s="3">
        <v>283.39</v>
      </c>
      <c r="H392" s="2">
        <f>G392*0.3</f>
        <v>85.016999999999996</v>
      </c>
      <c r="I392" s="8">
        <f>G392*0.15</f>
        <v>42.508499999999998</v>
      </c>
      <c r="J392" s="3">
        <f>G392+H392</f>
        <v>368.40699999999998</v>
      </c>
      <c r="K392" s="3">
        <f>J392*1.13</f>
        <v>416.29990999999995</v>
      </c>
      <c r="L392" s="25">
        <v>0</v>
      </c>
      <c r="O392" s="3">
        <v>525</v>
      </c>
      <c r="P392" s="3">
        <v>465.87</v>
      </c>
      <c r="Q392" s="3">
        <f>P392-G392</f>
        <v>182.48000000000002</v>
      </c>
      <c r="R392" s="10">
        <f>Q392/O392</f>
        <v>0.34758095238095243</v>
      </c>
      <c r="S392" s="13">
        <v>45814</v>
      </c>
      <c r="T392" s="7">
        <f ca="1">IF(S392&lt;&gt;"",S392-B392,TODAY()-B392)</f>
        <v>15</v>
      </c>
      <c r="V392" s="3">
        <f>IF((G392+H392)&lt;15,(G392+H392+2.95), ((G392+H392)*1.2))</f>
        <v>442.08839999999998</v>
      </c>
      <c r="W392" s="3">
        <f>IF((G392+I392)&lt;15,(G392+I392+2.95), ((G392+I392)*1.2))</f>
        <v>391.07819999999998</v>
      </c>
    </row>
    <row r="393" spans="1:23">
      <c r="A393">
        <v>443</v>
      </c>
      <c r="B393" s="12">
        <v>45800</v>
      </c>
      <c r="D393" t="s">
        <v>797</v>
      </c>
      <c r="E393" t="s">
        <v>798</v>
      </c>
      <c r="F393" t="s">
        <v>224</v>
      </c>
      <c r="G393" s="3">
        <v>118.93</v>
      </c>
      <c r="H393" s="2">
        <f>G393*0.3</f>
        <v>35.679000000000002</v>
      </c>
      <c r="I393" s="8">
        <f>G393*0.15</f>
        <v>17.839500000000001</v>
      </c>
      <c r="J393" s="3">
        <f>G393+H393</f>
        <v>154.60900000000001</v>
      </c>
      <c r="K393" s="3">
        <f>J393*1.13</f>
        <v>174.70817</v>
      </c>
      <c r="L393" s="25">
        <v>0</v>
      </c>
      <c r="O393" s="3">
        <v>160</v>
      </c>
      <c r="P393" s="3">
        <v>144.03</v>
      </c>
      <c r="Q393" s="3">
        <f>P393-G393</f>
        <v>25.099999999999994</v>
      </c>
      <c r="R393" s="10">
        <f>Q393/O393</f>
        <v>0.15687499999999996</v>
      </c>
      <c r="S393" s="13">
        <v>45813</v>
      </c>
      <c r="T393" s="7">
        <f ca="1">IF(S393&lt;&gt;"",S393-B393,TODAY()-B393)</f>
        <v>13</v>
      </c>
      <c r="V393" s="3">
        <f>IF((G393+H393)&lt;15,(G393+H393+2.95), ((G393+H393)*1.2))</f>
        <v>185.5308</v>
      </c>
      <c r="W393" s="3">
        <f>IF((G393+I393)&lt;15,(G393+I393+2.95), ((G393+I393)*1.2))</f>
        <v>164.12339999999998</v>
      </c>
    </row>
    <row r="394" spans="1:23" hidden="1">
      <c r="A394">
        <v>444</v>
      </c>
      <c r="B394" s="12">
        <v>45800</v>
      </c>
      <c r="D394" t="s">
        <v>797</v>
      </c>
      <c r="E394" t="s">
        <v>799</v>
      </c>
      <c r="F394" t="s">
        <v>226</v>
      </c>
      <c r="G394" s="3">
        <v>59.9</v>
      </c>
      <c r="H394" s="3">
        <f>G394*0.4</f>
        <v>23.96</v>
      </c>
      <c r="I394" s="8">
        <f>G394*0.15</f>
        <v>8.9849999999999994</v>
      </c>
      <c r="J394" s="3">
        <f>G394+H394</f>
        <v>83.86</v>
      </c>
      <c r="K394" s="3">
        <f>J394*1.13</f>
        <v>94.761799999999994</v>
      </c>
      <c r="L394" s="25">
        <v>1</v>
      </c>
      <c r="Q394" s="3">
        <f>P394-G394</f>
        <v>-59.9</v>
      </c>
      <c r="R394" s="10" t="e">
        <f>Q394/O394</f>
        <v>#DIV/0!</v>
      </c>
      <c r="T394" s="7">
        <f ca="1">IF(S394&lt;&gt;"",S394-B394,TODAY()-B394)</f>
        <v>66</v>
      </c>
      <c r="V394" s="3">
        <f>IF((G394+H394)&lt;15,(G394+H394+2.95), ((G394+H394)*1.2))</f>
        <v>100.63199999999999</v>
      </c>
      <c r="W394" s="3">
        <f>IF((G394+I394)&lt;15,(G394+I394+2.95), ((G394+I394)*1.2))</f>
        <v>82.661999999999992</v>
      </c>
    </row>
    <row r="395" spans="1:23" hidden="1">
      <c r="A395">
        <v>445</v>
      </c>
      <c r="B395" s="12">
        <v>45800</v>
      </c>
      <c r="D395" t="s">
        <v>797</v>
      </c>
      <c r="E395" t="s">
        <v>800</v>
      </c>
      <c r="F395" t="s">
        <v>309</v>
      </c>
      <c r="G395" s="3">
        <v>153.4</v>
      </c>
      <c r="H395" s="3">
        <f>G395*0.4</f>
        <v>61.360000000000007</v>
      </c>
      <c r="I395" s="8">
        <f>G395*0.15</f>
        <v>23.01</v>
      </c>
      <c r="J395" s="3">
        <f>G395+H395</f>
        <v>214.76000000000002</v>
      </c>
      <c r="K395" s="3">
        <f>J395*1.13</f>
        <v>242.6788</v>
      </c>
      <c r="L395" s="25">
        <v>1</v>
      </c>
      <c r="Q395" s="3">
        <f>P395-G395</f>
        <v>-153.4</v>
      </c>
      <c r="R395" s="10" t="e">
        <f>Q395/O395</f>
        <v>#DIV/0!</v>
      </c>
      <c r="T395" s="7">
        <f ca="1">IF(S395&lt;&gt;"",S395-B395,TODAY()-B395)</f>
        <v>66</v>
      </c>
      <c r="V395" s="3">
        <f>IF((G395+H395)&lt;15,(G395+H395+2.95), ((G395+H395)*1.2))</f>
        <v>257.71199999999999</v>
      </c>
      <c r="W395" s="3">
        <f>IF((G395+I395)&lt;15,(G395+I395+2.95), ((G395+I395)*1.2))</f>
        <v>211.69199999999998</v>
      </c>
    </row>
    <row r="396" spans="1:23" hidden="1">
      <c r="A396">
        <v>446</v>
      </c>
      <c r="B396" s="12">
        <v>45800</v>
      </c>
      <c r="D396" t="s">
        <v>797</v>
      </c>
      <c r="E396" t="s">
        <v>801</v>
      </c>
      <c r="F396" t="s">
        <v>226</v>
      </c>
      <c r="G396" s="3">
        <v>200</v>
      </c>
      <c r="H396" s="3">
        <f>G396*0.4</f>
        <v>80</v>
      </c>
      <c r="I396" s="8">
        <f>G396*0.15</f>
        <v>30</v>
      </c>
      <c r="J396" s="3">
        <f>G396+H396</f>
        <v>280</v>
      </c>
      <c r="K396" s="3">
        <f>J396*1.13</f>
        <v>316.39999999999998</v>
      </c>
      <c r="L396" s="25">
        <v>1</v>
      </c>
      <c r="Q396" s="3">
        <f>P396-G396</f>
        <v>-200</v>
      </c>
      <c r="R396" s="10" t="e">
        <f>Q396/O396</f>
        <v>#DIV/0!</v>
      </c>
      <c r="T396" s="7">
        <f ca="1">IF(S396&lt;&gt;"",S396-B396,TODAY()-B396)</f>
        <v>66</v>
      </c>
      <c r="V396" s="3">
        <f>IF((G396+H396)&lt;15,(G396+H396+2.95), ((G396+H396)*1.2))</f>
        <v>336</v>
      </c>
      <c r="W396" s="3">
        <f>IF((G396+I396)&lt;15,(G396+I396+2.95), ((G396+I396)*1.2))</f>
        <v>276</v>
      </c>
    </row>
    <row r="397" spans="1:23">
      <c r="A397">
        <v>447</v>
      </c>
      <c r="B397" s="12">
        <v>45800</v>
      </c>
      <c r="D397" t="s">
        <v>797</v>
      </c>
      <c r="E397" t="s">
        <v>802</v>
      </c>
      <c r="F397" t="s">
        <v>309</v>
      </c>
      <c r="G397" s="3">
        <v>300</v>
      </c>
      <c r="H397" s="2">
        <f>G397*0.3</f>
        <v>90</v>
      </c>
      <c r="I397" s="8">
        <f>G397*0.15</f>
        <v>45</v>
      </c>
      <c r="J397" s="3">
        <f>G397+H397</f>
        <v>390</v>
      </c>
      <c r="K397" s="3">
        <f>J397*1.13</f>
        <v>440.69999999999993</v>
      </c>
      <c r="L397" s="25">
        <v>0</v>
      </c>
      <c r="O397" s="3">
        <v>449</v>
      </c>
      <c r="P397" s="3">
        <v>398.71</v>
      </c>
      <c r="Q397" s="3">
        <f>P397-G397</f>
        <v>98.70999999999998</v>
      </c>
      <c r="R397" s="10">
        <f>Q397/O397</f>
        <v>0.21984409799554561</v>
      </c>
      <c r="S397" s="13">
        <v>45816</v>
      </c>
      <c r="T397" s="7">
        <f ca="1">IF(S397&lt;&gt;"",S397-B397,TODAY()-B397)</f>
        <v>16</v>
      </c>
      <c r="V397" s="3">
        <f>IF((G397+H397)&lt;15,(G397+H397+2.95), ((G397+H397)*1.2))</f>
        <v>468</v>
      </c>
      <c r="W397" s="3">
        <f>IF((G397+I397)&lt;15,(G397+I397+2.95), ((G397+I397)*1.2))</f>
        <v>414</v>
      </c>
    </row>
    <row r="398" spans="1:23" hidden="1">
      <c r="A398">
        <v>448</v>
      </c>
      <c r="B398" s="12">
        <v>45799</v>
      </c>
      <c r="D398" t="s">
        <v>803</v>
      </c>
      <c r="E398" t="s">
        <v>804</v>
      </c>
      <c r="F398" t="s">
        <v>309</v>
      </c>
      <c r="G398" s="3">
        <v>434.4</v>
      </c>
      <c r="H398" s="3">
        <f>G398*0.4</f>
        <v>173.76</v>
      </c>
      <c r="I398" s="8">
        <f>G398*0.15</f>
        <v>65.16</v>
      </c>
      <c r="J398" s="3">
        <f>G398+H398</f>
        <v>608.16</v>
      </c>
      <c r="K398" s="3">
        <f>J398*1.13</f>
        <v>687.22079999999994</v>
      </c>
      <c r="L398" s="25">
        <v>1</v>
      </c>
      <c r="Q398" s="3">
        <f>P398-G398</f>
        <v>-434.4</v>
      </c>
      <c r="R398" s="10" t="e">
        <f>Q398/O398</f>
        <v>#DIV/0!</v>
      </c>
      <c r="T398" s="7">
        <f ca="1">IF(S398&lt;&gt;"",S398-B398,TODAY()-B398)</f>
        <v>67</v>
      </c>
      <c r="V398" s="3">
        <f>IF((G398+H398)&lt;15,(G398+H398+2.95), ((G398+H398)*1.2))</f>
        <v>729.79199999999992</v>
      </c>
      <c r="W398" s="3">
        <f>IF((G398+I398)&lt;15,(G398+I398+2.95), ((G398+I398)*1.2))</f>
        <v>599.47199999999987</v>
      </c>
    </row>
    <row r="399" spans="1:23">
      <c r="A399">
        <v>449</v>
      </c>
      <c r="B399" s="12">
        <v>45799</v>
      </c>
      <c r="D399" t="s">
        <v>803</v>
      </c>
      <c r="E399" t="s">
        <v>805</v>
      </c>
      <c r="F399" t="s">
        <v>309</v>
      </c>
      <c r="G399" s="3">
        <v>255.6</v>
      </c>
      <c r="H399" s="2">
        <f>G399*0.3</f>
        <v>76.679999999999993</v>
      </c>
      <c r="I399" s="8">
        <f>G399*0.15</f>
        <v>38.339999999999996</v>
      </c>
      <c r="J399" s="3">
        <f>G399+H399</f>
        <v>332.28</v>
      </c>
      <c r="K399" s="3">
        <f>J399*1.13</f>
        <v>375.47639999999996</v>
      </c>
      <c r="L399" s="25">
        <v>0</v>
      </c>
      <c r="O399" s="3">
        <v>549</v>
      </c>
      <c r="P399" s="3">
        <v>487.7</v>
      </c>
      <c r="Q399" s="3">
        <f>P399-G399</f>
        <v>232.1</v>
      </c>
      <c r="R399" s="10">
        <f>Q399/O399</f>
        <v>0.42276867030965393</v>
      </c>
      <c r="S399" s="13">
        <v>45830</v>
      </c>
      <c r="T399" s="7">
        <f ca="1">IF(S399&lt;&gt;"",S399-B399,TODAY()-B399)</f>
        <v>31</v>
      </c>
      <c r="V399" s="3">
        <f>IF((G399+H399)&lt;15,(G399+H399+2.95), ((G399+H399)*1.2))</f>
        <v>398.73599999999993</v>
      </c>
      <c r="W399" s="3">
        <f>IF((G399+I399)&lt;15,(G399+I399+2.95), ((G399+I399)*1.2))</f>
        <v>352.72800000000001</v>
      </c>
    </row>
    <row r="400" spans="1:23">
      <c r="A400">
        <v>450</v>
      </c>
      <c r="B400" s="12">
        <v>45787</v>
      </c>
      <c r="D400" t="s">
        <v>807</v>
      </c>
      <c r="E400" t="s">
        <v>806</v>
      </c>
      <c r="F400" t="s">
        <v>575</v>
      </c>
      <c r="G400" s="3">
        <v>70</v>
      </c>
      <c r="H400" s="2">
        <f>G400*0.3</f>
        <v>21</v>
      </c>
      <c r="I400" s="8">
        <f>G400*0.15</f>
        <v>10.5</v>
      </c>
      <c r="J400" s="3">
        <f>G400+H400</f>
        <v>91</v>
      </c>
      <c r="K400" s="3">
        <f>J400*1.13</f>
        <v>102.82999999999998</v>
      </c>
      <c r="L400" s="25">
        <v>0</v>
      </c>
      <c r="O400" s="3">
        <v>130</v>
      </c>
      <c r="P400" s="3">
        <v>115.08</v>
      </c>
      <c r="Q400" s="3">
        <f>P400-G400</f>
        <v>45.08</v>
      </c>
      <c r="R400" s="10">
        <f>Q400/O400</f>
        <v>0.34676923076923077</v>
      </c>
      <c r="S400" s="13">
        <v>45802</v>
      </c>
      <c r="T400" s="7">
        <f ca="1">IF(S400&lt;&gt;"",S400-B400,TODAY()-B400)</f>
        <v>15</v>
      </c>
      <c r="V400" s="3">
        <f>IF((G400+H400)&lt;15,(G400+H400+2.95), ((G400+H400)*1.2))</f>
        <v>109.2</v>
      </c>
      <c r="W400" s="3">
        <f>IF((G400+I400)&lt;15,(G400+I400+2.95), ((G400+I400)*1.2))</f>
        <v>96.6</v>
      </c>
    </row>
    <row r="401" spans="1:24">
      <c r="A401">
        <v>451</v>
      </c>
      <c r="B401" s="12">
        <v>45795</v>
      </c>
      <c r="C401" t="s">
        <v>132</v>
      </c>
      <c r="D401" t="s">
        <v>132</v>
      </c>
      <c r="E401" t="s">
        <v>808</v>
      </c>
      <c r="F401" t="s">
        <v>226</v>
      </c>
      <c r="G401" s="3">
        <f>199.98/10</f>
        <v>19.997999999999998</v>
      </c>
      <c r="H401" s="2">
        <f>G401*0.3</f>
        <v>5.9993999999999987</v>
      </c>
      <c r="I401" s="8">
        <f>G401*0.15</f>
        <v>2.9996999999999994</v>
      </c>
      <c r="J401" s="3">
        <f>G401+H401</f>
        <v>25.997399999999995</v>
      </c>
      <c r="K401" s="3">
        <f>J401*1.13</f>
        <v>29.377061999999992</v>
      </c>
      <c r="L401" s="25">
        <v>0</v>
      </c>
      <c r="O401" s="3">
        <v>51</v>
      </c>
      <c r="P401" s="3">
        <v>44.74</v>
      </c>
      <c r="Q401" s="3">
        <f>P401-G401</f>
        <v>24.742000000000004</v>
      </c>
      <c r="R401" s="10">
        <f>Q401/O401</f>
        <v>0.48513725490196086</v>
      </c>
      <c r="S401" s="13">
        <v>45802</v>
      </c>
      <c r="T401" s="7">
        <f ca="1">IF(S401&lt;&gt;"",S401-B401,TODAY()-B401)</f>
        <v>7</v>
      </c>
      <c r="V401" s="3">
        <f>IF((G401+H401)&lt;15,(G401+H401+2.95), ((G401+H401)*1.2))</f>
        <v>31.196879999999993</v>
      </c>
      <c r="W401" s="3">
        <f>IF((G401+I401)&lt;15,(G401+I401+2.95), ((G401+I401)*1.2))</f>
        <v>27.597239999999996</v>
      </c>
    </row>
    <row r="402" spans="1:24">
      <c r="A402">
        <v>452</v>
      </c>
      <c r="B402" s="12">
        <v>45795</v>
      </c>
      <c r="D402" t="s">
        <v>132</v>
      </c>
      <c r="E402" t="s">
        <v>808</v>
      </c>
      <c r="F402" t="s">
        <v>226</v>
      </c>
      <c r="G402" s="3">
        <f>199.98/10</f>
        <v>19.997999999999998</v>
      </c>
      <c r="H402" s="2">
        <f>G402*0.3</f>
        <v>5.9993999999999987</v>
      </c>
      <c r="I402" s="8">
        <f>G402*0.15</f>
        <v>2.9996999999999994</v>
      </c>
      <c r="J402" s="3">
        <f>G402+H402</f>
        <v>25.997399999999995</v>
      </c>
      <c r="K402" s="3">
        <f>J402*1.13</f>
        <v>29.377061999999992</v>
      </c>
      <c r="L402" s="25">
        <v>0</v>
      </c>
      <c r="O402" s="3">
        <v>30</v>
      </c>
      <c r="P402" s="3">
        <v>26.37</v>
      </c>
      <c r="Q402" s="3">
        <f>P402-G402</f>
        <v>6.3720000000000034</v>
      </c>
      <c r="R402" s="10">
        <f>Q402/O402</f>
        <v>0.21240000000000012</v>
      </c>
      <c r="S402" s="13">
        <v>45802</v>
      </c>
      <c r="T402" s="7">
        <f ca="1">IF(S402&lt;&gt;"",S402-B402,TODAY()-B402)</f>
        <v>7</v>
      </c>
      <c r="V402" s="3">
        <f>IF((G402+H402)&lt;15,(G402+H402+2.95), ((G402+H402)*1.2))</f>
        <v>31.196879999999993</v>
      </c>
      <c r="W402" s="3">
        <f>IF((G402+I402)&lt;15,(G402+I402+2.95), ((G402+I402)*1.2))</f>
        <v>27.597239999999996</v>
      </c>
    </row>
    <row r="403" spans="1:24">
      <c r="A403">
        <v>453</v>
      </c>
      <c r="B403" s="12">
        <v>45795</v>
      </c>
      <c r="D403" t="s">
        <v>132</v>
      </c>
      <c r="E403" t="s">
        <v>808</v>
      </c>
      <c r="F403" t="s">
        <v>226</v>
      </c>
      <c r="G403" s="3">
        <f>199.98/10</f>
        <v>19.997999999999998</v>
      </c>
      <c r="H403" s="2">
        <f>G403*0.3</f>
        <v>5.9993999999999987</v>
      </c>
      <c r="I403" s="8">
        <f>G403*0.15</f>
        <v>2.9996999999999994</v>
      </c>
      <c r="J403" s="3">
        <f>G403+H403</f>
        <v>25.997399999999995</v>
      </c>
      <c r="K403" s="3">
        <f>J403*1.13</f>
        <v>29.377061999999992</v>
      </c>
      <c r="L403" s="25">
        <v>0</v>
      </c>
      <c r="O403" s="3">
        <v>35</v>
      </c>
      <c r="P403" s="3">
        <v>30.52</v>
      </c>
      <c r="Q403" s="3">
        <f>P403-G403</f>
        <v>10.522000000000002</v>
      </c>
      <c r="R403" s="10">
        <f>Q403/O403</f>
        <v>0.30062857142857147</v>
      </c>
      <c r="S403" s="13">
        <v>45802</v>
      </c>
      <c r="T403" s="7">
        <f ca="1">IF(S403&lt;&gt;"",S403-B403,TODAY()-B403)</f>
        <v>7</v>
      </c>
      <c r="V403" s="3">
        <f>IF((G403+H403)&lt;15,(G403+H403+2.95), ((G403+H403)*1.2))</f>
        <v>31.196879999999993</v>
      </c>
      <c r="W403" s="3">
        <f>IF((G403+I403)&lt;15,(G403+I403+2.95), ((G403+I403)*1.2))</f>
        <v>27.597239999999996</v>
      </c>
    </row>
    <row r="404" spans="1:24">
      <c r="A404">
        <v>454</v>
      </c>
      <c r="B404" s="12">
        <v>45795</v>
      </c>
      <c r="D404" t="s">
        <v>132</v>
      </c>
      <c r="E404" t="s">
        <v>808</v>
      </c>
      <c r="F404" t="s">
        <v>226</v>
      </c>
      <c r="G404" s="3">
        <f>199.98/10</f>
        <v>19.997999999999998</v>
      </c>
      <c r="H404" s="2">
        <f>G404*0.3</f>
        <v>5.9993999999999987</v>
      </c>
      <c r="I404" s="8">
        <f>G404*0.15</f>
        <v>2.9996999999999994</v>
      </c>
      <c r="J404" s="3">
        <f>G404+H404</f>
        <v>25.997399999999995</v>
      </c>
      <c r="K404" s="3">
        <f>J404*1.13</f>
        <v>29.377061999999992</v>
      </c>
      <c r="L404" s="25">
        <v>0</v>
      </c>
      <c r="O404" s="3">
        <v>15</v>
      </c>
      <c r="P404" s="3">
        <v>12.77</v>
      </c>
      <c r="Q404" s="3">
        <f>P404-G404</f>
        <v>-7.227999999999998</v>
      </c>
      <c r="R404" s="10">
        <f>Q404/O404</f>
        <v>-0.48186666666666655</v>
      </c>
      <c r="S404" s="13">
        <v>45802</v>
      </c>
      <c r="T404" s="7">
        <f ca="1">IF(S404&lt;&gt;"",S404-B404,TODAY()-B404)</f>
        <v>7</v>
      </c>
      <c r="V404" s="3">
        <f>IF((G404+H404)&lt;15,(G404+H404+2.95), ((G404+H404)*1.2))</f>
        <v>31.196879999999993</v>
      </c>
      <c r="W404" s="3">
        <f>IF((G404+I404)&lt;15,(G404+I404+2.95), ((G404+I404)*1.2))</f>
        <v>27.597239999999996</v>
      </c>
    </row>
    <row r="405" spans="1:24">
      <c r="A405">
        <v>455</v>
      </c>
      <c r="B405" s="12">
        <v>45795</v>
      </c>
      <c r="D405" t="s">
        <v>132</v>
      </c>
      <c r="E405" t="s">
        <v>808</v>
      </c>
      <c r="F405" t="s">
        <v>226</v>
      </c>
      <c r="G405" s="3">
        <f>199.98/10</f>
        <v>19.997999999999998</v>
      </c>
      <c r="H405" s="3">
        <f>G405*0.4</f>
        <v>7.9991999999999992</v>
      </c>
      <c r="I405" s="8">
        <f>G405*0.15</f>
        <v>2.9996999999999994</v>
      </c>
      <c r="J405" s="3">
        <f>G405+H405</f>
        <v>27.997199999999996</v>
      </c>
      <c r="K405" s="3">
        <f>J405*1.13</f>
        <v>31.636835999999992</v>
      </c>
      <c r="L405" s="25">
        <v>0</v>
      </c>
      <c r="O405" s="3">
        <v>25</v>
      </c>
      <c r="P405" s="3">
        <v>21.68</v>
      </c>
      <c r="Q405" s="3">
        <f>P405-G405</f>
        <v>1.6820000000000022</v>
      </c>
      <c r="R405" s="10">
        <f>Q405/O405</f>
        <v>6.728000000000009E-2</v>
      </c>
      <c r="S405" s="13">
        <v>45852</v>
      </c>
      <c r="T405" s="7">
        <f ca="1">IF(S405&lt;&gt;"",S405-B405,TODAY()-B405)</f>
        <v>57</v>
      </c>
      <c r="V405" s="3">
        <f>IF((G405+H405)&lt;15,(G405+H405+2.95), ((G405+H405)*1.2))</f>
        <v>33.596639999999994</v>
      </c>
      <c r="W405" s="3">
        <f>IF((G405+I405)&lt;15,(G405+I405+2.95), ((G405+I405)*1.2))</f>
        <v>27.597239999999996</v>
      </c>
    </row>
    <row r="406" spans="1:24">
      <c r="A406">
        <v>456</v>
      </c>
      <c r="B406" s="12">
        <v>45795</v>
      </c>
      <c r="D406" t="s">
        <v>132</v>
      </c>
      <c r="E406" t="s">
        <v>808</v>
      </c>
      <c r="F406" t="s">
        <v>226</v>
      </c>
      <c r="G406" s="3">
        <f>199.98/10</f>
        <v>19.997999999999998</v>
      </c>
      <c r="H406" s="3">
        <f>G406*0.4</f>
        <v>7.9991999999999992</v>
      </c>
      <c r="I406" s="8">
        <f>G406*0.15</f>
        <v>2.9996999999999994</v>
      </c>
      <c r="J406" s="3">
        <f>G406+H406</f>
        <v>27.997199999999996</v>
      </c>
      <c r="K406" s="3">
        <f>J406*1.13</f>
        <v>31.636835999999992</v>
      </c>
      <c r="L406" s="25">
        <v>0</v>
      </c>
      <c r="O406" s="3">
        <v>25</v>
      </c>
      <c r="P406" s="3">
        <v>21.93</v>
      </c>
      <c r="Q406" s="3">
        <f>P406-G406</f>
        <v>1.9320000000000022</v>
      </c>
      <c r="R406" s="10">
        <f>Q406/O406</f>
        <v>7.7280000000000085E-2</v>
      </c>
      <c r="S406" s="13">
        <v>45855</v>
      </c>
      <c r="T406" s="7">
        <f ca="1">IF(S406&lt;&gt;"",S406-B406,TODAY()-B406)</f>
        <v>60</v>
      </c>
      <c r="V406" s="3">
        <f>IF((G406+H406)&lt;15,(G406+H406+2.95), ((G406+H406)*1.2))</f>
        <v>33.596639999999994</v>
      </c>
      <c r="W406" s="3">
        <f>IF((G406+I406)&lt;15,(G406+I406+2.95), ((G406+I406)*1.2))</f>
        <v>27.597239999999996</v>
      </c>
    </row>
    <row r="407" spans="1:24">
      <c r="A407">
        <v>457</v>
      </c>
      <c r="B407" s="12">
        <v>45795</v>
      </c>
      <c r="D407" t="s">
        <v>132</v>
      </c>
      <c r="E407" t="s">
        <v>808</v>
      </c>
      <c r="F407" t="s">
        <v>226</v>
      </c>
      <c r="G407" s="3">
        <f>199.98/10</f>
        <v>19.997999999999998</v>
      </c>
      <c r="H407" s="3">
        <f>G407*0.4</f>
        <v>7.9991999999999992</v>
      </c>
      <c r="I407" s="8">
        <f>G407*0.15</f>
        <v>2.9996999999999994</v>
      </c>
      <c r="J407" s="3">
        <f>G407+H407</f>
        <v>27.997199999999996</v>
      </c>
      <c r="K407" s="3">
        <f>J407*1.13</f>
        <v>31.636835999999992</v>
      </c>
      <c r="L407" s="25">
        <v>0</v>
      </c>
      <c r="O407" s="3">
        <v>21</v>
      </c>
      <c r="P407" s="3">
        <v>18.36</v>
      </c>
      <c r="Q407" s="3">
        <f>P407-G407</f>
        <v>-1.6379999999999981</v>
      </c>
      <c r="R407" s="10">
        <f>Q407/O407</f>
        <v>-7.7999999999999917E-2</v>
      </c>
      <c r="S407" s="13">
        <v>45855</v>
      </c>
      <c r="T407" s="7">
        <f ca="1">IF(S407&lt;&gt;"",S407-B407,TODAY()-B407)</f>
        <v>60</v>
      </c>
      <c r="V407" s="3">
        <f>IF((G407+H407)&lt;15,(G407+H407+2.95), ((G407+H407)*1.2))</f>
        <v>33.596639999999994</v>
      </c>
      <c r="W407" s="3">
        <f>IF((G407+I407)&lt;15,(G407+I407+2.95), ((G407+I407)*1.2))</f>
        <v>27.597239999999996</v>
      </c>
    </row>
    <row r="408" spans="1:24">
      <c r="A408">
        <v>458</v>
      </c>
      <c r="B408" s="12">
        <v>45795</v>
      </c>
      <c r="D408" t="s">
        <v>132</v>
      </c>
      <c r="E408" t="s">
        <v>808</v>
      </c>
      <c r="F408" t="s">
        <v>226</v>
      </c>
      <c r="G408" s="3">
        <f>199.98/10</f>
        <v>19.997999999999998</v>
      </c>
      <c r="H408" s="3">
        <f>G408*0.4</f>
        <v>7.9991999999999992</v>
      </c>
      <c r="I408" s="8">
        <f>G408*0.15</f>
        <v>2.9996999999999994</v>
      </c>
      <c r="J408" s="3">
        <f>G408+H408</f>
        <v>27.997199999999996</v>
      </c>
      <c r="K408" s="3">
        <f>J408*1.13</f>
        <v>31.636835999999992</v>
      </c>
      <c r="L408" s="25">
        <v>0</v>
      </c>
      <c r="O408" s="3">
        <v>23</v>
      </c>
      <c r="P408" s="3">
        <v>20.14</v>
      </c>
      <c r="Q408" s="3">
        <f>P408-G408</f>
        <v>0.14200000000000301</v>
      </c>
      <c r="R408" s="10">
        <f>Q408/O408</f>
        <v>6.1739130434783915E-3</v>
      </c>
      <c r="S408" s="13">
        <v>45855</v>
      </c>
      <c r="T408" s="7">
        <f ca="1">IF(S408&lt;&gt;"",S408-B408,TODAY()-B408)</f>
        <v>60</v>
      </c>
      <c r="V408" s="3">
        <f>IF((G408+H408)&lt;15,(G408+H408+2.95), ((G408+H408)*1.2))</f>
        <v>33.596639999999994</v>
      </c>
      <c r="W408" s="3">
        <f>IF((G408+I408)&lt;15,(G408+I408+2.95), ((G408+I408)*1.2))</f>
        <v>27.597239999999996</v>
      </c>
    </row>
    <row r="409" spans="1:24" hidden="1">
      <c r="A409">
        <v>459</v>
      </c>
      <c r="B409" s="12">
        <v>45795</v>
      </c>
      <c r="D409" t="s">
        <v>132</v>
      </c>
      <c r="E409" t="s">
        <v>808</v>
      </c>
      <c r="F409" t="s">
        <v>226</v>
      </c>
      <c r="G409" s="3">
        <f>199.98/10</f>
        <v>19.997999999999998</v>
      </c>
      <c r="H409" s="3">
        <f>G409*0.4</f>
        <v>7.9991999999999992</v>
      </c>
      <c r="I409" s="8">
        <f>G409*0.15</f>
        <v>2.9996999999999994</v>
      </c>
      <c r="J409" s="3">
        <f>G409+H409</f>
        <v>27.997199999999996</v>
      </c>
      <c r="K409" s="3">
        <f>J409*1.13</f>
        <v>31.636835999999992</v>
      </c>
      <c r="L409" s="25">
        <v>1</v>
      </c>
      <c r="Q409" s="3">
        <f>P409-G409</f>
        <v>-19.997999999999998</v>
      </c>
      <c r="R409" s="10" t="e">
        <f>Q409/O409</f>
        <v>#DIV/0!</v>
      </c>
      <c r="T409" s="7">
        <f ca="1">IF(S409&lt;&gt;"",S409-B409,TODAY()-B409)</f>
        <v>71</v>
      </c>
      <c r="V409" s="3">
        <f>IF((G409+H409)&lt;15,(G409+H409+2.95), ((G409+H409)*1.2))</f>
        <v>33.596639999999994</v>
      </c>
      <c r="W409" s="3">
        <f>IF((G409+I409)&lt;15,(G409+I409+2.95), ((G409+I409)*1.2))</f>
        <v>27.597239999999996</v>
      </c>
    </row>
    <row r="410" spans="1:24">
      <c r="A410">
        <v>460</v>
      </c>
      <c r="B410" s="12">
        <v>45802</v>
      </c>
      <c r="D410" t="s">
        <v>809</v>
      </c>
      <c r="E410" t="s">
        <v>810</v>
      </c>
      <c r="G410" s="3">
        <f>4.35+4.18+4.29+4.35+4.35+4.18+4.29+4.74+4.35+4.29+4.35+4.35+4.35+4.55+4.74+4.35+0.45+4.29+4.35+0.45+(24*3.5)</f>
        <v>163.60000000000002</v>
      </c>
      <c r="H410" s="2">
        <f>G410*0.3</f>
        <v>49.080000000000005</v>
      </c>
      <c r="I410" s="8">
        <f>G410*0.15</f>
        <v>24.540000000000003</v>
      </c>
      <c r="J410" s="3">
        <f>G410+H410</f>
        <v>212.68000000000004</v>
      </c>
      <c r="K410" s="3">
        <f>J410*1.13</f>
        <v>240.32840000000002</v>
      </c>
      <c r="L410" s="25">
        <v>0</v>
      </c>
      <c r="O410" s="3">
        <v>0</v>
      </c>
      <c r="P410" s="3">
        <v>0</v>
      </c>
      <c r="Q410" s="3">
        <f>P410-G410</f>
        <v>-163.60000000000002</v>
      </c>
      <c r="R410" s="10">
        <v>0</v>
      </c>
      <c r="S410" s="13">
        <v>45802</v>
      </c>
      <c r="T410" s="7">
        <f ca="1">IF(S410&lt;&gt;"",S410-B410,TODAY()-B410)</f>
        <v>0</v>
      </c>
      <c r="V410" s="3">
        <f>IF((G410+H410)&lt;15,(G410+H410+2.95), ((G410+H410)*1.2))</f>
        <v>255.21600000000004</v>
      </c>
      <c r="W410" s="3">
        <f>IF((G410+I410)&lt;15,(G410+I410+2.95), ((G410+I410)*1.2))</f>
        <v>225.768</v>
      </c>
      <c r="X410" t="s">
        <v>817</v>
      </c>
    </row>
    <row r="411" spans="1:24">
      <c r="A411">
        <v>461</v>
      </c>
      <c r="B411" s="12">
        <v>45803</v>
      </c>
      <c r="D411" t="s">
        <v>811</v>
      </c>
      <c r="E411" t="s">
        <v>812</v>
      </c>
      <c r="F411" t="s">
        <v>226</v>
      </c>
      <c r="G411" s="3">
        <v>174.24</v>
      </c>
      <c r="H411" s="2">
        <f>G411*0.3</f>
        <v>52.271999999999998</v>
      </c>
      <c r="I411" s="8">
        <f>G411*0.15</f>
        <v>26.135999999999999</v>
      </c>
      <c r="J411" s="3">
        <f>G411+H411</f>
        <v>226.512</v>
      </c>
      <c r="K411" s="3">
        <f>J411*1.13</f>
        <v>255.95855999999998</v>
      </c>
      <c r="L411" s="25">
        <v>0</v>
      </c>
      <c r="O411" s="3">
        <v>410</v>
      </c>
      <c r="P411" s="3">
        <v>364.07</v>
      </c>
      <c r="Q411" s="3">
        <f>P411-G411</f>
        <v>189.82999999999998</v>
      </c>
      <c r="R411" s="10">
        <f>Q411/O411</f>
        <v>0.46299999999999997</v>
      </c>
      <c r="S411" s="13">
        <v>45809</v>
      </c>
      <c r="T411" s="7">
        <f ca="1">IF(S411&lt;&gt;"",S411-B411,TODAY()-B411)</f>
        <v>6</v>
      </c>
      <c r="V411" s="3">
        <f>IF((G411+H411)&lt;15,(G411+H411+2.95), ((G411+H411)*1.2))</f>
        <v>271.81439999999998</v>
      </c>
      <c r="W411" s="3">
        <f>IF((G411+I411)&lt;15,(G411+I411+2.95), ((G411+I411)*1.2))</f>
        <v>240.4512</v>
      </c>
    </row>
    <row r="412" spans="1:24" hidden="1">
      <c r="A412">
        <v>462</v>
      </c>
      <c r="B412" s="12">
        <v>45803</v>
      </c>
      <c r="D412" t="s">
        <v>814</v>
      </c>
      <c r="E412" t="s">
        <v>813</v>
      </c>
      <c r="F412" t="s">
        <v>226</v>
      </c>
      <c r="G412" s="3">
        <v>179.69</v>
      </c>
      <c r="H412" s="3">
        <f>G412*0.4</f>
        <v>71.876000000000005</v>
      </c>
      <c r="I412" s="8">
        <f>G412*0.15</f>
        <v>26.953499999999998</v>
      </c>
      <c r="J412" s="3">
        <f>G412+H412</f>
        <v>251.566</v>
      </c>
      <c r="K412" s="3">
        <f>J412*1.13</f>
        <v>284.26957999999996</v>
      </c>
      <c r="L412" s="25">
        <v>1</v>
      </c>
      <c r="Q412" s="3">
        <f>P412-G412</f>
        <v>-179.69</v>
      </c>
      <c r="R412" s="10" t="e">
        <f>Q412/O412</f>
        <v>#DIV/0!</v>
      </c>
      <c r="T412" s="7">
        <f ca="1">IF(S412&lt;&gt;"",S412-B412,TODAY()-B412)</f>
        <v>63</v>
      </c>
      <c r="V412" s="3">
        <f>IF((G412+H412)&lt;15,(G412+H412+2.95), ((G412+H412)*1.2))</f>
        <v>301.87919999999997</v>
      </c>
      <c r="W412" s="3">
        <f>IF((G412+I412)&lt;15,(G412+I412+2.95), ((G412+I412)*1.2))</f>
        <v>247.97219999999999</v>
      </c>
    </row>
    <row r="413" spans="1:24">
      <c r="A413">
        <v>463</v>
      </c>
      <c r="B413" s="12">
        <v>45803</v>
      </c>
      <c r="D413" t="s">
        <v>55</v>
      </c>
      <c r="E413" t="s">
        <v>815</v>
      </c>
      <c r="F413" t="s">
        <v>739</v>
      </c>
      <c r="G413" s="3">
        <f>26.14+62.3</f>
        <v>88.44</v>
      </c>
      <c r="H413" s="2">
        <f>G413*0.3</f>
        <v>26.532</v>
      </c>
      <c r="I413" s="8">
        <f>G413*0.15</f>
        <v>13.266</v>
      </c>
      <c r="J413" s="3">
        <f>G413+H413</f>
        <v>114.97199999999999</v>
      </c>
      <c r="K413" s="3">
        <f>J413*1.13</f>
        <v>129.91835999999998</v>
      </c>
      <c r="L413" s="25">
        <v>0</v>
      </c>
      <c r="O413" s="3">
        <v>115</v>
      </c>
      <c r="P413" s="3">
        <v>101.89</v>
      </c>
      <c r="Q413" s="3">
        <f>P413-G413</f>
        <v>13.450000000000003</v>
      </c>
      <c r="R413" s="10">
        <f>Q413/O413</f>
        <v>0.11695652173913046</v>
      </c>
      <c r="S413" s="13">
        <v>45822</v>
      </c>
      <c r="T413" s="7">
        <f ca="1">IF(S413&lt;&gt;"",S413-B413,TODAY()-B413)</f>
        <v>19</v>
      </c>
      <c r="V413" s="3">
        <f>IF((G413+H413)&lt;15,(G413+H413+2.95), ((G413+H413)*1.2))</f>
        <v>137.96639999999999</v>
      </c>
      <c r="W413" s="3">
        <f>IF((G413+I413)&lt;15,(G413+I413+2.95), ((G413+I413)*1.2))</f>
        <v>122.0472</v>
      </c>
      <c r="X413" t="s">
        <v>816</v>
      </c>
    </row>
    <row r="414" spans="1:24">
      <c r="A414">
        <v>465</v>
      </c>
      <c r="B414" s="12">
        <v>45802</v>
      </c>
      <c r="D414" t="s">
        <v>594</v>
      </c>
      <c r="E414" t="s">
        <v>819</v>
      </c>
      <c r="F414" t="s">
        <v>226</v>
      </c>
      <c r="G414" s="3">
        <v>202.78</v>
      </c>
      <c r="H414" s="3">
        <f>G414*0.4</f>
        <v>81.112000000000009</v>
      </c>
      <c r="I414" s="8">
        <f>G414*0.15</f>
        <v>30.416999999999998</v>
      </c>
      <c r="J414" s="3">
        <f>G414+H414</f>
        <v>283.892</v>
      </c>
      <c r="K414" s="3">
        <f>J414*1.13</f>
        <v>320.79795999999999</v>
      </c>
      <c r="L414" s="25">
        <v>0</v>
      </c>
      <c r="O414" s="3">
        <v>280</v>
      </c>
      <c r="P414" s="3">
        <v>248.3</v>
      </c>
      <c r="Q414" s="3">
        <f>P414-G414</f>
        <v>45.52000000000001</v>
      </c>
      <c r="R414" s="10">
        <f>Q414/O414</f>
        <v>0.16257142857142862</v>
      </c>
      <c r="S414" s="13">
        <v>45849</v>
      </c>
      <c r="T414" s="7">
        <f ca="1">IF(S414&lt;&gt;"",S414-B414,TODAY()-B414)</f>
        <v>47</v>
      </c>
      <c r="V414" s="3">
        <f>IF((G414+H414)&lt;15,(G414+H414+2.95), ((G414+H414)*1.2))</f>
        <v>340.67039999999997</v>
      </c>
      <c r="W414" s="3">
        <f>IF((G414+I414)&lt;15,(G414+I414+2.95), ((G414+I414)*1.2))</f>
        <v>279.83639999999997</v>
      </c>
    </row>
    <row r="415" spans="1:24" hidden="1">
      <c r="A415">
        <v>466</v>
      </c>
      <c r="B415" s="12">
        <v>46167</v>
      </c>
      <c r="D415" t="s">
        <v>820</v>
      </c>
      <c r="E415" t="s">
        <v>821</v>
      </c>
      <c r="G415" s="3">
        <v>90.76</v>
      </c>
      <c r="H415" s="2">
        <f>G415*0.3</f>
        <v>27.228000000000002</v>
      </c>
      <c r="I415" s="8">
        <f>G415*0.15</f>
        <v>13.614000000000001</v>
      </c>
      <c r="J415" s="3">
        <f>G415+H415</f>
        <v>117.988</v>
      </c>
      <c r="K415" s="3">
        <f>J415*1.13</f>
        <v>133.32643999999999</v>
      </c>
      <c r="L415" s="25">
        <v>0</v>
      </c>
      <c r="Q415" s="3">
        <f>P415-G415</f>
        <v>-90.76</v>
      </c>
      <c r="R415" s="10" t="e">
        <f>Q415/O415</f>
        <v>#DIV/0!</v>
      </c>
      <c r="T415" s="7">
        <f ca="1">IF(S415&lt;&gt;"",S415-B415,TODAY()-B415)</f>
        <v>-301</v>
      </c>
      <c r="V415" s="3">
        <f>IF((G415+H415)&lt;15,(G415+H415+2.95), ((G415+H415)*1.2))</f>
        <v>141.5856</v>
      </c>
      <c r="W415" s="3">
        <f>IF((G415+I415)&lt;15,(G415+I415+2.95), ((G415+I415)*1.2))</f>
        <v>125.2488</v>
      </c>
    </row>
    <row r="416" spans="1:24">
      <c r="A416">
        <v>467</v>
      </c>
      <c r="B416" s="12">
        <v>45802</v>
      </c>
      <c r="D416" t="s">
        <v>822</v>
      </c>
      <c r="E416" t="s">
        <v>823</v>
      </c>
      <c r="F416" t="s">
        <v>224</v>
      </c>
      <c r="G416" s="3">
        <v>48.25</v>
      </c>
      <c r="H416" s="2">
        <f>G416*0.3</f>
        <v>14.475</v>
      </c>
      <c r="I416" s="8">
        <f>G416*0.15</f>
        <v>7.2374999999999998</v>
      </c>
      <c r="J416" s="3">
        <f>G416+H416</f>
        <v>62.725000000000001</v>
      </c>
      <c r="K416" s="3">
        <f>J416*1.13</f>
        <v>70.879249999999999</v>
      </c>
      <c r="L416" s="25">
        <v>0</v>
      </c>
      <c r="O416" s="3">
        <v>19</v>
      </c>
      <c r="P416" s="3">
        <v>16.36</v>
      </c>
      <c r="Q416" s="3">
        <f>P416-G416</f>
        <v>-31.89</v>
      </c>
      <c r="R416" s="10">
        <f>Q416/O416</f>
        <v>-1.678421052631579</v>
      </c>
      <c r="S416" s="13">
        <v>45814</v>
      </c>
      <c r="T416" s="7">
        <f ca="1">IF(S416&lt;&gt;"",S416-B416,TODAY()-B416)</f>
        <v>12</v>
      </c>
      <c r="V416" s="3">
        <f>IF((G416+H416)&lt;15,(G416+H416+2.95), ((G416+H416)*1.2))</f>
        <v>75.27</v>
      </c>
      <c r="W416" s="3">
        <f>IF((G416+I416)&lt;15,(G416+I416+2.95), ((G416+I416)*1.2))</f>
        <v>66.584999999999994</v>
      </c>
    </row>
    <row r="417" spans="1:23" hidden="1">
      <c r="A417">
        <v>468</v>
      </c>
      <c r="B417" s="12">
        <v>45802</v>
      </c>
      <c r="D417" t="s">
        <v>822</v>
      </c>
      <c r="E417" t="s">
        <v>824</v>
      </c>
      <c r="F417" t="s">
        <v>224</v>
      </c>
      <c r="G417" s="3">
        <v>40.19</v>
      </c>
      <c r="H417" s="3">
        <f>G417*0.4</f>
        <v>16.076000000000001</v>
      </c>
      <c r="I417" s="8">
        <f>G417*0.15</f>
        <v>6.0284999999999993</v>
      </c>
      <c r="J417" s="3">
        <f>G417+H417</f>
        <v>56.265999999999998</v>
      </c>
      <c r="K417" s="3">
        <f>J417*1.13</f>
        <v>63.580579999999991</v>
      </c>
      <c r="L417" s="25">
        <v>1</v>
      </c>
      <c r="Q417" s="3">
        <f>P417-G417</f>
        <v>-40.19</v>
      </c>
      <c r="R417" s="10" t="e">
        <f>Q417/O417</f>
        <v>#DIV/0!</v>
      </c>
      <c r="T417" s="7">
        <f ca="1">IF(S417&lt;&gt;"",S417-B417,TODAY()-B417)</f>
        <v>64</v>
      </c>
      <c r="V417" s="3">
        <f>IF((G417+H417)&lt;15,(G417+H417+2.95), ((G417+H417)*1.2))</f>
        <v>67.519199999999998</v>
      </c>
      <c r="W417" s="3">
        <f>IF((G417+I417)&lt;15,(G417+I417+2.95), ((G417+I417)*1.2))</f>
        <v>55.462199999999996</v>
      </c>
    </row>
    <row r="418" spans="1:23" hidden="1">
      <c r="A418">
        <v>469</v>
      </c>
      <c r="B418" s="12">
        <v>45802</v>
      </c>
      <c r="D418" t="s">
        <v>588</v>
      </c>
      <c r="E418" t="s">
        <v>825</v>
      </c>
      <c r="F418" t="s">
        <v>224</v>
      </c>
      <c r="G418" s="3">
        <v>494.01</v>
      </c>
      <c r="H418" s="3">
        <f>G418*0.4</f>
        <v>197.60400000000001</v>
      </c>
      <c r="I418" s="8">
        <f>G418*0.15</f>
        <v>74.101500000000001</v>
      </c>
      <c r="J418" s="3">
        <f>G418+H418</f>
        <v>691.61400000000003</v>
      </c>
      <c r="K418" s="3">
        <f>J418*1.13</f>
        <v>781.52382</v>
      </c>
      <c r="L418" s="25">
        <v>1</v>
      </c>
      <c r="Q418" s="3">
        <f>P418-G418</f>
        <v>-494.01</v>
      </c>
      <c r="R418" s="10" t="e">
        <f>Q418/O418</f>
        <v>#DIV/0!</v>
      </c>
      <c r="T418" s="7">
        <f ca="1">IF(S418&lt;&gt;"",S418-B418,TODAY()-B418)</f>
        <v>64</v>
      </c>
      <c r="V418" s="3">
        <f>IF((G418+H418)&lt;15,(G418+H418+2.95), ((G418+H418)*1.2))</f>
        <v>829.93680000000006</v>
      </c>
      <c r="W418" s="3">
        <f>IF((G418+I418)&lt;15,(G418+I418+2.95), ((G418+I418)*1.2))</f>
        <v>681.73379999999997</v>
      </c>
    </row>
    <row r="419" spans="1:23" hidden="1">
      <c r="A419">
        <v>470</v>
      </c>
      <c r="B419" s="12">
        <v>45802</v>
      </c>
      <c r="D419" t="s">
        <v>533</v>
      </c>
      <c r="E419" t="s">
        <v>826</v>
      </c>
      <c r="F419" t="s">
        <v>226</v>
      </c>
      <c r="G419" s="3">
        <v>56.84</v>
      </c>
      <c r="H419" s="3">
        <f>G419*0.4</f>
        <v>22.736000000000004</v>
      </c>
      <c r="I419" s="8">
        <f>G419*0.15</f>
        <v>8.5259999999999998</v>
      </c>
      <c r="J419" s="3">
        <f>G419+H419</f>
        <v>79.576000000000008</v>
      </c>
      <c r="K419" s="3">
        <f>J419*1.13</f>
        <v>89.920879999999997</v>
      </c>
      <c r="L419" s="25">
        <v>1</v>
      </c>
      <c r="Q419" s="3">
        <f>P419-G419</f>
        <v>-56.84</v>
      </c>
      <c r="R419" s="10" t="e">
        <f>Q419/O419</f>
        <v>#DIV/0!</v>
      </c>
      <c r="T419" s="7">
        <f ca="1">IF(S419&lt;&gt;"",S419-B419,TODAY()-B419)</f>
        <v>64</v>
      </c>
      <c r="V419" s="3">
        <f>IF((G419+H419)&lt;15,(G419+H419+2.95), ((G419+H419)*1.2))</f>
        <v>95.491200000000006</v>
      </c>
      <c r="W419" s="3">
        <f>IF((G419+I419)&lt;15,(G419+I419+2.95), ((G419+I419)*1.2))</f>
        <v>78.4392</v>
      </c>
    </row>
    <row r="420" spans="1:23" hidden="1">
      <c r="A420">
        <v>471</v>
      </c>
      <c r="B420" s="12">
        <v>45801</v>
      </c>
      <c r="D420" t="s">
        <v>822</v>
      </c>
      <c r="E420" t="s">
        <v>827</v>
      </c>
      <c r="G420" s="3">
        <v>9.8000000000000007</v>
      </c>
      <c r="H420" s="2">
        <f>G420*0.3</f>
        <v>2.94</v>
      </c>
      <c r="I420" s="8">
        <f>G420*0.15</f>
        <v>1.47</v>
      </c>
      <c r="J420" s="3">
        <f>G420+H420</f>
        <v>12.74</v>
      </c>
      <c r="K420" s="3">
        <f>J420*1.13</f>
        <v>14.396199999999999</v>
      </c>
      <c r="L420" s="25">
        <v>0</v>
      </c>
      <c r="Q420" s="3">
        <f>P420-G420</f>
        <v>-9.8000000000000007</v>
      </c>
      <c r="R420" s="10" t="e">
        <f>Q420/O420</f>
        <v>#DIV/0!</v>
      </c>
      <c r="T420" s="7">
        <f ca="1">IF(S420&lt;&gt;"",S420-B420,TODAY()-B420)</f>
        <v>65</v>
      </c>
      <c r="V420" s="3">
        <f>IF((G420+H420)&lt;15,(G420+H420+2.95), ((G420+H420)*1.2))</f>
        <v>15.690000000000001</v>
      </c>
      <c r="W420" s="3">
        <f>IF((G420+I420)&lt;15,(G420+I420+2.95), ((G420+I420)*1.2))</f>
        <v>14.220000000000002</v>
      </c>
    </row>
    <row r="421" spans="1:23">
      <c r="A421">
        <v>472</v>
      </c>
      <c r="B421" s="12">
        <v>45801</v>
      </c>
      <c r="D421" t="s">
        <v>822</v>
      </c>
      <c r="E421" t="s">
        <v>828</v>
      </c>
      <c r="F421" t="s">
        <v>224</v>
      </c>
      <c r="G421" s="3">
        <v>46.72</v>
      </c>
      <c r="H421" s="2">
        <f>G421*0.3</f>
        <v>14.016</v>
      </c>
      <c r="I421" s="8">
        <f>G421*0.15</f>
        <v>7.008</v>
      </c>
      <c r="J421" s="3">
        <f>G421+H421</f>
        <v>60.735999999999997</v>
      </c>
      <c r="K421" s="3">
        <f>J421*1.13</f>
        <v>68.631679999999989</v>
      </c>
      <c r="L421" s="25">
        <v>0</v>
      </c>
      <c r="O421" s="3">
        <v>51</v>
      </c>
      <c r="P421" s="3">
        <v>44.79</v>
      </c>
      <c r="Q421" s="3">
        <f>P421-G421</f>
        <v>-1.9299999999999997</v>
      </c>
      <c r="R421" s="10">
        <f>Q421/O421</f>
        <v>-3.7843137254901953E-2</v>
      </c>
      <c r="S421" s="13">
        <v>45814</v>
      </c>
      <c r="T421" s="7">
        <f ca="1">IF(S421&lt;&gt;"",S421-B421,TODAY()-B421)</f>
        <v>13</v>
      </c>
      <c r="V421" s="3">
        <f>IF((G421+H421)&lt;15,(G421+H421+2.95), ((G421+H421)*1.2))</f>
        <v>72.883199999999988</v>
      </c>
      <c r="W421" s="3">
        <f>IF((G421+I421)&lt;15,(G421+I421+2.95), ((G421+I421)*1.2))</f>
        <v>64.473600000000005</v>
      </c>
    </row>
    <row r="422" spans="1:23" hidden="1">
      <c r="A422">
        <v>473</v>
      </c>
      <c r="B422" s="12">
        <v>45801</v>
      </c>
      <c r="D422" t="s">
        <v>822</v>
      </c>
      <c r="E422" t="s">
        <v>829</v>
      </c>
      <c r="F422" t="s">
        <v>224</v>
      </c>
      <c r="G422" s="3">
        <v>49.08</v>
      </c>
      <c r="H422" s="3">
        <f>G422*0.4</f>
        <v>19.632000000000001</v>
      </c>
      <c r="I422" s="8">
        <f>G422*0.15</f>
        <v>7.3619999999999992</v>
      </c>
      <c r="J422" s="3">
        <f>G422+H422</f>
        <v>68.712000000000003</v>
      </c>
      <c r="K422" s="3">
        <f>J422*1.13</f>
        <v>77.644559999999998</v>
      </c>
      <c r="L422" s="25">
        <v>1</v>
      </c>
      <c r="Q422" s="3">
        <f>P422-G422</f>
        <v>-49.08</v>
      </c>
      <c r="R422" s="10" t="e">
        <f>Q422/O422</f>
        <v>#DIV/0!</v>
      </c>
      <c r="T422" s="7">
        <f ca="1">IF(S422&lt;&gt;"",S422-B422,TODAY()-B422)</f>
        <v>65</v>
      </c>
      <c r="V422" s="3">
        <f>IF((G422+H422)&lt;15,(G422+H422+2.95), ((G422+H422)*1.2))</f>
        <v>82.454400000000007</v>
      </c>
      <c r="W422" s="3">
        <f>IF((G422+I422)&lt;15,(G422+I422+2.95), ((G422+I422)*1.2))</f>
        <v>67.730400000000003</v>
      </c>
    </row>
    <row r="423" spans="1:23" hidden="1">
      <c r="A423">
        <v>474</v>
      </c>
      <c r="B423" s="12">
        <v>45800</v>
      </c>
      <c r="D423" t="s">
        <v>830</v>
      </c>
      <c r="E423" t="s">
        <v>831</v>
      </c>
      <c r="F423" t="s">
        <v>226</v>
      </c>
      <c r="G423" s="3">
        <v>316.04000000000002</v>
      </c>
      <c r="H423" s="3">
        <f>G423*0.4</f>
        <v>126.41600000000001</v>
      </c>
      <c r="I423" s="8">
        <f>G423*0.15</f>
        <v>47.405999999999999</v>
      </c>
      <c r="J423" s="3">
        <f>G423+H423</f>
        <v>442.45600000000002</v>
      </c>
      <c r="K423" s="3">
        <f>J423*1.13</f>
        <v>499.97528</v>
      </c>
      <c r="L423" s="25">
        <v>1</v>
      </c>
      <c r="Q423" s="3">
        <f>P423-G423</f>
        <v>-316.04000000000002</v>
      </c>
      <c r="R423" s="10" t="e">
        <f>Q423/O423</f>
        <v>#DIV/0!</v>
      </c>
      <c r="T423" s="7">
        <f ca="1">IF(S423&lt;&gt;"",S423-B423,TODAY()-B423)</f>
        <v>66</v>
      </c>
      <c r="V423" s="3">
        <f>IF((G423+H423)&lt;15,(G423+H423+2.95), ((G423+H423)*1.2))</f>
        <v>530.94719999999995</v>
      </c>
      <c r="W423" s="3">
        <f>IF((G423+I423)&lt;15,(G423+I423+2.95), ((G423+I423)*1.2))</f>
        <v>436.1352</v>
      </c>
    </row>
    <row r="424" spans="1:23">
      <c r="A424">
        <v>475</v>
      </c>
      <c r="B424" s="12">
        <v>45800</v>
      </c>
      <c r="D424" t="s">
        <v>19</v>
      </c>
      <c r="E424" t="s">
        <v>832</v>
      </c>
      <c r="F424" t="s">
        <v>833</v>
      </c>
      <c r="G424" s="3">
        <v>152.18</v>
      </c>
      <c r="H424" s="2">
        <f>G424*0.3</f>
        <v>45.654000000000003</v>
      </c>
      <c r="I424" s="8">
        <f>G424*0.15</f>
        <v>22.827000000000002</v>
      </c>
      <c r="J424" s="3">
        <f>G424+H424</f>
        <v>197.834</v>
      </c>
      <c r="K424" s="3">
        <f>J424*1.13</f>
        <v>223.55241999999998</v>
      </c>
      <c r="L424" s="25">
        <v>0</v>
      </c>
      <c r="O424" s="3">
        <v>339.15</v>
      </c>
      <c r="P424" s="3">
        <v>301.24</v>
      </c>
      <c r="Q424" s="3">
        <f>P424-G424</f>
        <v>149.06</v>
      </c>
      <c r="R424" s="10">
        <f>Q424/O424</f>
        <v>0.43951054105852871</v>
      </c>
      <c r="S424" s="13">
        <v>45807</v>
      </c>
      <c r="T424" s="7">
        <f ca="1">IF(S424&lt;&gt;"",S424-B424,TODAY()-B424)</f>
        <v>7</v>
      </c>
      <c r="V424" s="3">
        <f>IF((G424+H424)&lt;15,(G424+H424+2.95), ((G424+H424)*1.2))</f>
        <v>237.4008</v>
      </c>
      <c r="W424" s="3">
        <f>IF((G424+I424)&lt;15,(G424+I424+2.95), ((G424+I424)*1.2))</f>
        <v>210.00839999999999</v>
      </c>
    </row>
    <row r="425" spans="1:23" hidden="1">
      <c r="A425">
        <v>476</v>
      </c>
      <c r="B425" s="12">
        <v>45800</v>
      </c>
      <c r="D425" t="s">
        <v>19</v>
      </c>
      <c r="E425" t="s">
        <v>835</v>
      </c>
      <c r="F425" t="s">
        <v>309</v>
      </c>
      <c r="G425" s="3">
        <v>179.1</v>
      </c>
      <c r="H425" s="3">
        <f>G425*0.4</f>
        <v>71.64</v>
      </c>
      <c r="I425" s="8">
        <f>G425*0.15</f>
        <v>26.864999999999998</v>
      </c>
      <c r="J425" s="3">
        <f>G425+H425</f>
        <v>250.74</v>
      </c>
      <c r="K425" s="3">
        <f>J425*1.13</f>
        <v>283.33619999999996</v>
      </c>
      <c r="L425" s="25">
        <v>1</v>
      </c>
      <c r="Q425" s="3">
        <f>P425-G425</f>
        <v>-179.1</v>
      </c>
      <c r="R425" s="10" t="e">
        <f>Q425/O425</f>
        <v>#DIV/0!</v>
      </c>
      <c r="T425" s="7">
        <f ca="1">IF(S425&lt;&gt;"",S425-B425,TODAY()-B425)</f>
        <v>66</v>
      </c>
      <c r="V425" s="3">
        <f>IF((G425+H425)&lt;15,(G425+H425+2.95), ((G425+H425)*1.2))</f>
        <v>300.88799999999998</v>
      </c>
      <c r="W425" s="3">
        <f>IF((G425+I425)&lt;15,(G425+I425+2.95), ((G425+I425)*1.2))</f>
        <v>247.15799999999999</v>
      </c>
    </row>
    <row r="426" spans="1:23" hidden="1">
      <c r="A426">
        <v>477</v>
      </c>
      <c r="B426" s="12">
        <v>45800</v>
      </c>
      <c r="D426" t="s">
        <v>19</v>
      </c>
      <c r="E426" t="s">
        <v>884</v>
      </c>
      <c r="F426" t="s">
        <v>224</v>
      </c>
      <c r="G426" s="3">
        <v>169.02</v>
      </c>
      <c r="H426" s="3">
        <f>G426*0.4</f>
        <v>67.608000000000004</v>
      </c>
      <c r="I426" s="8">
        <f>G426*0.15</f>
        <v>25.353000000000002</v>
      </c>
      <c r="J426" s="3">
        <f>G426+H426</f>
        <v>236.62800000000001</v>
      </c>
      <c r="K426" s="3">
        <f>J426*1.13</f>
        <v>267.38963999999999</v>
      </c>
      <c r="L426" s="25">
        <v>1</v>
      </c>
      <c r="Q426" s="3">
        <f>P426-G426</f>
        <v>-169.02</v>
      </c>
      <c r="R426" s="10" t="e">
        <f>Q426/O426</f>
        <v>#DIV/0!</v>
      </c>
      <c r="T426" s="7">
        <f ca="1">IF(S426&lt;&gt;"",S426-B426,TODAY()-B426)</f>
        <v>66</v>
      </c>
      <c r="V426" s="3">
        <f>IF((G426+H426)&lt;15,(G426+H426+2.95), ((G426+H426)*1.2))</f>
        <v>283.95359999999999</v>
      </c>
      <c r="W426" s="3">
        <f>IF((G426+I426)&lt;15,(G426+I426+2.95), ((G426+I426)*1.2))</f>
        <v>233.24760000000001</v>
      </c>
    </row>
    <row r="427" spans="1:23" hidden="1">
      <c r="A427">
        <v>478</v>
      </c>
      <c r="B427" s="12">
        <v>45800</v>
      </c>
      <c r="D427" t="s">
        <v>19</v>
      </c>
      <c r="E427" t="s">
        <v>836</v>
      </c>
      <c r="F427" t="s">
        <v>224</v>
      </c>
      <c r="G427" s="3">
        <v>170.11</v>
      </c>
      <c r="H427" s="3">
        <f>G427*0.4</f>
        <v>68.044000000000011</v>
      </c>
      <c r="I427" s="8">
        <f>G427*0.15</f>
        <v>25.516500000000001</v>
      </c>
      <c r="J427" s="3">
        <f>G427+H427</f>
        <v>238.15400000000002</v>
      </c>
      <c r="K427" s="3">
        <f>J427*1.13</f>
        <v>269.11401999999998</v>
      </c>
      <c r="L427" s="25">
        <v>1</v>
      </c>
      <c r="Q427" s="3">
        <f>P427-G427</f>
        <v>-170.11</v>
      </c>
      <c r="R427" s="10" t="e">
        <f>Q427/O427</f>
        <v>#DIV/0!</v>
      </c>
      <c r="T427" s="7">
        <f ca="1">IF(S427&lt;&gt;"",S427-B427,TODAY()-B427)</f>
        <v>66</v>
      </c>
      <c r="V427" s="3">
        <f>IF((G427+H427)&lt;15,(G427+H427+2.95), ((G427+H427)*1.2))</f>
        <v>285.78480000000002</v>
      </c>
      <c r="W427" s="3">
        <f>IF((G427+I427)&lt;15,(G427+I427+2.95), ((G427+I427)*1.2))</f>
        <v>234.7518</v>
      </c>
    </row>
    <row r="428" spans="1:23">
      <c r="A428">
        <v>479</v>
      </c>
      <c r="B428" s="12">
        <v>45800</v>
      </c>
      <c r="D428" t="s">
        <v>19</v>
      </c>
      <c r="E428" t="s">
        <v>837</v>
      </c>
      <c r="F428" t="s">
        <v>838</v>
      </c>
      <c r="G428" s="3">
        <v>300.56</v>
      </c>
      <c r="H428" s="2">
        <f>G428*0.3</f>
        <v>90.167999999999992</v>
      </c>
      <c r="I428" s="8">
        <f>G428*0.15</f>
        <v>45.083999999999996</v>
      </c>
      <c r="J428" s="3">
        <f>G428+H428</f>
        <v>390.72800000000001</v>
      </c>
      <c r="K428" s="3">
        <f>J428*1.13</f>
        <v>441.52263999999997</v>
      </c>
      <c r="L428" s="25">
        <v>0</v>
      </c>
      <c r="O428" s="3">
        <v>509.15</v>
      </c>
      <c r="P428" s="3">
        <v>452.2</v>
      </c>
      <c r="Q428" s="3">
        <f>P428-G428</f>
        <v>151.63999999999999</v>
      </c>
      <c r="R428" s="10">
        <f>Q428/O428</f>
        <v>0.29782971619365606</v>
      </c>
      <c r="S428" s="13">
        <v>45807</v>
      </c>
      <c r="T428" s="7">
        <f ca="1">IF(S428&lt;&gt;"",S428-B428,TODAY()-B428)</f>
        <v>7</v>
      </c>
      <c r="V428" s="3">
        <f>IF((G428+H428)&lt;15,(G428+H428+2.95), ((G428+H428)*1.2))</f>
        <v>468.87360000000001</v>
      </c>
      <c r="W428" s="3">
        <f>IF((G428+I428)&lt;15,(G428+I428+2.95), ((G428+I428)*1.2))</f>
        <v>414.77280000000002</v>
      </c>
    </row>
    <row r="429" spans="1:23" hidden="1">
      <c r="A429">
        <v>480</v>
      </c>
      <c r="B429" s="12">
        <v>45800</v>
      </c>
      <c r="D429" t="s">
        <v>19</v>
      </c>
      <c r="E429" t="s">
        <v>839</v>
      </c>
      <c r="F429" t="s">
        <v>226</v>
      </c>
      <c r="G429" s="3">
        <v>106.95</v>
      </c>
      <c r="H429" s="3">
        <f>G429*0.4</f>
        <v>42.78</v>
      </c>
      <c r="I429" s="8">
        <f>G429*0.15</f>
        <v>16.0425</v>
      </c>
      <c r="J429" s="3">
        <f>G429+H429</f>
        <v>149.73000000000002</v>
      </c>
      <c r="K429" s="3">
        <f>J429*1.13</f>
        <v>169.19490000000002</v>
      </c>
      <c r="L429" s="25">
        <v>1</v>
      </c>
      <c r="Q429" s="3">
        <f>P429-G429</f>
        <v>-106.95</v>
      </c>
      <c r="R429" s="10" t="e">
        <f>Q429/O429</f>
        <v>#DIV/0!</v>
      </c>
      <c r="T429" s="7">
        <f ca="1">IF(S429&lt;&gt;"",S429-B429,TODAY()-B429)</f>
        <v>66</v>
      </c>
      <c r="V429" s="3">
        <f>IF((G429+H429)&lt;15,(G429+H429+2.95), ((G429+H429)*1.2))</f>
        <v>179.67600000000002</v>
      </c>
      <c r="W429" s="3">
        <f>IF((G429+I429)&lt;15,(G429+I429+2.95), ((G429+I429)*1.2))</f>
        <v>147.59100000000001</v>
      </c>
    </row>
    <row r="430" spans="1:23" hidden="1">
      <c r="A430">
        <v>481</v>
      </c>
      <c r="B430" s="12">
        <v>45800</v>
      </c>
      <c r="D430" t="s">
        <v>19</v>
      </c>
      <c r="E430" t="s">
        <v>840</v>
      </c>
      <c r="F430" t="s">
        <v>309</v>
      </c>
      <c r="G430" s="3">
        <v>257.23</v>
      </c>
      <c r="H430" s="3">
        <f>G430*0.4</f>
        <v>102.89200000000001</v>
      </c>
      <c r="I430" s="8">
        <f>G430*0.15</f>
        <v>38.584499999999998</v>
      </c>
      <c r="J430" s="3">
        <f>G430+H430</f>
        <v>360.12200000000001</v>
      </c>
      <c r="K430" s="3">
        <f>J430*1.13</f>
        <v>406.93786</v>
      </c>
      <c r="L430" s="25">
        <v>1</v>
      </c>
      <c r="Q430" s="3">
        <f>P430-G430</f>
        <v>-257.23</v>
      </c>
      <c r="R430" s="10" t="e">
        <f>Q430/O430</f>
        <v>#DIV/0!</v>
      </c>
      <c r="T430" s="7">
        <f ca="1">IF(S430&lt;&gt;"",S430-B430,TODAY()-B430)</f>
        <v>66</v>
      </c>
      <c r="V430" s="3">
        <f>IF((G430+H430)&lt;15,(G430+H430+2.95), ((G430+H430)*1.2))</f>
        <v>432.14640000000003</v>
      </c>
      <c r="W430" s="3">
        <f>IF((G430+I430)&lt;15,(G430+I430+2.95), ((G430+I430)*1.2))</f>
        <v>354.97739999999999</v>
      </c>
    </row>
    <row r="431" spans="1:23">
      <c r="A431">
        <v>482</v>
      </c>
      <c r="B431" s="12">
        <v>45800</v>
      </c>
      <c r="D431" t="s">
        <v>19</v>
      </c>
      <c r="E431" t="s">
        <v>883</v>
      </c>
      <c r="F431" t="s">
        <v>224</v>
      </c>
      <c r="G431" s="3">
        <v>140</v>
      </c>
      <c r="H431" s="2">
        <f>G431*0.3</f>
        <v>42</v>
      </c>
      <c r="I431" s="8">
        <f>G431*0.15</f>
        <v>21</v>
      </c>
      <c r="J431" s="3">
        <f>G431+H431</f>
        <v>182</v>
      </c>
      <c r="K431" s="3">
        <f>J431*1.13</f>
        <v>205.65999999999997</v>
      </c>
      <c r="L431" s="25">
        <v>0</v>
      </c>
      <c r="O431" s="3">
        <v>261.75</v>
      </c>
      <c r="P431" s="3">
        <v>232.46</v>
      </c>
      <c r="Q431" s="3">
        <f>P431-G431</f>
        <v>92.460000000000008</v>
      </c>
      <c r="R431" s="10">
        <f>Q431/O431</f>
        <v>0.35323782234957024</v>
      </c>
      <c r="S431" s="13">
        <v>45807</v>
      </c>
      <c r="T431" s="7">
        <f ca="1">IF(S431&lt;&gt;"",S431-B431,TODAY()-B431)</f>
        <v>7</v>
      </c>
      <c r="V431" s="3">
        <f>IF((G431+H431)&lt;15,(G431+H431+2.95), ((G431+H431)*1.2))</f>
        <v>218.4</v>
      </c>
      <c r="W431" s="3">
        <f>IF((G431+I431)&lt;15,(G431+I431+2.95), ((G431+I431)*1.2))</f>
        <v>193.2</v>
      </c>
    </row>
    <row r="432" spans="1:23">
      <c r="A432">
        <v>483</v>
      </c>
      <c r="B432" s="12">
        <v>45800</v>
      </c>
      <c r="D432" t="s">
        <v>19</v>
      </c>
      <c r="E432" t="s">
        <v>834</v>
      </c>
      <c r="F432" t="s">
        <v>309</v>
      </c>
      <c r="G432" s="3">
        <v>470</v>
      </c>
      <c r="H432" s="3">
        <f>G432*0.4</f>
        <v>188</v>
      </c>
      <c r="I432" s="8">
        <f>G432*0.15</f>
        <v>70.5</v>
      </c>
      <c r="J432" s="3">
        <f>G432+H432</f>
        <v>658</v>
      </c>
      <c r="K432" s="3">
        <f>J432*1.13</f>
        <v>743.54</v>
      </c>
      <c r="L432" s="25">
        <v>0</v>
      </c>
      <c r="O432" s="3">
        <v>679</v>
      </c>
      <c r="P432" s="3">
        <v>603.22</v>
      </c>
      <c r="Q432" s="3">
        <f>P432-G432</f>
        <v>133.22000000000003</v>
      </c>
      <c r="R432" s="10">
        <f>Q432/O432</f>
        <v>0.19620029455081006</v>
      </c>
      <c r="S432" s="13">
        <v>45852</v>
      </c>
      <c r="T432" s="7">
        <f ca="1">IF(S432&lt;&gt;"",S432-B432,TODAY()-B432)</f>
        <v>52</v>
      </c>
      <c r="V432" s="3">
        <f>IF((G432+H432)&lt;15,(G432+H432+2.95), ((G432+H432)*1.2))</f>
        <v>789.6</v>
      </c>
      <c r="W432" s="3">
        <f>IF((G432+I432)&lt;15,(G432+I432+2.95), ((G432+I432)*1.2))</f>
        <v>648.6</v>
      </c>
    </row>
    <row r="433" spans="1:23" hidden="1">
      <c r="A433">
        <v>484</v>
      </c>
      <c r="B433" s="12">
        <v>45801</v>
      </c>
      <c r="D433" t="s">
        <v>19</v>
      </c>
      <c r="E433" t="s">
        <v>841</v>
      </c>
      <c r="F433" t="s">
        <v>309</v>
      </c>
      <c r="G433" s="3">
        <v>201.47</v>
      </c>
      <c r="H433" s="3">
        <f>G433*0.4</f>
        <v>80.588000000000008</v>
      </c>
      <c r="I433" s="8">
        <f>G433*0.15</f>
        <v>30.220499999999998</v>
      </c>
      <c r="J433" s="3">
        <f>G433+H433</f>
        <v>282.05799999999999</v>
      </c>
      <c r="K433" s="3">
        <f>J433*1.13</f>
        <v>318.72553999999997</v>
      </c>
      <c r="L433" s="25">
        <v>1</v>
      </c>
      <c r="Q433" s="3">
        <f>P433-G433</f>
        <v>-201.47</v>
      </c>
      <c r="R433" s="10" t="e">
        <f>Q433/O433</f>
        <v>#DIV/0!</v>
      </c>
      <c r="T433" s="7">
        <f ca="1">IF(S433&lt;&gt;"",S433-B433,TODAY()-B433)</f>
        <v>65</v>
      </c>
      <c r="V433" s="3">
        <f>IF((G433+H433)&lt;15,(G433+H433+2.95), ((G433+H433)*1.2))</f>
        <v>338.46959999999996</v>
      </c>
      <c r="W433" s="3">
        <f>IF((G433+I433)&lt;15,(G433+I433+2.95), ((G433+I433)*1.2))</f>
        <v>278.02859999999998</v>
      </c>
    </row>
    <row r="434" spans="1:23" hidden="1">
      <c r="A434">
        <v>485</v>
      </c>
      <c r="B434" s="12">
        <v>45801</v>
      </c>
      <c r="D434" t="s">
        <v>19</v>
      </c>
      <c r="E434" t="s">
        <v>842</v>
      </c>
      <c r="F434" t="s">
        <v>224</v>
      </c>
      <c r="G434" s="3">
        <v>206.05</v>
      </c>
      <c r="H434" s="3">
        <f>G434*0.4</f>
        <v>82.420000000000016</v>
      </c>
      <c r="I434" s="8">
        <f>G434*0.15</f>
        <v>30.907499999999999</v>
      </c>
      <c r="J434" s="3">
        <f>G434+H434</f>
        <v>288.47000000000003</v>
      </c>
      <c r="K434" s="3">
        <f>J434*1.13</f>
        <v>325.97109999999998</v>
      </c>
      <c r="L434" s="25">
        <v>1</v>
      </c>
      <c r="Q434" s="3">
        <f>P434-G434</f>
        <v>-206.05</v>
      </c>
      <c r="R434" s="10" t="e">
        <f>Q434/O434</f>
        <v>#DIV/0!</v>
      </c>
      <c r="T434" s="7">
        <f ca="1">IF(S434&lt;&gt;"",S434-B434,TODAY()-B434)</f>
        <v>65</v>
      </c>
      <c r="V434" s="3">
        <f>IF((G434+H434)&lt;15,(G434+H434+2.95), ((G434+H434)*1.2))</f>
        <v>346.16400000000004</v>
      </c>
      <c r="W434" s="3">
        <f>IF((G434+I434)&lt;15,(G434+I434+2.95), ((G434+I434)*1.2))</f>
        <v>284.34899999999999</v>
      </c>
    </row>
    <row r="435" spans="1:23">
      <c r="A435">
        <v>486</v>
      </c>
      <c r="B435" s="12">
        <v>45802</v>
      </c>
      <c r="D435" t="s">
        <v>843</v>
      </c>
      <c r="E435" t="s">
        <v>844</v>
      </c>
      <c r="F435" t="s">
        <v>224</v>
      </c>
      <c r="G435" s="3">
        <v>238.15</v>
      </c>
      <c r="H435" s="3">
        <f>G435*0.4</f>
        <v>95.26</v>
      </c>
      <c r="I435" s="8">
        <f>G435*0.15</f>
        <v>35.722499999999997</v>
      </c>
      <c r="J435" s="3">
        <f>G435+H435</f>
        <v>333.41</v>
      </c>
      <c r="K435" s="3">
        <f>J435*1.13</f>
        <v>376.75329999999997</v>
      </c>
      <c r="L435" s="25">
        <v>0</v>
      </c>
      <c r="O435" s="3">
        <v>499</v>
      </c>
      <c r="P435" s="3">
        <v>442.89</v>
      </c>
      <c r="Q435" s="3">
        <f>P435-G435</f>
        <v>204.73999999999998</v>
      </c>
      <c r="R435" s="10">
        <f>Q435/O435</f>
        <v>0.41030060120240475</v>
      </c>
      <c r="S435" s="13">
        <v>45835</v>
      </c>
      <c r="T435" s="7">
        <f ca="1">IF(S435&lt;&gt;"",S435-B435,TODAY()-B435)</f>
        <v>33</v>
      </c>
      <c r="V435" s="3">
        <f>IF((G435+H435)&lt;15,(G435+H435+2.95), ((G435+H435)*1.2))</f>
        <v>400.09200000000004</v>
      </c>
      <c r="W435" s="3">
        <f>IF((G435+I435)&lt;15,(G435+I435+2.95), ((G435+I435)*1.2))</f>
        <v>328.64699999999999</v>
      </c>
    </row>
    <row r="436" spans="1:23">
      <c r="A436">
        <v>487</v>
      </c>
      <c r="B436" s="12">
        <v>45803</v>
      </c>
      <c r="D436" t="s">
        <v>787</v>
      </c>
      <c r="E436" t="s">
        <v>848</v>
      </c>
      <c r="F436" t="s">
        <v>226</v>
      </c>
      <c r="G436" s="3">
        <v>241.09</v>
      </c>
      <c r="H436" s="3">
        <f>G436*0.4</f>
        <v>96.436000000000007</v>
      </c>
      <c r="I436" s="8">
        <f>G436*0.15</f>
        <v>36.163499999999999</v>
      </c>
      <c r="J436" s="3">
        <f>G436+H436</f>
        <v>337.52600000000001</v>
      </c>
      <c r="K436" s="3">
        <f>J436*1.13</f>
        <v>381.40438</v>
      </c>
      <c r="L436" s="25">
        <v>0</v>
      </c>
      <c r="O436" s="3">
        <v>380</v>
      </c>
      <c r="P436" s="3">
        <v>337.08</v>
      </c>
      <c r="Q436" s="3">
        <f>P436-G436</f>
        <v>95.989999999999981</v>
      </c>
      <c r="R436" s="10">
        <f>Q436/O436</f>
        <v>0.25260526315789467</v>
      </c>
      <c r="S436" s="13">
        <v>45864</v>
      </c>
      <c r="T436" s="7">
        <f ca="1">IF(S436&lt;&gt;"",S436-B436,TODAY()-B436)</f>
        <v>61</v>
      </c>
      <c r="V436" s="3">
        <f>IF((G436+H436)&lt;15,(G436+H436+2.95), ((G436+H436)*1.2))</f>
        <v>405.03120000000001</v>
      </c>
      <c r="W436" s="3">
        <f>IF((G436+I436)&lt;15,(G436+I436+2.95), ((G436+I436)*1.2))</f>
        <v>332.70420000000001</v>
      </c>
    </row>
    <row r="437" spans="1:23">
      <c r="A437">
        <v>488</v>
      </c>
      <c r="B437" s="12">
        <v>45802</v>
      </c>
      <c r="D437" t="s">
        <v>787</v>
      </c>
      <c r="E437" t="s">
        <v>849</v>
      </c>
      <c r="F437" t="s">
        <v>226</v>
      </c>
      <c r="G437" s="3">
        <v>88.45</v>
      </c>
      <c r="H437" s="2">
        <f>G437*0.3</f>
        <v>26.535</v>
      </c>
      <c r="I437" s="8">
        <f>G437*0.15</f>
        <v>13.2675</v>
      </c>
      <c r="J437" s="3">
        <f>G437+H437</f>
        <v>114.985</v>
      </c>
      <c r="K437" s="3">
        <f>J437*1.13</f>
        <v>129.93304999999998</v>
      </c>
      <c r="L437" s="25">
        <v>0</v>
      </c>
      <c r="O437" s="3">
        <v>157.5</v>
      </c>
      <c r="P437" s="3">
        <v>139.28</v>
      </c>
      <c r="Q437" s="3">
        <f>P437-G437</f>
        <v>50.83</v>
      </c>
      <c r="R437" s="10">
        <f>Q437/O437</f>
        <v>0.3227301587301587</v>
      </c>
      <c r="S437" s="13">
        <v>45818</v>
      </c>
      <c r="T437" s="7">
        <f ca="1">IF(S437&lt;&gt;"",S437-B437,TODAY()-B437)</f>
        <v>16</v>
      </c>
      <c r="V437" s="3">
        <f>IF((G437+H437)&lt;15,(G437+H437+2.95), ((G437+H437)*1.2))</f>
        <v>137.982</v>
      </c>
      <c r="W437" s="3">
        <f>IF((G437+I437)&lt;15,(G437+I437+2.95), ((G437+I437)*1.2))</f>
        <v>122.06099999999999</v>
      </c>
    </row>
    <row r="438" spans="1:23">
      <c r="A438">
        <v>489</v>
      </c>
      <c r="B438" s="12">
        <v>45802</v>
      </c>
      <c r="D438" t="s">
        <v>787</v>
      </c>
      <c r="E438" t="s">
        <v>850</v>
      </c>
      <c r="F438" t="s">
        <v>224</v>
      </c>
      <c r="G438" s="3">
        <v>277.11</v>
      </c>
      <c r="H438" s="3">
        <f>G438*0.4</f>
        <v>110.84400000000001</v>
      </c>
      <c r="I438" s="8">
        <f>G438*0.15</f>
        <v>41.566499999999998</v>
      </c>
      <c r="J438" s="3">
        <f>G438+H438</f>
        <v>387.95400000000001</v>
      </c>
      <c r="K438" s="3">
        <f>J438*1.13</f>
        <v>438.38801999999998</v>
      </c>
      <c r="L438" s="25">
        <v>0</v>
      </c>
      <c r="O438" s="3">
        <v>480</v>
      </c>
      <c r="P438" s="3">
        <v>480</v>
      </c>
      <c r="Q438" s="3">
        <f>P438-G438</f>
        <v>202.89</v>
      </c>
      <c r="R438" s="10">
        <f>Q438/O438</f>
        <v>0.42268749999999999</v>
      </c>
      <c r="S438" s="13">
        <v>45836</v>
      </c>
      <c r="T438" s="7">
        <f ca="1">IF(S438&lt;&gt;"",S438-B438,TODAY()-B438)</f>
        <v>34</v>
      </c>
      <c r="V438" s="3">
        <f>IF((G438+H438)&lt;15,(G438+H438+2.95), ((G438+H438)*1.2))</f>
        <v>465.54480000000001</v>
      </c>
      <c r="W438" s="3">
        <f>IF((G438+I438)&lt;15,(G438+I438+2.95), ((G438+I438)*1.2))</f>
        <v>382.41180000000003</v>
      </c>
    </row>
    <row r="439" spans="1:23">
      <c r="A439">
        <v>490</v>
      </c>
      <c r="B439" s="12">
        <v>45803</v>
      </c>
      <c r="D439" t="s">
        <v>809</v>
      </c>
      <c r="E439" t="s">
        <v>851</v>
      </c>
      <c r="G439" s="3">
        <v>91.91</v>
      </c>
      <c r="H439" s="2">
        <f>G439*0.3</f>
        <v>27.572999999999997</v>
      </c>
      <c r="I439" s="8">
        <f>G439*0.15</f>
        <v>13.786499999999998</v>
      </c>
      <c r="J439" s="3">
        <f>G439+H439</f>
        <v>119.48299999999999</v>
      </c>
      <c r="K439" s="3">
        <f>J439*1.13</f>
        <v>135.01578999999998</v>
      </c>
      <c r="L439" s="25">
        <v>0</v>
      </c>
      <c r="O439" s="3">
        <v>0</v>
      </c>
      <c r="P439" s="3">
        <v>0</v>
      </c>
      <c r="Q439" s="3">
        <f>P439-G439</f>
        <v>-91.91</v>
      </c>
      <c r="R439" s="10" t="e">
        <f>Q439/O439</f>
        <v>#DIV/0!</v>
      </c>
      <c r="S439" s="13">
        <v>45803</v>
      </c>
      <c r="T439" s="7">
        <f ca="1">IF(S439&lt;&gt;"",S439-B439,TODAY()-B439)</f>
        <v>0</v>
      </c>
      <c r="V439" s="3">
        <f>IF((G439+H439)&lt;15,(G439+H439+2.95), ((G439+H439)*1.2))</f>
        <v>143.37959999999998</v>
      </c>
      <c r="W439" s="3">
        <f>IF((G439+I439)&lt;15,(G439+I439+2.95), ((G439+I439)*1.2))</f>
        <v>126.83579999999999</v>
      </c>
    </row>
    <row r="440" spans="1:23">
      <c r="A440">
        <v>491</v>
      </c>
      <c r="B440" s="12">
        <v>45803</v>
      </c>
      <c r="D440" t="s">
        <v>809</v>
      </c>
      <c r="E440" t="s">
        <v>852</v>
      </c>
      <c r="G440" s="3">
        <v>80</v>
      </c>
      <c r="H440" s="2">
        <f>G440*0.3</f>
        <v>24</v>
      </c>
      <c r="I440" s="8">
        <f>G440*0.15</f>
        <v>12</v>
      </c>
      <c r="J440" s="3">
        <f>G440+H440</f>
        <v>104</v>
      </c>
      <c r="K440" s="3">
        <f>J440*1.13</f>
        <v>117.51999999999998</v>
      </c>
      <c r="L440" s="25">
        <v>0</v>
      </c>
      <c r="O440" s="3">
        <v>0</v>
      </c>
      <c r="P440" s="3">
        <v>0</v>
      </c>
      <c r="Q440" s="3">
        <f>P440-G440</f>
        <v>-80</v>
      </c>
      <c r="R440" s="10" t="e">
        <f>Q440/O440</f>
        <v>#DIV/0!</v>
      </c>
      <c r="S440" s="13">
        <v>45803</v>
      </c>
      <c r="T440" s="7">
        <f ca="1">IF(S440&lt;&gt;"",S440-B440,TODAY()-B440)</f>
        <v>0</v>
      </c>
      <c r="V440" s="3">
        <f>IF((G440+H440)&lt;15,(G440+H440+2.95), ((G440+H440)*1.2))</f>
        <v>124.8</v>
      </c>
      <c r="W440" s="3">
        <f>IF((G440+I440)&lt;15,(G440+I440+2.95), ((G440+I440)*1.2))</f>
        <v>110.39999999999999</v>
      </c>
    </row>
    <row r="441" spans="1:23">
      <c r="A441">
        <v>492</v>
      </c>
      <c r="B441" s="12">
        <v>45803</v>
      </c>
      <c r="D441" t="s">
        <v>787</v>
      </c>
      <c r="E441" t="s">
        <v>853</v>
      </c>
      <c r="F441" t="s">
        <v>575</v>
      </c>
      <c r="G441" s="3">
        <v>229.04</v>
      </c>
      <c r="H441" s="3">
        <f>G441*0.4</f>
        <v>91.616</v>
      </c>
      <c r="I441" s="8">
        <f>G441*0.15</f>
        <v>34.355999999999995</v>
      </c>
      <c r="J441" s="3">
        <f>G441+H441</f>
        <v>320.65600000000001</v>
      </c>
      <c r="K441" s="3">
        <f>J441*1.13</f>
        <v>362.34127999999998</v>
      </c>
      <c r="L441" s="25">
        <v>0</v>
      </c>
      <c r="O441" s="3">
        <v>449</v>
      </c>
      <c r="P441" s="3">
        <v>397.68</v>
      </c>
      <c r="Q441" s="3">
        <f>P441-G441</f>
        <v>168.64000000000001</v>
      </c>
      <c r="R441" s="10">
        <f>Q441/O441</f>
        <v>0.37559020044543434</v>
      </c>
      <c r="S441" s="13">
        <v>45839</v>
      </c>
      <c r="T441" s="7">
        <f ca="1">IF(S441&lt;&gt;"",S441-B441,TODAY()-B441)</f>
        <v>36</v>
      </c>
      <c r="V441" s="3">
        <f>IF((G441+H441)&lt;15,(G441+H441+2.95), ((G441+H441)*1.2))</f>
        <v>384.78719999999998</v>
      </c>
      <c r="W441" s="3">
        <f>IF((G441+I441)&lt;15,(G441+I441+2.95), ((G441+I441)*1.2))</f>
        <v>316.07519999999994</v>
      </c>
    </row>
    <row r="442" spans="1:23">
      <c r="A442">
        <v>493</v>
      </c>
      <c r="B442" s="12">
        <v>45803</v>
      </c>
      <c r="D442" t="s">
        <v>787</v>
      </c>
      <c r="E442" t="s">
        <v>854</v>
      </c>
      <c r="F442" t="s">
        <v>254</v>
      </c>
      <c r="G442" s="3">
        <v>21.33</v>
      </c>
      <c r="H442" s="3">
        <f>G442*0.4</f>
        <v>8.532</v>
      </c>
      <c r="I442" s="8">
        <f>G442*0.15</f>
        <v>3.1994999999999996</v>
      </c>
      <c r="J442" s="3">
        <f>G442+H442</f>
        <v>29.861999999999998</v>
      </c>
      <c r="K442" s="3">
        <f>J442*1.13</f>
        <v>33.744059999999998</v>
      </c>
      <c r="L442" s="25">
        <v>0</v>
      </c>
      <c r="O442" s="3">
        <v>101</v>
      </c>
      <c r="P442" s="3">
        <v>89.23</v>
      </c>
      <c r="Q442" s="3">
        <f>P442-G442</f>
        <v>67.900000000000006</v>
      </c>
      <c r="R442" s="10">
        <f>Q442/O442</f>
        <v>0.67227722772277232</v>
      </c>
      <c r="S442" s="13">
        <v>45835</v>
      </c>
      <c r="T442" s="7">
        <f ca="1">IF(S442&lt;&gt;"",S442-B442,TODAY()-B442)</f>
        <v>32</v>
      </c>
      <c r="V442" s="3">
        <f>IF((G442+H442)&lt;15,(G442+H442+2.95), ((G442+H442)*1.2))</f>
        <v>35.834399999999995</v>
      </c>
      <c r="W442" s="3">
        <f>IF((G442+I442)&lt;15,(G442+I442+2.95), ((G442+I442)*1.2))</f>
        <v>29.435399999999998</v>
      </c>
    </row>
    <row r="443" spans="1:23" hidden="1">
      <c r="A443">
        <v>494</v>
      </c>
      <c r="B443" s="12">
        <v>45803</v>
      </c>
      <c r="D443" t="s">
        <v>787</v>
      </c>
      <c r="E443" t="s">
        <v>855</v>
      </c>
      <c r="F443" t="s">
        <v>309</v>
      </c>
      <c r="G443" s="3">
        <v>129.6</v>
      </c>
      <c r="H443" s="3">
        <f>G443*0.4</f>
        <v>51.84</v>
      </c>
      <c r="I443" s="8">
        <f>G443*0.15</f>
        <v>19.439999999999998</v>
      </c>
      <c r="J443" s="3">
        <f>G443+H443</f>
        <v>181.44</v>
      </c>
      <c r="K443" s="3">
        <f>J443*1.13</f>
        <v>205.02719999999997</v>
      </c>
      <c r="L443" s="25">
        <v>1</v>
      </c>
      <c r="Q443" s="3">
        <f>P443-G443</f>
        <v>-129.6</v>
      </c>
      <c r="R443" s="10" t="e">
        <f>Q443/O443</f>
        <v>#DIV/0!</v>
      </c>
      <c r="T443" s="7">
        <f ca="1">IF(S443&lt;&gt;"",S443-B443,TODAY()-B443)</f>
        <v>63</v>
      </c>
      <c r="V443" s="3">
        <f>IF((G443+H443)&lt;15,(G443+H443+2.95), ((G443+H443)*1.2))</f>
        <v>217.72799999999998</v>
      </c>
      <c r="W443" s="3">
        <f>IF((G443+I443)&lt;15,(G443+I443+2.95), ((G443+I443)*1.2))</f>
        <v>178.84799999999998</v>
      </c>
    </row>
    <row r="444" spans="1:23" hidden="1">
      <c r="A444">
        <v>495</v>
      </c>
      <c r="B444" s="12">
        <v>45803</v>
      </c>
      <c r="D444" t="s">
        <v>787</v>
      </c>
      <c r="E444" t="s">
        <v>856</v>
      </c>
      <c r="F444" t="s">
        <v>309</v>
      </c>
      <c r="G444" s="3">
        <v>86.55</v>
      </c>
      <c r="H444" s="3">
        <f>G444*0.4</f>
        <v>34.619999999999997</v>
      </c>
      <c r="I444" s="8">
        <f>G444*0.15</f>
        <v>12.9825</v>
      </c>
      <c r="J444" s="3">
        <f>G444+H444</f>
        <v>121.16999999999999</v>
      </c>
      <c r="K444" s="3">
        <f>J444*1.13</f>
        <v>136.92209999999997</v>
      </c>
      <c r="L444" s="25">
        <v>1</v>
      </c>
      <c r="Q444" s="3">
        <f>P444-G444</f>
        <v>-86.55</v>
      </c>
      <c r="R444" s="10" t="e">
        <f>Q444/O444</f>
        <v>#DIV/0!</v>
      </c>
      <c r="T444" s="7">
        <f ca="1">IF(S444&lt;&gt;"",S444-B444,TODAY()-B444)</f>
        <v>63</v>
      </c>
      <c r="V444" s="3">
        <f>IF((G444+H444)&lt;15,(G444+H444+2.95), ((G444+H444)*1.2))</f>
        <v>145.40399999999997</v>
      </c>
      <c r="W444" s="3">
        <f>IF((G444+I444)&lt;15,(G444+I444+2.95), ((G444+I444)*1.2))</f>
        <v>119.43899999999999</v>
      </c>
    </row>
    <row r="445" spans="1:23" hidden="1">
      <c r="A445">
        <v>496</v>
      </c>
      <c r="B445" s="12">
        <v>45803</v>
      </c>
      <c r="D445" t="s">
        <v>787</v>
      </c>
      <c r="E445" t="s">
        <v>857</v>
      </c>
      <c r="F445" t="s">
        <v>309</v>
      </c>
      <c r="G445" s="3">
        <v>78.06</v>
      </c>
      <c r="H445" s="3">
        <f>G445*0.4</f>
        <v>31.224000000000004</v>
      </c>
      <c r="I445" s="8">
        <f>G445*0.15</f>
        <v>11.709</v>
      </c>
      <c r="J445" s="3">
        <f>G445+H445</f>
        <v>109.28400000000001</v>
      </c>
      <c r="K445" s="3">
        <f>J445*1.13</f>
        <v>123.49091999999999</v>
      </c>
      <c r="L445" s="25">
        <v>1</v>
      </c>
      <c r="Q445" s="3">
        <f>P445-G445</f>
        <v>-78.06</v>
      </c>
      <c r="R445" s="10" t="e">
        <f>Q445/O445</f>
        <v>#DIV/0!</v>
      </c>
      <c r="T445" s="7">
        <f ca="1">IF(S445&lt;&gt;"",S445-B445,TODAY()-B445)</f>
        <v>63</v>
      </c>
      <c r="V445" s="3">
        <f>IF((G445+H445)&lt;15,(G445+H445+2.95), ((G445+H445)*1.2))</f>
        <v>131.14080000000001</v>
      </c>
      <c r="W445" s="3">
        <f>IF((G445+I445)&lt;15,(G445+I445+2.95), ((G445+I445)*1.2))</f>
        <v>107.72280000000001</v>
      </c>
    </row>
    <row r="446" spans="1:23" hidden="1">
      <c r="A446">
        <v>497</v>
      </c>
      <c r="B446" s="12">
        <v>45803</v>
      </c>
      <c r="D446" t="s">
        <v>19</v>
      </c>
      <c r="E446" t="s">
        <v>858</v>
      </c>
      <c r="F446" t="s">
        <v>224</v>
      </c>
      <c r="G446" s="3">
        <v>184.27</v>
      </c>
      <c r="H446" s="3">
        <f>G446*0.4</f>
        <v>73.708000000000013</v>
      </c>
      <c r="I446" s="8">
        <f>G446*0.15</f>
        <v>27.640499999999999</v>
      </c>
      <c r="J446" s="3">
        <f>G446+H446</f>
        <v>257.97800000000001</v>
      </c>
      <c r="K446" s="3">
        <f>J446*1.13</f>
        <v>291.51513999999997</v>
      </c>
      <c r="L446" s="25">
        <v>1</v>
      </c>
      <c r="Q446" s="3">
        <f>P446-G446</f>
        <v>-184.27</v>
      </c>
      <c r="R446" s="10" t="e">
        <f>Q446/O446</f>
        <v>#DIV/0!</v>
      </c>
      <c r="T446" s="7">
        <f ca="1">IF(S446&lt;&gt;"",S446-B446,TODAY()-B446)</f>
        <v>63</v>
      </c>
      <c r="V446" s="3">
        <f>IF((G446+H446)&lt;15,(G446+H446+2.95), ((G446+H446)*1.2))</f>
        <v>309.5736</v>
      </c>
      <c r="W446" s="3">
        <f>IF((G446+I446)&lt;15,(G446+I446+2.95), ((G446+I446)*1.2))</f>
        <v>254.29259999999999</v>
      </c>
    </row>
    <row r="447" spans="1:23" hidden="1">
      <c r="A447">
        <v>498</v>
      </c>
      <c r="B447" s="12">
        <v>45804</v>
      </c>
      <c r="D447" t="s">
        <v>860</v>
      </c>
      <c r="E447" t="s">
        <v>859</v>
      </c>
      <c r="F447" t="s">
        <v>224</v>
      </c>
      <c r="G447" s="3">
        <v>138.1</v>
      </c>
      <c r="H447" s="3">
        <f>G447*0.4</f>
        <v>55.24</v>
      </c>
      <c r="I447" s="8">
        <f>G447*0.15</f>
        <v>20.715</v>
      </c>
      <c r="J447" s="3">
        <f>G447+H447</f>
        <v>193.34</v>
      </c>
      <c r="K447" s="3">
        <f>J447*1.13</f>
        <v>218.4742</v>
      </c>
      <c r="L447" s="25">
        <v>1</v>
      </c>
      <c r="Q447" s="3">
        <f>P447-G447</f>
        <v>-138.1</v>
      </c>
      <c r="R447" s="10" t="e">
        <f>Q447/O447</f>
        <v>#DIV/0!</v>
      </c>
      <c r="T447" s="7">
        <f ca="1">IF(S447&lt;&gt;"",S447-B447,TODAY()-B447)</f>
        <v>62</v>
      </c>
      <c r="V447" s="3">
        <f>IF((G447+H447)&lt;15,(G447+H447+2.95), ((G447+H447)*1.2))</f>
        <v>232.00799999999998</v>
      </c>
      <c r="W447" s="3">
        <f>IF((G447+I447)&lt;15,(G447+I447+2.95), ((G447+I447)*1.2))</f>
        <v>190.578</v>
      </c>
    </row>
    <row r="448" spans="1:23">
      <c r="A448">
        <v>499</v>
      </c>
      <c r="B448" s="12">
        <v>45804</v>
      </c>
      <c r="D448" t="s">
        <v>862</v>
      </c>
      <c r="E448" t="s">
        <v>861</v>
      </c>
      <c r="F448" t="s">
        <v>226</v>
      </c>
      <c r="G448" s="3">
        <v>386.6</v>
      </c>
      <c r="H448" s="3">
        <f>G448*0.4</f>
        <v>154.64000000000001</v>
      </c>
      <c r="I448" s="8">
        <f>G448*0.15</f>
        <v>57.99</v>
      </c>
      <c r="J448" s="3">
        <f>G448+H448</f>
        <v>541.24</v>
      </c>
      <c r="K448" s="3">
        <f>J448*1.13</f>
        <v>611.60119999999995</v>
      </c>
      <c r="L448" s="25">
        <v>0</v>
      </c>
      <c r="O448" s="3">
        <v>750</v>
      </c>
      <c r="P448" s="3">
        <v>696.07</v>
      </c>
      <c r="Q448" s="3">
        <f>P448-G448</f>
        <v>309.47000000000003</v>
      </c>
      <c r="R448" s="10">
        <f>Q448/O448</f>
        <v>0.4126266666666667</v>
      </c>
      <c r="S448" s="13">
        <v>45842</v>
      </c>
      <c r="T448" s="7">
        <f ca="1">IF(S448&lt;&gt;"",S448-B448,TODAY()-B448)</f>
        <v>38</v>
      </c>
      <c r="V448" s="3">
        <f>IF((G448+H448)&lt;15,(G448+H448+2.95), ((G448+H448)*1.2))</f>
        <v>649.48799999999994</v>
      </c>
      <c r="W448" s="3">
        <f>IF((G448+I448)&lt;15,(G448+I448+2.95), ((G448+I448)*1.2))</f>
        <v>533.50800000000004</v>
      </c>
    </row>
    <row r="449" spans="1:23" hidden="1">
      <c r="A449">
        <v>500</v>
      </c>
      <c r="B449" s="12">
        <v>45804</v>
      </c>
      <c r="D449" t="s">
        <v>864</v>
      </c>
      <c r="E449" t="s">
        <v>863</v>
      </c>
      <c r="F449" t="s">
        <v>309</v>
      </c>
      <c r="G449" s="3">
        <v>144.72999999999999</v>
      </c>
      <c r="H449" s="3">
        <f>G449*0.4</f>
        <v>57.891999999999996</v>
      </c>
      <c r="I449" s="8">
        <f>G449*0.15</f>
        <v>21.709499999999998</v>
      </c>
      <c r="J449" s="3">
        <f>G449+H449</f>
        <v>202.62199999999999</v>
      </c>
      <c r="K449" s="3">
        <f>J449*1.13</f>
        <v>228.96285999999995</v>
      </c>
      <c r="L449" s="25">
        <v>1</v>
      </c>
      <c r="Q449" s="3">
        <f>P449-G449</f>
        <v>-144.72999999999999</v>
      </c>
      <c r="R449" s="10" t="e">
        <f>Q449/O449</f>
        <v>#DIV/0!</v>
      </c>
      <c r="T449" s="7">
        <f ca="1">IF(S449&lt;&gt;"",S449-B449,TODAY()-B449)</f>
        <v>62</v>
      </c>
      <c r="V449" s="3">
        <f>IF((G449+H449)&lt;15,(G449+H449+2.95), ((G449+H449)*1.2))</f>
        <v>243.14639999999997</v>
      </c>
      <c r="W449" s="3">
        <f>IF((G449+I449)&lt;15,(G449+I449+2.95), ((G449+I449)*1.2))</f>
        <v>199.72739999999996</v>
      </c>
    </row>
    <row r="450" spans="1:23" hidden="1">
      <c r="A450">
        <v>501</v>
      </c>
      <c r="B450" s="12">
        <v>45805</v>
      </c>
      <c r="D450" t="s">
        <v>809</v>
      </c>
      <c r="E450" t="s">
        <v>866</v>
      </c>
      <c r="G450" s="3">
        <f>68.64+9</f>
        <v>77.64</v>
      </c>
      <c r="H450" s="2">
        <f>G450*0.3</f>
        <v>23.291999999999998</v>
      </c>
      <c r="I450" s="8">
        <f>G450*0.15</f>
        <v>11.645999999999999</v>
      </c>
      <c r="J450" s="3">
        <f>G450+H450</f>
        <v>100.932</v>
      </c>
      <c r="K450" s="3">
        <f>J450*1.13</f>
        <v>114.05315999999999</v>
      </c>
      <c r="L450" s="25">
        <v>0</v>
      </c>
      <c r="Q450" s="3">
        <f>P450-G450</f>
        <v>-77.64</v>
      </c>
      <c r="R450" s="10" t="e">
        <f>Q450/O450</f>
        <v>#DIV/0!</v>
      </c>
      <c r="S450" s="13">
        <v>45805</v>
      </c>
      <c r="T450" s="7">
        <f ca="1">IF(S450&lt;&gt;"",S450-B450,TODAY()-B450)</f>
        <v>0</v>
      </c>
      <c r="V450" s="3">
        <f>IF((G450+H450)&lt;15,(G450+H450+2.95), ((G450+H450)*1.2))</f>
        <v>121.11839999999999</v>
      </c>
      <c r="W450" s="3">
        <f>IF((G450+I450)&lt;15,(G450+I450+2.95), ((G450+I450)*1.2))</f>
        <v>107.14319999999999</v>
      </c>
    </row>
    <row r="451" spans="1:23" hidden="1">
      <c r="A451">
        <v>502</v>
      </c>
      <c r="B451" s="12">
        <v>45805</v>
      </c>
      <c r="D451" t="s">
        <v>809</v>
      </c>
      <c r="E451" t="s">
        <v>867</v>
      </c>
      <c r="G451" s="3">
        <v>80</v>
      </c>
      <c r="H451" s="2">
        <f>G451*0.3</f>
        <v>24</v>
      </c>
      <c r="I451" s="8">
        <f>G451*0.15</f>
        <v>12</v>
      </c>
      <c r="J451" s="3">
        <f>G451+H451</f>
        <v>104</v>
      </c>
      <c r="K451" s="3">
        <f>J451*1.13</f>
        <v>117.51999999999998</v>
      </c>
      <c r="L451" s="25">
        <v>0</v>
      </c>
      <c r="Q451" s="3">
        <f>P451-G451</f>
        <v>-80</v>
      </c>
      <c r="R451" s="10" t="e">
        <f>Q451/O451</f>
        <v>#DIV/0!</v>
      </c>
      <c r="S451" s="13">
        <v>45805</v>
      </c>
      <c r="T451" s="7">
        <f ca="1">IF(S451&lt;&gt;"",S451-B451,TODAY()-B451)</f>
        <v>0</v>
      </c>
      <c r="V451" s="3">
        <f>IF((G451+H451)&lt;15,(G451+H451+2.95), ((G451+H451)*1.2))</f>
        <v>124.8</v>
      </c>
      <c r="W451" s="3">
        <f>IF((G451+I451)&lt;15,(G451+I451+2.95), ((G451+I451)*1.2))</f>
        <v>110.39999999999999</v>
      </c>
    </row>
    <row r="452" spans="1:23">
      <c r="A452">
        <v>503</v>
      </c>
      <c r="B452" s="12">
        <v>45803</v>
      </c>
      <c r="D452" t="s">
        <v>868</v>
      </c>
      <c r="E452" t="s">
        <v>869</v>
      </c>
      <c r="G452" s="3">
        <v>223.19</v>
      </c>
      <c r="H452" s="3">
        <f>G452*0.4</f>
        <v>89.27600000000001</v>
      </c>
      <c r="I452" s="8">
        <f>G452*0.15</f>
        <v>33.478499999999997</v>
      </c>
      <c r="J452" s="3">
        <f>G452+H452</f>
        <v>312.46600000000001</v>
      </c>
      <c r="K452" s="3">
        <f>J452*1.13</f>
        <v>353.08657999999997</v>
      </c>
      <c r="L452" s="25">
        <v>0</v>
      </c>
      <c r="O452" s="3">
        <v>365</v>
      </c>
      <c r="P452" s="3">
        <v>283.73</v>
      </c>
      <c r="Q452" s="3">
        <f>P452-G452</f>
        <v>60.54000000000002</v>
      </c>
      <c r="R452" s="10">
        <f>Q452/O452</f>
        <v>0.16586301369863019</v>
      </c>
      <c r="S452" s="13">
        <v>45837</v>
      </c>
      <c r="T452" s="7">
        <f ca="1">IF(S452&lt;&gt;"",S452-B452,TODAY()-B452)</f>
        <v>34</v>
      </c>
      <c r="V452" s="3">
        <f>IF((G452+H452)&lt;15,(G452+H452+2.95), ((G452+H452)*1.2))</f>
        <v>374.95920000000001</v>
      </c>
      <c r="W452" s="3">
        <f>IF((G452+I452)&lt;15,(G452+I452+2.95), ((G452+I452)*1.2))</f>
        <v>308.00219999999996</v>
      </c>
    </row>
    <row r="453" spans="1:23" hidden="1">
      <c r="A453">
        <v>504</v>
      </c>
      <c r="B453" s="12">
        <v>45803</v>
      </c>
      <c r="D453" t="s">
        <v>27</v>
      </c>
      <c r="E453" t="s">
        <v>886</v>
      </c>
      <c r="F453" t="s">
        <v>226</v>
      </c>
      <c r="G453" s="3">
        <v>91.57</v>
      </c>
      <c r="H453" s="3">
        <f>G453*0.4</f>
        <v>36.628</v>
      </c>
      <c r="I453" s="8">
        <f>G453*0.15</f>
        <v>13.735499999999998</v>
      </c>
      <c r="J453" s="3">
        <f>G453+H453</f>
        <v>128.19799999999998</v>
      </c>
      <c r="K453" s="3">
        <f>J453*1.13</f>
        <v>144.86373999999995</v>
      </c>
      <c r="L453" s="25">
        <v>1</v>
      </c>
      <c r="Q453" s="3">
        <f>P453-G453</f>
        <v>-91.57</v>
      </c>
      <c r="R453" s="10" t="e">
        <f>Q453/O453</f>
        <v>#DIV/0!</v>
      </c>
      <c r="T453" s="7">
        <f ca="1">IF(S453&lt;&gt;"",S453-B453,TODAY()-B453)</f>
        <v>63</v>
      </c>
      <c r="V453" s="3">
        <f>IF((G453+H453)&lt;15,(G453+H453+2.95), ((G453+H453)*1.2))</f>
        <v>153.83759999999998</v>
      </c>
      <c r="W453" s="3">
        <f>IF((G453+I453)&lt;15,(G453+I453+2.95), ((G453+I453)*1.2))</f>
        <v>126.36659999999999</v>
      </c>
    </row>
    <row r="454" spans="1:23">
      <c r="A454">
        <v>505</v>
      </c>
      <c r="B454" s="12">
        <v>45804</v>
      </c>
      <c r="D454" t="s">
        <v>582</v>
      </c>
      <c r="E454" t="s">
        <v>870</v>
      </c>
      <c r="F454" t="s">
        <v>309</v>
      </c>
      <c r="G454" s="3">
        <v>168.52</v>
      </c>
      <c r="H454" s="3">
        <f>G454*0.4</f>
        <v>67.408000000000001</v>
      </c>
      <c r="I454" s="8">
        <f>G454*0.15</f>
        <v>25.278000000000002</v>
      </c>
      <c r="J454" s="3">
        <f>G454+H454</f>
        <v>235.928</v>
      </c>
      <c r="K454" s="3">
        <f>J454*1.13</f>
        <v>266.59863999999999</v>
      </c>
      <c r="L454" s="25">
        <v>0</v>
      </c>
      <c r="O454" s="3">
        <v>250</v>
      </c>
      <c r="P454" s="3">
        <v>221.84</v>
      </c>
      <c r="Q454" s="3">
        <f>P454-G454</f>
        <v>53.319999999999993</v>
      </c>
      <c r="R454" s="10">
        <f>Q454/O454</f>
        <v>0.21327999999999997</v>
      </c>
      <c r="S454" s="13">
        <v>45863</v>
      </c>
      <c r="T454" s="7">
        <f ca="1">IF(S454&lt;&gt;"",S454-B454,TODAY()-B454)</f>
        <v>59</v>
      </c>
      <c r="V454" s="3">
        <f>IF((G454+H454)&lt;15,(G454+H454+2.95), ((G454+H454)*1.2))</f>
        <v>283.11359999999996</v>
      </c>
      <c r="W454" s="3">
        <f>IF((G454+I454)&lt;15,(G454+I454+2.95), ((G454+I454)*1.2))</f>
        <v>232.55759999999998</v>
      </c>
    </row>
    <row r="455" spans="1:23" hidden="1">
      <c r="A455">
        <v>506</v>
      </c>
      <c r="B455" s="12">
        <v>45804</v>
      </c>
      <c r="D455" t="s">
        <v>871</v>
      </c>
      <c r="E455" t="s">
        <v>872</v>
      </c>
      <c r="F455" t="s">
        <v>226</v>
      </c>
      <c r="G455" s="3">
        <v>134.83000000000001</v>
      </c>
      <c r="H455" s="3">
        <f>G455*0.4</f>
        <v>53.932000000000009</v>
      </c>
      <c r="I455" s="8">
        <f>G455*0.15</f>
        <v>20.224500000000003</v>
      </c>
      <c r="J455" s="3">
        <f>G455+H455</f>
        <v>188.76200000000003</v>
      </c>
      <c r="K455" s="3">
        <f>J455*1.13</f>
        <v>213.30106000000001</v>
      </c>
      <c r="L455" s="25">
        <v>1</v>
      </c>
      <c r="Q455" s="3">
        <f>P455-G455</f>
        <v>-134.83000000000001</v>
      </c>
      <c r="R455" s="10" t="e">
        <f>Q455/O455</f>
        <v>#DIV/0!</v>
      </c>
      <c r="T455" s="7">
        <f ca="1">IF(S455&lt;&gt;"",S455-B455,TODAY()-B455)</f>
        <v>62</v>
      </c>
      <c r="V455" s="3">
        <f>IF((G455+H455)&lt;15,(G455+H455+2.95), ((G455+H455)*1.2))</f>
        <v>226.51440000000002</v>
      </c>
      <c r="W455" s="3">
        <f>IF((G455+I455)&lt;15,(G455+I455+2.95), ((G455+I455)*1.2))</f>
        <v>186.06540000000001</v>
      </c>
    </row>
    <row r="456" spans="1:23" hidden="1">
      <c r="A456">
        <v>507</v>
      </c>
      <c r="B456" s="12">
        <v>45804</v>
      </c>
      <c r="D456" t="s">
        <v>55</v>
      </c>
      <c r="E456" t="s">
        <v>873</v>
      </c>
      <c r="F456" t="s">
        <v>309</v>
      </c>
      <c r="G456" s="3">
        <v>179.69</v>
      </c>
      <c r="H456" s="3">
        <f>G456*0.4</f>
        <v>71.876000000000005</v>
      </c>
      <c r="I456" s="8">
        <f>G456*0.15</f>
        <v>26.953499999999998</v>
      </c>
      <c r="J456" s="3">
        <f>G456+H456</f>
        <v>251.566</v>
      </c>
      <c r="K456" s="3">
        <f>J456*1.13</f>
        <v>284.26957999999996</v>
      </c>
      <c r="L456" s="25">
        <v>1</v>
      </c>
      <c r="Q456" s="3">
        <f>P456-G456</f>
        <v>-179.69</v>
      </c>
      <c r="R456" s="10" t="e">
        <f>Q456/O456</f>
        <v>#DIV/0!</v>
      </c>
      <c r="T456" s="7">
        <f ca="1">IF(S456&lt;&gt;"",S456-B456,TODAY()-B456)</f>
        <v>62</v>
      </c>
      <c r="V456" s="3">
        <f>IF((G456+H456)&lt;15,(G456+H456+2.95), ((G456+H456)*1.2))</f>
        <v>301.87919999999997</v>
      </c>
      <c r="W456" s="3">
        <f>IF((G456+I456)&lt;15,(G456+I456+2.95), ((G456+I456)*1.2))</f>
        <v>247.97219999999999</v>
      </c>
    </row>
    <row r="457" spans="1:23" hidden="1">
      <c r="A457">
        <v>508</v>
      </c>
      <c r="B457" s="12">
        <v>45804</v>
      </c>
      <c r="D457" t="s">
        <v>344</v>
      </c>
      <c r="E457" t="s">
        <v>874</v>
      </c>
      <c r="F457" t="s">
        <v>294</v>
      </c>
      <c r="G457" s="3">
        <v>59.61</v>
      </c>
      <c r="H457" s="2">
        <f>G457*0.3</f>
        <v>17.882999999999999</v>
      </c>
      <c r="I457" s="8">
        <f>G457*0.15</f>
        <v>8.9414999999999996</v>
      </c>
      <c r="J457" s="3">
        <f>G457+H457</f>
        <v>77.492999999999995</v>
      </c>
      <c r="K457" s="3">
        <f>J457*1.13</f>
        <v>87.567089999999979</v>
      </c>
      <c r="L457" s="25">
        <v>0</v>
      </c>
      <c r="Q457" s="3">
        <f>P457-G457</f>
        <v>-59.61</v>
      </c>
      <c r="R457" s="10" t="e">
        <f>Q457/O457</f>
        <v>#DIV/0!</v>
      </c>
      <c r="T457" s="7">
        <f ca="1">IF(S457&lt;&gt;"",S457-B457,TODAY()-B457)</f>
        <v>62</v>
      </c>
      <c r="V457" s="3">
        <f>IF((G457+H457)&lt;15,(G457+H457+2.95), ((G457+H457)*1.2))</f>
        <v>92.991599999999991</v>
      </c>
      <c r="W457" s="3">
        <f>IF((G457+I457)&lt;15,(G457+I457+2.95), ((G457+I457)*1.2))</f>
        <v>82.261800000000008</v>
      </c>
    </row>
    <row r="458" spans="1:23" hidden="1">
      <c r="A458">
        <v>509</v>
      </c>
      <c r="B458" s="12">
        <v>45806</v>
      </c>
      <c r="D458" t="s">
        <v>875</v>
      </c>
      <c r="E458" t="s">
        <v>876</v>
      </c>
      <c r="F458" t="s">
        <v>309</v>
      </c>
      <c r="G458" s="3">
        <v>456.52</v>
      </c>
      <c r="H458" s="3">
        <f>G458*0.4</f>
        <v>182.608</v>
      </c>
      <c r="I458" s="8">
        <f>G458*0.15</f>
        <v>68.477999999999994</v>
      </c>
      <c r="J458" s="3">
        <f>G458+H458</f>
        <v>639.12799999999993</v>
      </c>
      <c r="K458" s="3">
        <f>J458*1.13</f>
        <v>722.2146399999998</v>
      </c>
      <c r="L458" s="25">
        <v>1</v>
      </c>
      <c r="Q458" s="3">
        <f>P458-G458</f>
        <v>-456.52</v>
      </c>
      <c r="R458" s="10" t="e">
        <f>Q458/O458</f>
        <v>#DIV/0!</v>
      </c>
      <c r="T458" s="7">
        <f ca="1">IF(S458&lt;&gt;"",S458-B458,TODAY()-B458)</f>
        <v>60</v>
      </c>
      <c r="V458" s="3">
        <f>IF((G458+H458)&lt;15,(G458+H458+2.95), ((G458+H458)*1.2))</f>
        <v>766.95359999999994</v>
      </c>
      <c r="W458" s="3">
        <f>IF((G458+I458)&lt;15,(G458+I458+2.95), ((G458+I458)*1.2))</f>
        <v>629.99759999999992</v>
      </c>
    </row>
    <row r="459" spans="1:23">
      <c r="A459">
        <v>510</v>
      </c>
      <c r="B459" s="12">
        <v>45806</v>
      </c>
      <c r="D459" t="s">
        <v>48</v>
      </c>
      <c r="E459" t="s">
        <v>877</v>
      </c>
      <c r="F459" t="s">
        <v>224</v>
      </c>
      <c r="G459" s="3">
        <v>94.29</v>
      </c>
      <c r="H459" s="3">
        <f>G459*0.4</f>
        <v>37.716000000000001</v>
      </c>
      <c r="I459" s="8">
        <f>G459*0.15</f>
        <v>14.143500000000001</v>
      </c>
      <c r="J459" s="3">
        <f>G459+H459</f>
        <v>132.006</v>
      </c>
      <c r="K459" s="3">
        <f>J459*1.13</f>
        <v>149.16677999999999</v>
      </c>
      <c r="L459" s="25">
        <v>0</v>
      </c>
      <c r="O459" s="3">
        <v>149.25</v>
      </c>
      <c r="P459" s="3">
        <v>132.05000000000001</v>
      </c>
      <c r="Q459" s="3">
        <f>P459-G459</f>
        <v>37.760000000000005</v>
      </c>
      <c r="R459" s="10">
        <f>Q459/O459</f>
        <v>0.25299832495812397</v>
      </c>
      <c r="S459" s="13">
        <v>45855</v>
      </c>
      <c r="T459" s="7">
        <f ca="1">IF(S459&lt;&gt;"",S459-B459,TODAY()-B459)</f>
        <v>49</v>
      </c>
      <c r="V459" s="3">
        <f>IF((G459+H459)&lt;15,(G459+H459+2.95), ((G459+H459)*1.2))</f>
        <v>158.40719999999999</v>
      </c>
      <c r="W459" s="3">
        <f>IF((G459+I459)&lt;15,(G459+I459+2.95), ((G459+I459)*1.2))</f>
        <v>130.12020000000001</v>
      </c>
    </row>
    <row r="460" spans="1:23" hidden="1">
      <c r="A460">
        <v>511</v>
      </c>
      <c r="B460" s="12">
        <v>45806</v>
      </c>
      <c r="D460" t="s">
        <v>48</v>
      </c>
      <c r="E460" t="s">
        <v>878</v>
      </c>
      <c r="F460" t="s">
        <v>672</v>
      </c>
      <c r="G460" s="3">
        <v>59.5</v>
      </c>
      <c r="H460" s="2">
        <f>G460*0.3</f>
        <v>17.849999999999998</v>
      </c>
      <c r="I460" s="8">
        <f>G460*0.15</f>
        <v>8.9249999999999989</v>
      </c>
      <c r="J460" s="3">
        <f>G460+H460</f>
        <v>77.349999999999994</v>
      </c>
      <c r="K460" s="3">
        <f>J460*1.13</f>
        <v>87.405499999999989</v>
      </c>
      <c r="L460" s="25">
        <v>0</v>
      </c>
      <c r="Q460" s="3">
        <f>P460-G460</f>
        <v>-59.5</v>
      </c>
      <c r="R460" s="10" t="e">
        <f>Q460/O460</f>
        <v>#DIV/0!</v>
      </c>
      <c r="T460" s="7">
        <f ca="1">IF(S460&lt;&gt;"",S460-B460,TODAY()-B460)</f>
        <v>60</v>
      </c>
      <c r="V460" s="3">
        <f>IF((G460+H460)&lt;15,(G460+H460+2.95), ((G460+H460)*1.2))</f>
        <v>92.82</v>
      </c>
      <c r="W460" s="3">
        <f>IF((G460+I460)&lt;15,(G460+I460+2.95), ((G460+I460)*1.2))</f>
        <v>82.11</v>
      </c>
    </row>
    <row r="461" spans="1:23">
      <c r="A461">
        <v>512</v>
      </c>
      <c r="B461" s="12">
        <v>45801</v>
      </c>
      <c r="D461" t="s">
        <v>880</v>
      </c>
      <c r="E461" t="s">
        <v>881</v>
      </c>
      <c r="F461" t="s">
        <v>882</v>
      </c>
      <c r="G461" s="3">
        <v>0.01</v>
      </c>
      <c r="H461" s="2">
        <f>G461*0.3</f>
        <v>3.0000000000000001E-3</v>
      </c>
      <c r="I461" s="8">
        <f>G461*0.15</f>
        <v>1.5E-3</v>
      </c>
      <c r="J461" s="3">
        <f>G461+H461</f>
        <v>1.3000000000000001E-2</v>
      </c>
      <c r="K461" s="3">
        <f>J461*1.13</f>
        <v>1.469E-2</v>
      </c>
      <c r="L461" s="25">
        <v>0</v>
      </c>
      <c r="O461" s="3">
        <v>350</v>
      </c>
      <c r="P461" s="3">
        <v>310.42</v>
      </c>
      <c r="Q461" s="3">
        <f>P461-G461</f>
        <v>310.41000000000003</v>
      </c>
      <c r="R461" s="10">
        <f>Q461/O461</f>
        <v>0.88688571428571439</v>
      </c>
      <c r="S461" s="13">
        <v>45813</v>
      </c>
      <c r="T461" s="7">
        <f ca="1">IF(S461&lt;&gt;"",S461-B461,TODAY()-B461)</f>
        <v>12</v>
      </c>
    </row>
    <row r="462" spans="1:23">
      <c r="A462">
        <v>512</v>
      </c>
      <c r="B462" s="12">
        <v>45806</v>
      </c>
      <c r="D462" t="s">
        <v>132</v>
      </c>
      <c r="E462" t="s">
        <v>879</v>
      </c>
      <c r="F462" t="s">
        <v>309</v>
      </c>
      <c r="G462" s="3">
        <v>292.08</v>
      </c>
      <c r="H462" s="2">
        <f>G462*0.3</f>
        <v>87.623999999999995</v>
      </c>
      <c r="I462" s="8">
        <f>G462*0.15</f>
        <v>43.811999999999998</v>
      </c>
      <c r="J462" s="3">
        <f>G462+H462</f>
        <v>379.70399999999995</v>
      </c>
      <c r="K462" s="3">
        <f>J462*1.13</f>
        <v>429.06551999999988</v>
      </c>
      <c r="L462" s="25">
        <v>0</v>
      </c>
      <c r="O462" s="3">
        <v>390</v>
      </c>
      <c r="P462" s="3">
        <v>356.16</v>
      </c>
      <c r="Q462" s="3">
        <f>P462-G462</f>
        <v>64.080000000000041</v>
      </c>
      <c r="R462" s="10">
        <f>Q462/O462</f>
        <v>0.1643076923076924</v>
      </c>
      <c r="S462" s="13">
        <v>45813</v>
      </c>
      <c r="T462" s="7">
        <f ca="1">IF(S462&lt;&gt;"",S462-B462,TODAY()-B462)</f>
        <v>7</v>
      </c>
      <c r="V462" s="3">
        <f>IF((G462+H462)&lt;15,(G462+H462+2.95), ((G462+H462)*1.2))</f>
        <v>455.64479999999992</v>
      </c>
      <c r="W462" s="3">
        <f>IF((G462+I462)&lt;15,(G462+I462+2.95), ((G462+I462)*1.2))</f>
        <v>403.07040000000001</v>
      </c>
    </row>
    <row r="463" spans="1:23">
      <c r="A463">
        <v>513</v>
      </c>
      <c r="B463" s="12">
        <v>45808</v>
      </c>
      <c r="D463" t="s">
        <v>809</v>
      </c>
      <c r="E463" t="s">
        <v>885</v>
      </c>
      <c r="F463" t="s">
        <v>294</v>
      </c>
      <c r="G463" s="2">
        <v>89.98</v>
      </c>
      <c r="H463" s="2">
        <f>G463*0.3</f>
        <v>26.994</v>
      </c>
      <c r="I463" s="8">
        <f>G463*0.15</f>
        <v>13.497</v>
      </c>
      <c r="J463" s="3">
        <f>G463+H463</f>
        <v>116.974</v>
      </c>
      <c r="K463" s="3">
        <f>J463*1.13</f>
        <v>132.18062</v>
      </c>
      <c r="L463" s="25">
        <v>0</v>
      </c>
      <c r="M463" s="3"/>
      <c r="O463" s="3">
        <v>0</v>
      </c>
      <c r="P463" s="3">
        <v>0</v>
      </c>
      <c r="Q463" s="3">
        <f>P463-G463</f>
        <v>-89.98</v>
      </c>
      <c r="R463" s="10" t="e">
        <f>Q463/O463</f>
        <v>#DIV/0!</v>
      </c>
      <c r="S463" s="13">
        <v>45807</v>
      </c>
      <c r="T463" s="7">
        <f ca="1">IF(S463&lt;&gt;"",S463-B463,TODAY()-B463)</f>
        <v>-1</v>
      </c>
      <c r="V463" s="3"/>
      <c r="W463"/>
    </row>
    <row r="464" spans="1:23">
      <c r="A464">
        <v>514</v>
      </c>
      <c r="B464" s="12">
        <v>45808</v>
      </c>
      <c r="D464" t="s">
        <v>809</v>
      </c>
      <c r="E464" t="s">
        <v>887</v>
      </c>
      <c r="F464" t="s">
        <v>294</v>
      </c>
      <c r="G464" s="2">
        <v>79.040000000000006</v>
      </c>
      <c r="H464" s="2">
        <f>G464*0.3</f>
        <v>23.712</v>
      </c>
      <c r="I464" s="8">
        <f>G464*0.15</f>
        <v>11.856</v>
      </c>
      <c r="J464" s="3">
        <f>G464+H464</f>
        <v>102.75200000000001</v>
      </c>
      <c r="K464" s="3">
        <f>J464*1.13</f>
        <v>116.10975999999999</v>
      </c>
      <c r="L464" s="25">
        <v>0</v>
      </c>
      <c r="M464" s="3"/>
      <c r="O464" s="3">
        <v>0</v>
      </c>
      <c r="P464" s="3">
        <v>0</v>
      </c>
      <c r="Q464" s="3">
        <f>P464-G464</f>
        <v>-79.040000000000006</v>
      </c>
      <c r="R464" s="10" t="e">
        <f>Q464/O464</f>
        <v>#DIV/0!</v>
      </c>
      <c r="S464" s="13">
        <v>45807</v>
      </c>
      <c r="T464" s="7">
        <f ca="1">IF(S464&lt;&gt;"",S464-B464,TODAY()-B464)</f>
        <v>-1</v>
      </c>
      <c r="V464" s="3"/>
      <c r="W464"/>
    </row>
    <row r="465" spans="1:20">
      <c r="A465">
        <v>515</v>
      </c>
      <c r="B465" s="12">
        <v>45808</v>
      </c>
      <c r="D465" t="s">
        <v>809</v>
      </c>
      <c r="E465" t="s">
        <v>888</v>
      </c>
      <c r="F465" t="s">
        <v>294</v>
      </c>
      <c r="G465" s="3">
        <v>0.01</v>
      </c>
      <c r="H465" s="8">
        <f>G465*0.3</f>
        <v>3.0000000000000001E-3</v>
      </c>
      <c r="I465" s="8">
        <f>G465*0.15</f>
        <v>1.5E-3</v>
      </c>
      <c r="J465" s="3">
        <f>G465+H465</f>
        <v>1.3000000000000001E-2</v>
      </c>
      <c r="K465" s="3">
        <f>J465*1.13</f>
        <v>1.469E-2</v>
      </c>
      <c r="L465" s="25">
        <v>0</v>
      </c>
      <c r="O465" s="3">
        <v>0</v>
      </c>
      <c r="P465" s="3">
        <f>21*0.59</f>
        <v>12.389999999999999</v>
      </c>
      <c r="Q465" s="3">
        <f>P465-G465</f>
        <v>12.379999999999999</v>
      </c>
      <c r="R465" s="10" t="e">
        <f>Q465/O465</f>
        <v>#DIV/0!</v>
      </c>
      <c r="S465" s="13">
        <v>45807</v>
      </c>
      <c r="T465" s="7">
        <f ca="1">IF(S465&lt;&gt;"",S465-B465,TODAY()-B465)</f>
        <v>-1</v>
      </c>
    </row>
    <row r="466" spans="1:20">
      <c r="A466">
        <v>516</v>
      </c>
      <c r="B466" s="12">
        <v>45808</v>
      </c>
      <c r="D466" t="s">
        <v>809</v>
      </c>
      <c r="E466" t="s">
        <v>889</v>
      </c>
      <c r="F466" t="s">
        <v>294</v>
      </c>
      <c r="G466" s="3">
        <f>(10*0.4)+(9*3.5)</f>
        <v>35.5</v>
      </c>
      <c r="H466" s="8">
        <f>G466*0.3</f>
        <v>10.65</v>
      </c>
      <c r="I466" s="8">
        <f>G466*0.15</f>
        <v>5.3250000000000002</v>
      </c>
      <c r="J466" s="3">
        <f>G466+H466</f>
        <v>46.15</v>
      </c>
      <c r="K466" s="3">
        <f>J466*1.13</f>
        <v>52.149499999999996</v>
      </c>
      <c r="L466" s="25">
        <v>0</v>
      </c>
      <c r="O466" s="3">
        <v>0</v>
      </c>
      <c r="P466" s="3">
        <v>0</v>
      </c>
      <c r="Q466" s="3">
        <f>P466-G466</f>
        <v>-35.5</v>
      </c>
      <c r="R466" s="10" t="e">
        <f>Q466/O466</f>
        <v>#DIV/0!</v>
      </c>
      <c r="S466" s="13">
        <v>45807</v>
      </c>
      <c r="T466" s="7">
        <f ca="1">IF(S466&lt;&gt;"",S466-B466,TODAY()-B466)</f>
        <v>-1</v>
      </c>
    </row>
    <row r="467" spans="1:20">
      <c r="A467">
        <v>517</v>
      </c>
      <c r="B467" s="12">
        <v>45809</v>
      </c>
      <c r="D467" t="s">
        <v>809</v>
      </c>
      <c r="E467" t="s">
        <v>890</v>
      </c>
      <c r="F467" t="s">
        <v>294</v>
      </c>
      <c r="G467" s="3">
        <v>0.01</v>
      </c>
      <c r="H467" s="8">
        <f>G467*0.3</f>
        <v>3.0000000000000001E-3</v>
      </c>
      <c r="I467" s="8">
        <f>G467*0.15</f>
        <v>1.5E-3</v>
      </c>
      <c r="J467" s="3">
        <f>G467+H467</f>
        <v>1.3000000000000001E-2</v>
      </c>
      <c r="K467" s="3">
        <f>J467*1.13</f>
        <v>1.469E-2</v>
      </c>
      <c r="L467" s="25">
        <v>0</v>
      </c>
      <c r="O467" s="3">
        <v>4.5999999999999996</v>
      </c>
      <c r="P467" s="3">
        <v>4.5999999999999996</v>
      </c>
      <c r="Q467" s="3">
        <f>P467-G467</f>
        <v>4.59</v>
      </c>
      <c r="R467" s="10">
        <f>Q467/O467</f>
        <v>0.99782608695652175</v>
      </c>
      <c r="S467" s="13">
        <v>45809</v>
      </c>
      <c r="T467" s="7">
        <f ca="1">IF(S467&lt;&gt;"",S467-B467,TODAY()-B467)</f>
        <v>0</v>
      </c>
    </row>
    <row r="468" spans="1:20">
      <c r="A468">
        <v>518</v>
      </c>
      <c r="B468" s="12">
        <v>45809</v>
      </c>
      <c r="D468" t="s">
        <v>809</v>
      </c>
      <c r="E468" t="s">
        <v>891</v>
      </c>
      <c r="F468" t="s">
        <v>294</v>
      </c>
      <c r="G468" s="3">
        <f>5*3.5</f>
        <v>17.5</v>
      </c>
      <c r="H468" s="8">
        <f>G468*0.3</f>
        <v>5.25</v>
      </c>
      <c r="I468" s="8">
        <f>G468*0.15</f>
        <v>2.625</v>
      </c>
      <c r="J468" s="3">
        <f>G468+H468</f>
        <v>22.75</v>
      </c>
      <c r="K468" s="3">
        <f>J468*1.13</f>
        <v>25.707499999999996</v>
      </c>
      <c r="L468" s="25">
        <v>0</v>
      </c>
      <c r="O468" s="3">
        <v>84</v>
      </c>
      <c r="P468" s="3">
        <v>72.8</v>
      </c>
      <c r="Q468" s="3">
        <f>P468-G468</f>
        <v>55.3</v>
      </c>
      <c r="R468" s="10">
        <f>Q468/O468</f>
        <v>0.65833333333333333</v>
      </c>
      <c r="S468" s="13">
        <v>45809</v>
      </c>
      <c r="T468" s="7">
        <f ca="1">IF(S468&lt;&gt;"",S468-B468,TODAY()-B468)</f>
        <v>0</v>
      </c>
    </row>
    <row r="469" spans="1:20">
      <c r="A469">
        <v>519</v>
      </c>
      <c r="B469" s="12">
        <v>45809</v>
      </c>
      <c r="D469" t="s">
        <v>809</v>
      </c>
      <c r="E469" t="s">
        <v>892</v>
      </c>
      <c r="F469" t="s">
        <v>294</v>
      </c>
      <c r="G469" s="3">
        <f>95+(27*0.4)</f>
        <v>105.8</v>
      </c>
      <c r="H469" s="8">
        <f>G469*0.3</f>
        <v>31.74</v>
      </c>
      <c r="I469" s="8">
        <f>G469*0.15</f>
        <v>15.87</v>
      </c>
      <c r="J469" s="3">
        <f>G469+H469</f>
        <v>137.54</v>
      </c>
      <c r="K469" s="3">
        <f>J469*1.13</f>
        <v>155.42019999999997</v>
      </c>
      <c r="L469" s="25">
        <v>0</v>
      </c>
      <c r="O469" s="3">
        <v>0</v>
      </c>
      <c r="P469" s="3">
        <v>0</v>
      </c>
      <c r="Q469" s="3">
        <f>P469-G469</f>
        <v>-105.8</v>
      </c>
      <c r="R469" s="10" t="e">
        <f>Q469/O469</f>
        <v>#DIV/0!</v>
      </c>
      <c r="S469" s="13">
        <v>45809</v>
      </c>
      <c r="T469" s="7">
        <f ca="1">IF(S469&lt;&gt;"",S469-B469,TODAY()-B469)</f>
        <v>0</v>
      </c>
    </row>
    <row r="470" spans="1:20" ht="18" customHeight="1">
      <c r="A470">
        <v>530</v>
      </c>
      <c r="B470" s="12">
        <v>45809</v>
      </c>
      <c r="D470" t="s">
        <v>809</v>
      </c>
      <c r="E470" t="s">
        <v>893</v>
      </c>
      <c r="F470" t="s">
        <v>294</v>
      </c>
      <c r="G470" s="3">
        <f>46*3</f>
        <v>138</v>
      </c>
      <c r="H470" s="8">
        <f>G470*0.3</f>
        <v>41.4</v>
      </c>
      <c r="I470" s="8">
        <f>G470*0.15</f>
        <v>20.7</v>
      </c>
      <c r="J470" s="3">
        <f>G470+H470</f>
        <v>179.4</v>
      </c>
      <c r="K470" s="3">
        <f>J470*1.13</f>
        <v>202.72199999999998</v>
      </c>
      <c r="L470" s="25">
        <v>0</v>
      </c>
      <c r="O470" s="3">
        <v>0</v>
      </c>
      <c r="P470" s="3">
        <v>0</v>
      </c>
      <c r="Q470" s="3">
        <f>P470-G470</f>
        <v>-138</v>
      </c>
      <c r="R470" s="10" t="e">
        <f>Q470/O470</f>
        <v>#DIV/0!</v>
      </c>
      <c r="S470" s="13">
        <v>45809</v>
      </c>
      <c r="T470" s="7">
        <f ca="1">IF(S470&lt;&gt;"",S470-B470,TODAY()-B470)</f>
        <v>0</v>
      </c>
    </row>
    <row r="471" spans="1:20">
      <c r="A471">
        <v>531</v>
      </c>
      <c r="B471" s="12">
        <v>45811</v>
      </c>
      <c r="D471" t="s">
        <v>894</v>
      </c>
      <c r="E471" t="s">
        <v>931</v>
      </c>
      <c r="F471" t="s">
        <v>226</v>
      </c>
      <c r="G471" s="3">
        <v>424.38</v>
      </c>
      <c r="H471" s="8">
        <f>G471*0.3</f>
        <v>127.31399999999999</v>
      </c>
      <c r="I471" s="8">
        <f>G471*0.15</f>
        <v>63.656999999999996</v>
      </c>
      <c r="J471" s="3">
        <f>G471+H471</f>
        <v>551.69399999999996</v>
      </c>
      <c r="K471" s="3">
        <f>J471*1.13</f>
        <v>623.41421999999989</v>
      </c>
      <c r="L471" s="25">
        <v>0</v>
      </c>
      <c r="O471" s="3">
        <v>724</v>
      </c>
      <c r="P471" s="3">
        <v>643</v>
      </c>
      <c r="Q471" s="3">
        <f>P471-G471</f>
        <v>218.62</v>
      </c>
      <c r="R471" s="10">
        <f>Q471/O471</f>
        <v>0.30196132596685082</v>
      </c>
      <c r="S471" s="13">
        <v>45833</v>
      </c>
      <c r="T471" s="7">
        <f ca="1">IF(S471&lt;&gt;"",S471-B471,TODAY()-B471)</f>
        <v>22</v>
      </c>
    </row>
    <row r="472" spans="1:20">
      <c r="A472">
        <v>532</v>
      </c>
      <c r="B472" s="12">
        <v>45811</v>
      </c>
      <c r="D472" t="s">
        <v>895</v>
      </c>
      <c r="E472" t="s">
        <v>896</v>
      </c>
      <c r="F472" t="s">
        <v>309</v>
      </c>
      <c r="G472" s="3">
        <v>204.72</v>
      </c>
      <c r="H472" s="3">
        <f>G472*0.4</f>
        <v>81.888000000000005</v>
      </c>
      <c r="I472" s="8">
        <f>G472*0.15</f>
        <v>30.707999999999998</v>
      </c>
      <c r="J472" s="3">
        <f>G472+H472</f>
        <v>286.608</v>
      </c>
      <c r="K472" s="3">
        <f>J472*1.13</f>
        <v>323.86703999999997</v>
      </c>
      <c r="L472" s="25">
        <v>0</v>
      </c>
      <c r="O472" s="3">
        <v>334</v>
      </c>
      <c r="P472" s="3">
        <v>296.38</v>
      </c>
      <c r="Q472" s="3">
        <f>P472-G472</f>
        <v>91.66</v>
      </c>
      <c r="R472" s="10">
        <f>Q472/O472</f>
        <v>0.27443113772455091</v>
      </c>
      <c r="S472" s="13">
        <v>45835</v>
      </c>
      <c r="T472" s="7">
        <f ca="1">IF(S472&lt;&gt;"",S472-B472,TODAY()-B472)</f>
        <v>24</v>
      </c>
    </row>
    <row r="473" spans="1:20">
      <c r="A473">
        <v>533</v>
      </c>
      <c r="B473" s="12">
        <v>45809</v>
      </c>
      <c r="D473" t="s">
        <v>822</v>
      </c>
      <c r="E473" t="s">
        <v>897</v>
      </c>
      <c r="F473" t="s">
        <v>226</v>
      </c>
      <c r="G473" s="3">
        <f>39.43+10.89</f>
        <v>50.32</v>
      </c>
      <c r="H473" s="3">
        <f>G473*0.4</f>
        <v>20.128</v>
      </c>
      <c r="I473" s="8">
        <f>G473*0.15</f>
        <v>7.548</v>
      </c>
      <c r="J473" s="3">
        <f>G473+H473</f>
        <v>70.448000000000008</v>
      </c>
      <c r="K473" s="3">
        <f>J473*1.13</f>
        <v>79.60624</v>
      </c>
      <c r="L473" s="25">
        <v>0</v>
      </c>
      <c r="O473" s="3">
        <v>52</v>
      </c>
      <c r="P473" s="3">
        <v>45.86</v>
      </c>
      <c r="Q473" s="3">
        <f>P473-G473</f>
        <v>-4.4600000000000009</v>
      </c>
      <c r="R473" s="10">
        <f>Q473/O473</f>
        <v>-8.5769230769230792E-2</v>
      </c>
      <c r="S473" s="13">
        <v>45855</v>
      </c>
      <c r="T473" s="7">
        <f ca="1">IF(S473&lt;&gt;"",S473-B473,TODAY()-B473)</f>
        <v>46</v>
      </c>
    </row>
    <row r="474" spans="1:20" hidden="1">
      <c r="A474">
        <v>534</v>
      </c>
      <c r="B474" s="12">
        <v>45810</v>
      </c>
      <c r="D474" t="s">
        <v>48</v>
      </c>
      <c r="E474" t="s">
        <v>898</v>
      </c>
      <c r="F474" t="s">
        <v>226</v>
      </c>
      <c r="G474" s="3">
        <v>163.35</v>
      </c>
      <c r="H474" s="3">
        <f>G474*0.4</f>
        <v>65.34</v>
      </c>
      <c r="I474" s="8">
        <f>G474*0.15</f>
        <v>24.502499999999998</v>
      </c>
      <c r="J474" s="3">
        <f>G474+H474</f>
        <v>228.69</v>
      </c>
      <c r="K474" s="3">
        <f>J474*1.13</f>
        <v>258.41969999999998</v>
      </c>
      <c r="L474" s="25">
        <v>1</v>
      </c>
      <c r="Q474" s="3">
        <f>P474-G474</f>
        <v>-163.35</v>
      </c>
      <c r="R474" s="10" t="e">
        <f>Q474/O474</f>
        <v>#DIV/0!</v>
      </c>
      <c r="T474" s="7">
        <f ca="1">IF(S474&lt;&gt;"",S474-B474,TODAY()-B474)</f>
        <v>56</v>
      </c>
    </row>
    <row r="475" spans="1:20" hidden="1">
      <c r="A475">
        <v>535</v>
      </c>
      <c r="B475" s="12">
        <v>45810</v>
      </c>
      <c r="D475" t="s">
        <v>48</v>
      </c>
      <c r="E475" t="s">
        <v>899</v>
      </c>
      <c r="F475" t="s">
        <v>226</v>
      </c>
      <c r="G475" s="3">
        <v>114.35</v>
      </c>
      <c r="H475" s="3">
        <f>G475*0.4</f>
        <v>45.74</v>
      </c>
      <c r="I475" s="8">
        <f>G475*0.15</f>
        <v>17.1525</v>
      </c>
      <c r="J475" s="3">
        <f>G475+H475</f>
        <v>160.09</v>
      </c>
      <c r="K475" s="3">
        <f>J475*1.13</f>
        <v>180.90169999999998</v>
      </c>
      <c r="L475" s="25">
        <v>1</v>
      </c>
      <c r="Q475" s="3">
        <f>P475-G475</f>
        <v>-114.35</v>
      </c>
      <c r="R475" s="10" t="e">
        <f>Q475/O475</f>
        <v>#DIV/0!</v>
      </c>
      <c r="T475" s="7">
        <f ca="1">IF(S475&lt;&gt;"",S475-B475,TODAY()-B475)</f>
        <v>56</v>
      </c>
    </row>
    <row r="476" spans="1:20">
      <c r="A476">
        <v>536</v>
      </c>
      <c r="B476" s="12">
        <v>45811</v>
      </c>
      <c r="D476" t="s">
        <v>19</v>
      </c>
      <c r="E476" t="s">
        <v>900</v>
      </c>
      <c r="F476" t="s">
        <v>309</v>
      </c>
      <c r="G476" s="3">
        <f>353.07-60</f>
        <v>293.07</v>
      </c>
      <c r="H476" s="8">
        <f>G476*0.3</f>
        <v>87.920999999999992</v>
      </c>
      <c r="I476" s="8">
        <f>G476*0.15</f>
        <v>43.960499999999996</v>
      </c>
      <c r="J476" s="3">
        <f>G476+H476</f>
        <v>380.99099999999999</v>
      </c>
      <c r="K476" s="3">
        <f>J476*1.13</f>
        <v>430.51982999999996</v>
      </c>
      <c r="L476" s="25">
        <v>0</v>
      </c>
      <c r="O476" s="3">
        <v>499</v>
      </c>
      <c r="P476" s="3">
        <v>442.83</v>
      </c>
      <c r="Q476" s="3">
        <f>P476-G476</f>
        <v>149.76</v>
      </c>
      <c r="R476" s="10">
        <f>Q476/O476</f>
        <v>0.30012024048096192</v>
      </c>
      <c r="S476" s="13">
        <v>45828</v>
      </c>
      <c r="T476" s="7">
        <f ca="1">IF(S476&lt;&gt;"",S476-B476,TODAY()-B476)</f>
        <v>17</v>
      </c>
    </row>
    <row r="477" spans="1:20">
      <c r="A477">
        <v>537</v>
      </c>
      <c r="B477" s="12">
        <v>45811</v>
      </c>
      <c r="D477" t="s">
        <v>19</v>
      </c>
      <c r="E477" t="s">
        <v>901</v>
      </c>
      <c r="F477" t="s">
        <v>309</v>
      </c>
      <c r="G477" s="3">
        <v>60</v>
      </c>
      <c r="H477" s="3">
        <f>G477*0.4</f>
        <v>24</v>
      </c>
      <c r="I477" s="8">
        <f>G477*0.15</f>
        <v>9</v>
      </c>
      <c r="J477" s="3">
        <f>G477+H477</f>
        <v>84</v>
      </c>
      <c r="K477" s="3">
        <f>J477*1.13</f>
        <v>94.919999999999987</v>
      </c>
      <c r="L477" s="25">
        <v>0</v>
      </c>
      <c r="O477" s="3">
        <v>48</v>
      </c>
      <c r="P477" s="3">
        <v>43.95</v>
      </c>
      <c r="Q477" s="3">
        <f>P477-G477</f>
        <v>-16.049999999999997</v>
      </c>
      <c r="R477" s="10">
        <f>Q477/O477</f>
        <v>-0.33437499999999992</v>
      </c>
      <c r="S477" s="13">
        <v>45843</v>
      </c>
      <c r="T477" s="7">
        <f ca="1">IF(S477&lt;&gt;"",S477-B477,TODAY()-B477)</f>
        <v>32</v>
      </c>
    </row>
    <row r="478" spans="1:20" hidden="1">
      <c r="A478">
        <v>538</v>
      </c>
      <c r="B478" s="12">
        <v>45811</v>
      </c>
      <c r="D478" t="s">
        <v>19</v>
      </c>
      <c r="E478" t="s">
        <v>902</v>
      </c>
      <c r="F478" t="s">
        <v>226</v>
      </c>
      <c r="G478" s="3">
        <v>190.58</v>
      </c>
      <c r="H478" s="3">
        <f>G478*0.4</f>
        <v>76.232000000000014</v>
      </c>
      <c r="I478" s="8">
        <f>G478*0.15</f>
        <v>28.587</v>
      </c>
      <c r="J478" s="3">
        <f>G478+H478</f>
        <v>266.81200000000001</v>
      </c>
      <c r="K478" s="3">
        <f>J478*1.13</f>
        <v>301.49755999999996</v>
      </c>
      <c r="L478" s="25">
        <v>1</v>
      </c>
      <c r="Q478" s="3">
        <f>P478-G478</f>
        <v>-190.58</v>
      </c>
      <c r="R478" s="10" t="e">
        <f>Q478/O478</f>
        <v>#DIV/0!</v>
      </c>
      <c r="T478" s="7">
        <f ca="1">IF(S478&lt;&gt;"",S478-B478,TODAY()-B478)</f>
        <v>55</v>
      </c>
    </row>
    <row r="479" spans="1:20">
      <c r="A479">
        <v>539</v>
      </c>
      <c r="B479" s="12">
        <v>45811</v>
      </c>
      <c r="D479" t="s">
        <v>787</v>
      </c>
      <c r="E479" t="s">
        <v>903</v>
      </c>
      <c r="F479" t="s">
        <v>226</v>
      </c>
      <c r="G479" s="3">
        <v>165.3</v>
      </c>
      <c r="H479" s="3">
        <f>G479*0.4</f>
        <v>66.12</v>
      </c>
      <c r="I479" s="8">
        <f>G479*0.15</f>
        <v>24.795000000000002</v>
      </c>
      <c r="J479" s="3">
        <f>G479+H479</f>
        <v>231.42000000000002</v>
      </c>
      <c r="K479" s="3">
        <f>J479*1.13</f>
        <v>261.50459999999998</v>
      </c>
      <c r="L479" s="25">
        <v>0</v>
      </c>
      <c r="O479" s="3">
        <v>250</v>
      </c>
      <c r="P479" s="3">
        <v>221.52</v>
      </c>
      <c r="Q479" s="3">
        <f>P479-G479</f>
        <v>56.22</v>
      </c>
      <c r="R479" s="10">
        <f>Q479/O479</f>
        <v>0.22488</v>
      </c>
      <c r="S479" s="13">
        <v>45856</v>
      </c>
      <c r="T479" s="7">
        <f ca="1">IF(S479&lt;&gt;"",S479-B479,TODAY()-B479)</f>
        <v>45</v>
      </c>
    </row>
    <row r="480" spans="1:20">
      <c r="A480">
        <v>540</v>
      </c>
      <c r="B480" s="12">
        <v>45807</v>
      </c>
      <c r="D480" t="s">
        <v>787</v>
      </c>
      <c r="E480" t="s">
        <v>904</v>
      </c>
      <c r="F480" t="s">
        <v>309</v>
      </c>
      <c r="G480" s="3">
        <v>202.39</v>
      </c>
      <c r="H480" s="3">
        <f>G480*0.4</f>
        <v>80.956000000000003</v>
      </c>
      <c r="I480" s="8">
        <f>G480*0.15</f>
        <v>30.358499999999996</v>
      </c>
      <c r="J480" s="3">
        <f>G480+H480</f>
        <v>283.346</v>
      </c>
      <c r="K480" s="3">
        <f>J480*1.13</f>
        <v>320.18097999999998</v>
      </c>
      <c r="L480" s="25">
        <v>0</v>
      </c>
      <c r="O480" s="3">
        <v>600</v>
      </c>
      <c r="P480" s="3">
        <v>480</v>
      </c>
      <c r="Q480" s="3">
        <f>P480-G480</f>
        <v>277.61</v>
      </c>
      <c r="R480" s="10">
        <f>Q480/O480</f>
        <v>0.46268333333333334</v>
      </c>
      <c r="S480" s="13">
        <v>45851</v>
      </c>
      <c r="T480" s="7">
        <f ca="1">IF(S480&lt;&gt;"",S480-B480,TODAY()-B480)</f>
        <v>44</v>
      </c>
    </row>
    <row r="481" spans="1:20">
      <c r="A481">
        <v>541</v>
      </c>
      <c r="B481" s="12">
        <v>45807</v>
      </c>
      <c r="D481" t="s">
        <v>787</v>
      </c>
      <c r="E481" t="s">
        <v>905</v>
      </c>
      <c r="F481" t="s">
        <v>224</v>
      </c>
      <c r="G481" s="3">
        <v>140.22999999999999</v>
      </c>
      <c r="H481" s="8">
        <f>G481*0.3</f>
        <v>42.068999999999996</v>
      </c>
      <c r="I481" s="8">
        <f>G481*0.15</f>
        <v>21.034499999999998</v>
      </c>
      <c r="J481" s="3">
        <f>G481+H481</f>
        <v>182.29899999999998</v>
      </c>
      <c r="K481" s="3">
        <f>J481*1.13</f>
        <v>205.99786999999995</v>
      </c>
      <c r="L481" s="25">
        <v>0</v>
      </c>
      <c r="O481" s="3">
        <v>280</v>
      </c>
      <c r="P481" s="3">
        <v>248.2</v>
      </c>
      <c r="Q481" s="3">
        <f>P481-G481</f>
        <v>107.97</v>
      </c>
      <c r="R481" s="10">
        <f>Q481/O481</f>
        <v>0.38560714285714287</v>
      </c>
      <c r="S481" s="13">
        <v>45830</v>
      </c>
      <c r="T481" s="7">
        <f ca="1">IF(S481&lt;&gt;"",S481-B481,TODAY()-B481)</f>
        <v>23</v>
      </c>
    </row>
    <row r="482" spans="1:20">
      <c r="A482">
        <v>542</v>
      </c>
      <c r="B482" s="12">
        <v>45807</v>
      </c>
      <c r="D482" t="s">
        <v>787</v>
      </c>
      <c r="E482" t="s">
        <v>908</v>
      </c>
      <c r="F482" t="s">
        <v>309</v>
      </c>
      <c r="G482" s="3">
        <v>195.64</v>
      </c>
      <c r="H482" s="3">
        <f>G482*0.4</f>
        <v>78.256</v>
      </c>
      <c r="I482" s="8">
        <f>G482*0.15</f>
        <v>29.345999999999997</v>
      </c>
      <c r="J482" s="3">
        <f>G482+H482</f>
        <v>273.89599999999996</v>
      </c>
      <c r="K482" s="3">
        <f>J482*1.13</f>
        <v>309.50247999999993</v>
      </c>
      <c r="L482" s="25">
        <v>0</v>
      </c>
      <c r="O482" s="3">
        <v>229</v>
      </c>
      <c r="P482" s="3">
        <v>202.89</v>
      </c>
      <c r="Q482" s="3">
        <f>P482-G482</f>
        <v>7.25</v>
      </c>
      <c r="R482" s="10">
        <f>Q482/O482</f>
        <v>3.1659388646288207E-2</v>
      </c>
      <c r="S482" s="13">
        <v>45833</v>
      </c>
      <c r="T482" s="7">
        <f ca="1">IF(S480&lt;&gt;"",S480-B482,TODAY()-B482)</f>
        <v>44</v>
      </c>
    </row>
    <row r="483" spans="1:20">
      <c r="A483">
        <v>543</v>
      </c>
      <c r="B483" s="12">
        <v>45810</v>
      </c>
      <c r="D483" t="s">
        <v>787</v>
      </c>
      <c r="E483" t="s">
        <v>907</v>
      </c>
      <c r="F483" t="s">
        <v>309</v>
      </c>
      <c r="G483" s="3">
        <v>483.52</v>
      </c>
      <c r="H483" s="8">
        <f>G483*0.3</f>
        <v>145.05599999999998</v>
      </c>
      <c r="I483" s="8">
        <f>G483*0.15</f>
        <v>72.527999999999992</v>
      </c>
      <c r="J483" s="3">
        <f>G483+H483</f>
        <v>628.57600000000002</v>
      </c>
      <c r="K483" s="3">
        <f>J483*1.13</f>
        <v>710.2908799999999</v>
      </c>
      <c r="L483" s="25">
        <v>0</v>
      </c>
      <c r="O483" s="3">
        <v>999</v>
      </c>
      <c r="P483" s="3">
        <v>887.35</v>
      </c>
      <c r="Q483" s="3">
        <f>P483-G483</f>
        <v>403.83000000000004</v>
      </c>
      <c r="R483" s="10">
        <f>Q483/O483</f>
        <v>0.40423423423423427</v>
      </c>
      <c r="S483" s="13">
        <v>45833</v>
      </c>
      <c r="T483" s="7">
        <f ca="1">IF(S483&lt;&gt;"",S483-B483,TODAY()-B483)</f>
        <v>23</v>
      </c>
    </row>
    <row r="484" spans="1:20" ht="17" customHeight="1">
      <c r="A484">
        <v>544</v>
      </c>
      <c r="B484" s="12">
        <v>45810</v>
      </c>
      <c r="D484" t="s">
        <v>787</v>
      </c>
      <c r="E484" t="s">
        <v>906</v>
      </c>
      <c r="F484" t="s">
        <v>226</v>
      </c>
      <c r="G484" s="3">
        <v>42.08</v>
      </c>
      <c r="H484" s="8">
        <f>G484*0.3</f>
        <v>12.623999999999999</v>
      </c>
      <c r="I484" s="8">
        <f>G484*0.15</f>
        <v>6.3119999999999994</v>
      </c>
      <c r="J484" s="3">
        <f>G484+H484</f>
        <v>54.703999999999994</v>
      </c>
      <c r="K484" s="3">
        <f>J484*1.13</f>
        <v>61.815519999999985</v>
      </c>
      <c r="L484" s="25">
        <v>0</v>
      </c>
      <c r="O484" s="3">
        <v>133</v>
      </c>
      <c r="P484" s="3">
        <v>117.64</v>
      </c>
      <c r="Q484" s="3">
        <f>P484-G484</f>
        <v>75.56</v>
      </c>
      <c r="R484" s="10">
        <f>Q484/O484</f>
        <v>0.56812030075187969</v>
      </c>
      <c r="S484" s="13">
        <v>45858</v>
      </c>
      <c r="T484" s="7">
        <f ca="1">IF(S482&lt;&gt;"",S482-B484,TODAY()-B484)</f>
        <v>23</v>
      </c>
    </row>
    <row r="485" spans="1:20">
      <c r="A485">
        <v>545</v>
      </c>
      <c r="B485" s="12">
        <v>45807</v>
      </c>
      <c r="D485" t="s">
        <v>19</v>
      </c>
      <c r="E485" t="s">
        <v>910</v>
      </c>
      <c r="F485" t="s">
        <v>309</v>
      </c>
      <c r="G485" s="3">
        <v>112.4</v>
      </c>
      <c r="H485" s="3">
        <f>G485*0.4</f>
        <v>44.960000000000008</v>
      </c>
      <c r="I485" s="8">
        <f>G485*0.15</f>
        <v>16.86</v>
      </c>
      <c r="J485" s="3">
        <f>G485+H485</f>
        <v>157.36000000000001</v>
      </c>
      <c r="K485" s="3">
        <f>J485*1.13</f>
        <v>177.8168</v>
      </c>
      <c r="L485" s="25">
        <v>0</v>
      </c>
      <c r="O485" s="3">
        <v>159</v>
      </c>
      <c r="P485" s="3">
        <v>140.76</v>
      </c>
      <c r="Q485" s="3">
        <f>P485-G485</f>
        <v>28.359999999999985</v>
      </c>
      <c r="R485" s="10">
        <f>Q485/O485</f>
        <v>0.17836477987421373</v>
      </c>
      <c r="S485" s="13">
        <v>45856</v>
      </c>
      <c r="T485" s="7">
        <f ca="1">IF(S485&lt;&gt;"",S485-B485,TODAY()-B485)</f>
        <v>49</v>
      </c>
    </row>
    <row r="486" spans="1:20" hidden="1">
      <c r="A486">
        <v>546</v>
      </c>
      <c r="B486" s="12">
        <v>45807</v>
      </c>
      <c r="D486" t="s">
        <v>19</v>
      </c>
      <c r="E486" t="s">
        <v>911</v>
      </c>
      <c r="F486" t="s">
        <v>226</v>
      </c>
      <c r="G486" s="3">
        <v>117.61</v>
      </c>
      <c r="H486" s="3">
        <f>G486*0.4</f>
        <v>47.044000000000004</v>
      </c>
      <c r="I486" s="8">
        <f>G486*0.15</f>
        <v>17.641500000000001</v>
      </c>
      <c r="J486" s="3">
        <f>G486+H486</f>
        <v>164.654</v>
      </c>
      <c r="K486" s="3">
        <f>J486*1.13</f>
        <v>186.05901999999998</v>
      </c>
      <c r="L486" s="25">
        <v>1</v>
      </c>
      <c r="Q486" s="3">
        <f>P486-G486</f>
        <v>-117.61</v>
      </c>
      <c r="R486" s="10" t="e">
        <f>Q486/O486</f>
        <v>#DIV/0!</v>
      </c>
      <c r="T486" s="7">
        <f ca="1">IF(S486&lt;&gt;"",S486-B486,TODAY()-B486)</f>
        <v>59</v>
      </c>
    </row>
    <row r="487" spans="1:20">
      <c r="A487">
        <v>547</v>
      </c>
      <c r="B487" s="12">
        <v>45806</v>
      </c>
      <c r="D487" t="s">
        <v>55</v>
      </c>
      <c r="E487" t="s">
        <v>909</v>
      </c>
      <c r="F487" t="s">
        <v>46</v>
      </c>
      <c r="G487" s="3">
        <v>11.12</v>
      </c>
      <c r="H487" s="3">
        <f>G487*0.4</f>
        <v>4.4479999999999995</v>
      </c>
      <c r="I487" s="8">
        <f>G487*0.15</f>
        <v>1.6679999999999999</v>
      </c>
      <c r="J487" s="3">
        <f>G487+H487</f>
        <v>15.567999999999998</v>
      </c>
      <c r="K487" s="3">
        <f>J487*1.13</f>
        <v>17.591839999999994</v>
      </c>
      <c r="L487" s="25">
        <v>0</v>
      </c>
      <c r="O487" s="3">
        <v>35</v>
      </c>
      <c r="P487" s="3">
        <v>32.06</v>
      </c>
      <c r="Q487" s="3">
        <f>P487-G487</f>
        <v>20.940000000000005</v>
      </c>
      <c r="R487" s="10">
        <f>Q487/O487</f>
        <v>0.59828571428571442</v>
      </c>
      <c r="S487" s="13">
        <v>45842</v>
      </c>
      <c r="T487" s="7">
        <f ca="1">IF(S487&lt;&gt;"",S487-B487,TODAY()-B487)</f>
        <v>36</v>
      </c>
    </row>
    <row r="488" spans="1:20">
      <c r="A488">
        <v>548</v>
      </c>
      <c r="B488" s="12">
        <v>45811</v>
      </c>
      <c r="D488" t="s">
        <v>19</v>
      </c>
      <c r="E488" t="s">
        <v>912</v>
      </c>
      <c r="F488" t="s">
        <v>309</v>
      </c>
      <c r="G488" s="3">
        <v>117.61</v>
      </c>
      <c r="H488" s="3">
        <f>G488*0.4</f>
        <v>47.044000000000004</v>
      </c>
      <c r="I488" s="8">
        <f>G488*0.15</f>
        <v>17.641500000000001</v>
      </c>
      <c r="J488" s="3">
        <f>G488+H488</f>
        <v>164.654</v>
      </c>
      <c r="K488" s="3">
        <f>J488*1.13</f>
        <v>186.05901999999998</v>
      </c>
      <c r="L488" s="25">
        <v>0</v>
      </c>
      <c r="O488" s="3">
        <v>154</v>
      </c>
      <c r="P488" s="3">
        <v>136.46</v>
      </c>
      <c r="Q488" s="3">
        <f>P488-G488</f>
        <v>18.850000000000009</v>
      </c>
      <c r="R488" s="10">
        <f>Q488/O488</f>
        <v>0.12240259740259746</v>
      </c>
      <c r="S488" s="13">
        <v>45859</v>
      </c>
      <c r="T488" s="7">
        <f ca="1">IF(S488&lt;&gt;"",S488-B488,TODAY()-B488)</f>
        <v>48</v>
      </c>
    </row>
    <row r="489" spans="1:20">
      <c r="A489">
        <v>549</v>
      </c>
      <c r="B489" s="12">
        <v>45811</v>
      </c>
      <c r="D489" t="s">
        <v>19</v>
      </c>
      <c r="E489" t="s">
        <v>913</v>
      </c>
      <c r="F489" t="s">
        <v>224</v>
      </c>
      <c r="G489" s="3">
        <v>116.52</v>
      </c>
      <c r="H489" s="8">
        <f>G489*0.3</f>
        <v>34.955999999999996</v>
      </c>
      <c r="I489" s="8">
        <f>G489*0.15</f>
        <v>17.477999999999998</v>
      </c>
      <c r="J489" s="3">
        <f>G489+H489</f>
        <v>151.476</v>
      </c>
      <c r="K489" s="3">
        <f>J489*1.13</f>
        <v>171.16788</v>
      </c>
      <c r="L489" s="25">
        <v>0</v>
      </c>
      <c r="O489" s="3">
        <v>175</v>
      </c>
      <c r="P489" s="3">
        <v>155.27000000000001</v>
      </c>
      <c r="Q489" s="3">
        <f>P489-G489</f>
        <v>38.750000000000014</v>
      </c>
      <c r="R489" s="10">
        <f>Q489/O489</f>
        <v>0.2214285714285715</v>
      </c>
      <c r="S489" s="13">
        <v>45820</v>
      </c>
      <c r="T489" s="7">
        <f ca="1">IF(S489&lt;&gt;"",S489-B489,TODAY()-B489)</f>
        <v>9</v>
      </c>
    </row>
    <row r="490" spans="1:20">
      <c r="A490">
        <v>550</v>
      </c>
      <c r="B490" s="12">
        <v>45811</v>
      </c>
      <c r="D490" t="s">
        <v>132</v>
      </c>
      <c r="E490" t="s">
        <v>914</v>
      </c>
      <c r="F490" t="s">
        <v>226</v>
      </c>
      <c r="G490" s="3">
        <v>147.65</v>
      </c>
      <c r="H490" s="3">
        <f>G490*0.4</f>
        <v>59.06</v>
      </c>
      <c r="I490" s="8">
        <f>G490*0.15</f>
        <v>22.147500000000001</v>
      </c>
      <c r="J490" s="3">
        <f>G490+H490</f>
        <v>206.71</v>
      </c>
      <c r="K490" s="3">
        <f>J490*1.13</f>
        <v>233.58229999999998</v>
      </c>
      <c r="L490" s="25">
        <v>0</v>
      </c>
      <c r="O490" s="3">
        <v>235</v>
      </c>
      <c r="P490" s="3">
        <v>208.51</v>
      </c>
      <c r="Q490" s="3">
        <f>P490-G490</f>
        <v>60.859999999999985</v>
      </c>
      <c r="R490" s="10">
        <f>Q490/O490</f>
        <v>0.25897872340425526</v>
      </c>
      <c r="S490" s="13">
        <v>45864</v>
      </c>
      <c r="T490" s="7">
        <f ca="1">IF(S490&lt;&gt;"",S490-B490,TODAY()-B490)</f>
        <v>53</v>
      </c>
    </row>
    <row r="491" spans="1:20">
      <c r="A491">
        <v>551</v>
      </c>
      <c r="B491" s="12">
        <v>45811</v>
      </c>
      <c r="D491" t="s">
        <v>915</v>
      </c>
      <c r="E491" t="s">
        <v>916</v>
      </c>
      <c r="F491" t="s">
        <v>294</v>
      </c>
      <c r="G491" s="3">
        <v>38.49</v>
      </c>
      <c r="H491" s="8">
        <f>G491*0.3</f>
        <v>11.547000000000001</v>
      </c>
      <c r="I491" s="8">
        <f>G491*0.15</f>
        <v>5.7735000000000003</v>
      </c>
      <c r="J491" s="3">
        <f>G491+H491</f>
        <v>50.037000000000006</v>
      </c>
      <c r="K491" s="3">
        <f>J491*1.13</f>
        <v>56.541809999999998</v>
      </c>
      <c r="L491" s="25">
        <v>0</v>
      </c>
      <c r="O491" s="3">
        <v>0</v>
      </c>
      <c r="P491" s="3">
        <v>0</v>
      </c>
      <c r="Q491" s="3">
        <f>P491-G491</f>
        <v>-38.49</v>
      </c>
      <c r="R491" s="10" t="e">
        <f>Q491/O491</f>
        <v>#DIV/0!</v>
      </c>
      <c r="T491" s="7">
        <f ca="1">IF(S491&lt;&gt;"",S491-B491,TODAY()-B491)</f>
        <v>55</v>
      </c>
    </row>
    <row r="492" spans="1:20" hidden="1">
      <c r="A492">
        <v>552</v>
      </c>
      <c r="B492" s="12">
        <v>45811</v>
      </c>
      <c r="D492" t="s">
        <v>48</v>
      </c>
      <c r="E492" t="s">
        <v>917</v>
      </c>
      <c r="F492" t="s">
        <v>46</v>
      </c>
      <c r="G492" s="3">
        <v>102.37</v>
      </c>
      <c r="H492" s="3">
        <f>G492*0.4</f>
        <v>40.948000000000008</v>
      </c>
      <c r="I492" s="8">
        <f>G492*0.15</f>
        <v>15.355499999999999</v>
      </c>
      <c r="J492" s="3">
        <f>G492+H492</f>
        <v>143.31800000000001</v>
      </c>
      <c r="K492" s="3">
        <f>J492*1.13</f>
        <v>161.94934000000001</v>
      </c>
      <c r="L492" s="25">
        <v>1</v>
      </c>
      <c r="Q492" s="3">
        <f>P492-G492</f>
        <v>-102.37</v>
      </c>
      <c r="R492" s="10" t="e">
        <f>Q492/O492</f>
        <v>#DIV/0!</v>
      </c>
      <c r="T492" s="7">
        <f ca="1">IF(S492&lt;&gt;"",S492-B492,TODAY()-B492)</f>
        <v>55</v>
      </c>
    </row>
    <row r="493" spans="1:20">
      <c r="A493">
        <v>553</v>
      </c>
      <c r="B493" s="12">
        <v>45811</v>
      </c>
      <c r="D493" t="s">
        <v>48</v>
      </c>
      <c r="E493" t="s">
        <v>918</v>
      </c>
      <c r="F493" t="s">
        <v>294</v>
      </c>
      <c r="G493" s="3">
        <v>44.88</v>
      </c>
      <c r="H493" s="8">
        <f>G493*0.3</f>
        <v>13.464</v>
      </c>
      <c r="I493" s="8">
        <f>G493*0.15</f>
        <v>6.7320000000000002</v>
      </c>
      <c r="J493" s="3">
        <f>G493+H493</f>
        <v>58.344000000000001</v>
      </c>
      <c r="K493" s="3">
        <f>J493*1.13</f>
        <v>65.928719999999998</v>
      </c>
      <c r="L493" s="25">
        <v>0</v>
      </c>
      <c r="O493" s="3">
        <v>0</v>
      </c>
      <c r="P493" s="3">
        <v>0</v>
      </c>
      <c r="Q493" s="3">
        <f>P493-G493</f>
        <v>-44.88</v>
      </c>
      <c r="R493" s="10" t="e">
        <f>Q493/O493</f>
        <v>#DIV/0!</v>
      </c>
      <c r="T493" s="7">
        <f ca="1">IF(S493&lt;&gt;"",S493-B493,TODAY()-B493)</f>
        <v>55</v>
      </c>
    </row>
    <row r="494" spans="1:20" hidden="1">
      <c r="A494">
        <v>554</v>
      </c>
      <c r="B494" s="12">
        <v>45811</v>
      </c>
      <c r="D494" t="s">
        <v>19</v>
      </c>
      <c r="E494" t="s">
        <v>919</v>
      </c>
      <c r="F494" t="s">
        <v>224</v>
      </c>
      <c r="G494" s="3">
        <v>137.21</v>
      </c>
      <c r="H494" s="3">
        <f>G494*0.4</f>
        <v>54.884000000000007</v>
      </c>
      <c r="I494" s="8">
        <f>G494*0.15</f>
        <v>20.581500000000002</v>
      </c>
      <c r="J494" s="3">
        <f>G494+H494</f>
        <v>192.09400000000002</v>
      </c>
      <c r="K494" s="3">
        <f>J494*1.13</f>
        <v>217.06622000000002</v>
      </c>
      <c r="L494" s="25">
        <v>1</v>
      </c>
      <c r="Q494" s="3">
        <f>P494-G494</f>
        <v>-137.21</v>
      </c>
      <c r="R494" s="10" t="e">
        <f>Q494/O494</f>
        <v>#DIV/0!</v>
      </c>
      <c r="T494" s="7">
        <f ca="1">IF(S494&lt;&gt;"",S494-B494,TODAY()-B494)</f>
        <v>55</v>
      </c>
    </row>
    <row r="495" spans="1:20" hidden="1">
      <c r="A495">
        <v>555</v>
      </c>
      <c r="B495" s="12">
        <v>45811</v>
      </c>
      <c r="D495" t="s">
        <v>19</v>
      </c>
      <c r="E495" t="s">
        <v>920</v>
      </c>
      <c r="F495" t="s">
        <v>224</v>
      </c>
      <c r="G495" s="3">
        <v>140</v>
      </c>
      <c r="H495" s="3">
        <f>G495*0.4</f>
        <v>56</v>
      </c>
      <c r="I495" s="8">
        <f>G495*0.15</f>
        <v>21</v>
      </c>
      <c r="J495" s="3">
        <f>G495+H495</f>
        <v>196</v>
      </c>
      <c r="K495" s="3">
        <f>J495*1.13</f>
        <v>221.48</v>
      </c>
      <c r="L495" s="25">
        <v>1</v>
      </c>
      <c r="Q495" s="3">
        <f>P495-G495</f>
        <v>-140</v>
      </c>
      <c r="R495" s="10" t="e">
        <f>Q495/O495</f>
        <v>#DIV/0!</v>
      </c>
      <c r="T495" s="7">
        <f ca="1">IF(S495&lt;&gt;"",S495-B495,TODAY()-B495)</f>
        <v>55</v>
      </c>
    </row>
    <row r="496" spans="1:20" hidden="1">
      <c r="A496">
        <v>556</v>
      </c>
      <c r="B496" s="12">
        <v>45812</v>
      </c>
      <c r="D496" t="s">
        <v>871</v>
      </c>
      <c r="E496" t="s">
        <v>921</v>
      </c>
      <c r="F496" t="s">
        <v>224</v>
      </c>
      <c r="G496" s="3">
        <v>173.59</v>
      </c>
      <c r="H496" s="3">
        <f>G496*0.4</f>
        <v>69.436000000000007</v>
      </c>
      <c r="I496" s="8">
        <f>G496*0.15</f>
        <v>26.038499999999999</v>
      </c>
      <c r="J496" s="3">
        <f>G496+H496</f>
        <v>243.02600000000001</v>
      </c>
      <c r="K496" s="3">
        <f>J496*1.13</f>
        <v>274.61937999999998</v>
      </c>
      <c r="L496" s="25">
        <v>1</v>
      </c>
      <c r="Q496" s="3">
        <f>P496-G496</f>
        <v>-173.59</v>
      </c>
      <c r="R496" s="10" t="e">
        <f>Q496/O496</f>
        <v>#DIV/0!</v>
      </c>
      <c r="T496" s="7">
        <f ca="1">IF(S496&lt;&gt;"",S496-B496,TODAY()-B496)</f>
        <v>54</v>
      </c>
    </row>
    <row r="497" spans="1:20">
      <c r="A497">
        <v>557</v>
      </c>
      <c r="B497" s="12">
        <v>45812</v>
      </c>
      <c r="D497" t="s">
        <v>809</v>
      </c>
      <c r="E497" t="s">
        <v>922</v>
      </c>
      <c r="F497" t="s">
        <v>294</v>
      </c>
      <c r="G497" s="3">
        <v>96</v>
      </c>
      <c r="H497" s="8">
        <f>G497*0.3</f>
        <v>28.799999999999997</v>
      </c>
      <c r="I497" s="8">
        <f>G497*0.15</f>
        <v>14.399999999999999</v>
      </c>
      <c r="J497" s="3">
        <f>G497+H497</f>
        <v>124.8</v>
      </c>
      <c r="K497" s="3">
        <f>J497*1.13</f>
        <v>141.02399999999997</v>
      </c>
      <c r="L497" s="25">
        <v>0</v>
      </c>
      <c r="O497" s="3">
        <v>0</v>
      </c>
      <c r="P497" s="3">
        <v>0</v>
      </c>
      <c r="Q497" s="3">
        <f>P497-G497</f>
        <v>-96</v>
      </c>
      <c r="R497" s="10" t="e">
        <f>Q497/O497</f>
        <v>#DIV/0!</v>
      </c>
      <c r="S497" s="13">
        <v>45812</v>
      </c>
      <c r="T497" s="7">
        <f ca="1">IF(S497&lt;&gt;"",S497-B497,TODAY()-B497)</f>
        <v>0</v>
      </c>
    </row>
    <row r="498" spans="1:20">
      <c r="A498">
        <v>558</v>
      </c>
      <c r="B498" s="12">
        <v>45812</v>
      </c>
      <c r="D498" t="s">
        <v>809</v>
      </c>
      <c r="E498" t="s">
        <v>923</v>
      </c>
      <c r="F498" t="s">
        <v>294</v>
      </c>
      <c r="G498" s="3">
        <v>80</v>
      </c>
      <c r="H498" s="8">
        <f>G498*0.3</f>
        <v>24</v>
      </c>
      <c r="I498" s="8">
        <f>G498*0.15</f>
        <v>12</v>
      </c>
      <c r="J498" s="3">
        <f>G498+H498</f>
        <v>104</v>
      </c>
      <c r="K498" s="3">
        <f>J498*1.13</f>
        <v>117.51999999999998</v>
      </c>
      <c r="L498" s="25">
        <v>0</v>
      </c>
      <c r="O498" s="3">
        <v>0</v>
      </c>
      <c r="P498" s="3">
        <v>0</v>
      </c>
      <c r="Q498" s="3">
        <f>P498-G498</f>
        <v>-80</v>
      </c>
      <c r="R498" s="10" t="e">
        <f>Q498/O498</f>
        <v>#DIV/0!</v>
      </c>
      <c r="S498" s="13">
        <v>45812</v>
      </c>
      <c r="T498" s="7">
        <f ca="1">IF(S498&lt;&gt;"",S498-B498,TODAY()-B498)</f>
        <v>0</v>
      </c>
    </row>
    <row r="499" spans="1:20">
      <c r="A499">
        <v>559</v>
      </c>
      <c r="B499" s="12">
        <v>45813</v>
      </c>
      <c r="D499" t="s">
        <v>809</v>
      </c>
      <c r="E499" t="s">
        <v>924</v>
      </c>
      <c r="F499" t="s">
        <v>294</v>
      </c>
      <c r="G499" s="3">
        <v>35</v>
      </c>
      <c r="H499" s="8">
        <f>G499*0.3</f>
        <v>10.5</v>
      </c>
      <c r="I499" s="8">
        <f>G499*0.15</f>
        <v>5.25</v>
      </c>
      <c r="J499" s="3">
        <f>G499+H499</f>
        <v>45.5</v>
      </c>
      <c r="K499" s="3">
        <f>J499*1.13</f>
        <v>51.414999999999992</v>
      </c>
      <c r="L499" s="25">
        <v>0</v>
      </c>
      <c r="O499" s="3">
        <v>50</v>
      </c>
      <c r="P499" s="3">
        <v>43.81</v>
      </c>
      <c r="Q499" s="3">
        <f>P499-G499</f>
        <v>8.8100000000000023</v>
      </c>
      <c r="R499" s="10">
        <f>Q499/O499</f>
        <v>0.17620000000000005</v>
      </c>
      <c r="S499" s="13">
        <v>45813</v>
      </c>
      <c r="T499" s="7">
        <f ca="1">IF(S499&lt;&gt;"",S499-B499,TODAY()-B499)</f>
        <v>0</v>
      </c>
    </row>
    <row r="500" spans="1:20">
      <c r="A500">
        <v>560</v>
      </c>
      <c r="B500" s="12">
        <v>45813</v>
      </c>
      <c r="D500" t="s">
        <v>809</v>
      </c>
      <c r="E500" t="s">
        <v>925</v>
      </c>
      <c r="F500" t="s">
        <v>294</v>
      </c>
      <c r="G500" s="3">
        <v>56</v>
      </c>
      <c r="H500" s="8">
        <f>G500*0.3</f>
        <v>16.8</v>
      </c>
      <c r="I500" s="8">
        <f>G500*0.15</f>
        <v>8.4</v>
      </c>
      <c r="J500" s="3">
        <f>G500+H500</f>
        <v>72.8</v>
      </c>
      <c r="K500" s="3">
        <f>J500*1.13</f>
        <v>82.263999999999996</v>
      </c>
      <c r="L500" s="25">
        <v>0</v>
      </c>
      <c r="O500" s="3">
        <v>0</v>
      </c>
      <c r="P500" s="3">
        <v>0</v>
      </c>
      <c r="Q500" s="3">
        <f>P500-G500</f>
        <v>-56</v>
      </c>
      <c r="R500" s="10" t="e">
        <f>Q500/O500</f>
        <v>#DIV/0!</v>
      </c>
      <c r="S500" s="13">
        <v>45813</v>
      </c>
      <c r="T500" s="7">
        <f ca="1">IF(S500&lt;&gt;"",S500-B500,TODAY()-B500)</f>
        <v>0</v>
      </c>
    </row>
    <row r="501" spans="1:20">
      <c r="A501">
        <v>561</v>
      </c>
      <c r="B501" s="12">
        <v>45813</v>
      </c>
      <c r="D501" t="s">
        <v>809</v>
      </c>
      <c r="E501" t="s">
        <v>926</v>
      </c>
      <c r="F501" t="s">
        <v>294</v>
      </c>
      <c r="G501" s="3">
        <v>86</v>
      </c>
      <c r="H501" s="8">
        <f>G501*0.3</f>
        <v>25.8</v>
      </c>
      <c r="I501" s="8">
        <f>G501*0.15</f>
        <v>12.9</v>
      </c>
      <c r="J501" s="3">
        <f>G501+H501</f>
        <v>111.8</v>
      </c>
      <c r="K501" s="3">
        <f>J501*1.13</f>
        <v>126.33399999999999</v>
      </c>
      <c r="L501" s="25">
        <v>0</v>
      </c>
      <c r="O501" s="3">
        <v>0</v>
      </c>
      <c r="P501" s="3">
        <v>0</v>
      </c>
      <c r="Q501" s="3">
        <f>P501-G501</f>
        <v>-86</v>
      </c>
      <c r="R501" s="10" t="e">
        <f>Q501/O501</f>
        <v>#DIV/0!</v>
      </c>
      <c r="S501" s="13">
        <v>45813</v>
      </c>
      <c r="T501" s="7">
        <f ca="1">IF(S501&lt;&gt;"",S501-B501,TODAY()-B501)</f>
        <v>0</v>
      </c>
    </row>
    <row r="502" spans="1:20">
      <c r="A502">
        <v>562</v>
      </c>
      <c r="B502" s="12">
        <v>45814</v>
      </c>
      <c r="D502" t="s">
        <v>809</v>
      </c>
      <c r="E502" t="s">
        <v>639</v>
      </c>
      <c r="F502" t="s">
        <v>294</v>
      </c>
      <c r="G502" s="3">
        <v>0.01</v>
      </c>
      <c r="H502" s="8">
        <f>G502*0.3</f>
        <v>3.0000000000000001E-3</v>
      </c>
      <c r="I502" s="8">
        <f>G502*0.15</f>
        <v>1.5E-3</v>
      </c>
      <c r="J502" s="3">
        <f>G502+H502</f>
        <v>1.3000000000000001E-2</v>
      </c>
      <c r="K502" s="3">
        <f>J502*1.13</f>
        <v>1.469E-2</v>
      </c>
      <c r="L502" s="25">
        <v>0</v>
      </c>
      <c r="O502" s="3">
        <v>38</v>
      </c>
      <c r="P502" s="3">
        <v>21.46</v>
      </c>
      <c r="Q502" s="3">
        <f>P502-G502</f>
        <v>21.45</v>
      </c>
      <c r="R502" s="10">
        <f>Q502/O502</f>
        <v>0.56447368421052635</v>
      </c>
      <c r="S502" s="13">
        <v>45814</v>
      </c>
      <c r="T502" s="7">
        <f ca="1">IF(S502&lt;&gt;"",S502-B502,TODAY()-B502)</f>
        <v>0</v>
      </c>
    </row>
    <row r="503" spans="1:20">
      <c r="A503">
        <v>563</v>
      </c>
      <c r="B503" s="12">
        <v>45814</v>
      </c>
      <c r="D503" t="s">
        <v>809</v>
      </c>
      <c r="E503" t="s">
        <v>851</v>
      </c>
      <c r="F503" t="s">
        <v>294</v>
      </c>
      <c r="G503" s="3">
        <v>75.97</v>
      </c>
      <c r="H503" s="8">
        <f>G503*0.3</f>
        <v>22.791</v>
      </c>
      <c r="I503" s="8">
        <f>G503*0.15</f>
        <v>11.3955</v>
      </c>
      <c r="J503" s="3">
        <f>G503+H503</f>
        <v>98.760999999999996</v>
      </c>
      <c r="K503" s="3">
        <f>J503*1.13</f>
        <v>111.59992999999999</v>
      </c>
      <c r="L503" s="25">
        <v>0</v>
      </c>
      <c r="O503" s="3">
        <v>0</v>
      </c>
      <c r="P503" s="3">
        <v>0</v>
      </c>
      <c r="Q503" s="3">
        <f>P503-G503</f>
        <v>-75.97</v>
      </c>
      <c r="R503" s="10" t="e">
        <f>Q503/O503</f>
        <v>#DIV/0!</v>
      </c>
      <c r="S503" s="13">
        <v>45814</v>
      </c>
      <c r="T503" s="7">
        <f ca="1">IF(S503&lt;&gt;"",S503-B503,TODAY()-B503)</f>
        <v>0</v>
      </c>
    </row>
    <row r="504" spans="1:20">
      <c r="A504">
        <v>564</v>
      </c>
      <c r="B504" s="12">
        <v>45814</v>
      </c>
      <c r="D504" t="s">
        <v>809</v>
      </c>
      <c r="E504" t="s">
        <v>867</v>
      </c>
      <c r="F504" t="s">
        <v>294</v>
      </c>
      <c r="G504" s="3">
        <v>90</v>
      </c>
      <c r="H504" s="8">
        <f>G504*0.3</f>
        <v>27</v>
      </c>
      <c r="I504" s="8">
        <f>G504*0.15</f>
        <v>13.5</v>
      </c>
      <c r="J504" s="3">
        <f>G504+H504</f>
        <v>117</v>
      </c>
      <c r="K504" s="3">
        <f>J504*1.13</f>
        <v>132.20999999999998</v>
      </c>
      <c r="L504" s="25">
        <v>0</v>
      </c>
      <c r="O504" s="3">
        <v>0</v>
      </c>
      <c r="P504" s="3">
        <v>0</v>
      </c>
      <c r="Q504" s="3">
        <f>P504-G504</f>
        <v>-90</v>
      </c>
      <c r="R504" s="10" t="e">
        <f>Q504/O504</f>
        <v>#DIV/0!</v>
      </c>
      <c r="S504" s="13">
        <v>45814</v>
      </c>
      <c r="T504" s="7">
        <f ca="1">IF(S504&lt;&gt;"",S504-B504,TODAY()-B504)</f>
        <v>0</v>
      </c>
    </row>
    <row r="505" spans="1:20">
      <c r="A505">
        <v>565</v>
      </c>
      <c r="B505" s="12">
        <v>45814</v>
      </c>
      <c r="D505" t="s">
        <v>809</v>
      </c>
      <c r="E505" t="s">
        <v>927</v>
      </c>
      <c r="F505" t="s">
        <v>294</v>
      </c>
      <c r="G505" s="3">
        <v>3</v>
      </c>
      <c r="H505" s="8">
        <f>G505*0.3</f>
        <v>0.89999999999999991</v>
      </c>
      <c r="I505" s="8">
        <f>G505*0.15</f>
        <v>0.44999999999999996</v>
      </c>
      <c r="J505" s="3">
        <f>G505+H505</f>
        <v>3.9</v>
      </c>
      <c r="K505" s="3">
        <f>J505*1.13</f>
        <v>4.4069999999999991</v>
      </c>
      <c r="L505" s="25">
        <v>0</v>
      </c>
      <c r="O505" s="3">
        <v>15</v>
      </c>
      <c r="P505" s="3">
        <v>13.04</v>
      </c>
      <c r="Q505" s="3">
        <f>P505-G505</f>
        <v>10.039999999999999</v>
      </c>
      <c r="R505" s="10">
        <f>Q505/O505</f>
        <v>0.66933333333333322</v>
      </c>
      <c r="S505" s="13">
        <v>45814</v>
      </c>
      <c r="T505" s="7">
        <f ca="1">IF(S505&lt;&gt;"",S505-B505,TODAY()-B505)</f>
        <v>0</v>
      </c>
    </row>
    <row r="506" spans="1:20">
      <c r="A506">
        <v>566</v>
      </c>
      <c r="B506" s="12">
        <v>45814</v>
      </c>
      <c r="D506" t="s">
        <v>809</v>
      </c>
      <c r="E506" t="s">
        <v>928</v>
      </c>
      <c r="F506" t="s">
        <v>294</v>
      </c>
      <c r="G506" s="3">
        <v>26</v>
      </c>
      <c r="H506" s="8">
        <f>G506*0.3</f>
        <v>7.8</v>
      </c>
      <c r="I506" s="8">
        <f>G506*0.15</f>
        <v>3.9</v>
      </c>
      <c r="J506" s="3">
        <f>G506+H506</f>
        <v>33.799999999999997</v>
      </c>
      <c r="K506" s="3">
        <f>J506*1.13</f>
        <v>38.193999999999996</v>
      </c>
      <c r="L506" s="25">
        <v>0</v>
      </c>
      <c r="O506" s="3">
        <v>56</v>
      </c>
      <c r="P506" s="3">
        <v>49.24</v>
      </c>
      <c r="Q506" s="3">
        <f>P506-G506</f>
        <v>23.240000000000002</v>
      </c>
      <c r="R506" s="10">
        <f>Q506/O506</f>
        <v>0.41500000000000004</v>
      </c>
      <c r="S506" s="13">
        <v>45814</v>
      </c>
      <c r="T506" s="7">
        <f ca="1">IF(S506&lt;&gt;"",S506-B506,TODAY()-B506)</f>
        <v>0</v>
      </c>
    </row>
    <row r="507" spans="1:20">
      <c r="A507">
        <v>567</v>
      </c>
      <c r="B507" s="12">
        <v>45816</v>
      </c>
      <c r="D507" t="s">
        <v>809</v>
      </c>
      <c r="E507" t="s">
        <v>639</v>
      </c>
      <c r="F507" t="s">
        <v>294</v>
      </c>
      <c r="G507" s="3">
        <v>0.01</v>
      </c>
      <c r="H507" s="8">
        <f>G507*0.3</f>
        <v>3.0000000000000001E-3</v>
      </c>
      <c r="I507" s="8">
        <f>G507*0.15</f>
        <v>1.5E-3</v>
      </c>
      <c r="J507" s="3">
        <f>G507+H507</f>
        <v>1.3000000000000001E-2</v>
      </c>
      <c r="K507" s="3">
        <f>J507*1.13</f>
        <v>1.469E-2</v>
      </c>
      <c r="L507" s="25">
        <v>0</v>
      </c>
      <c r="O507" s="3">
        <v>4.5999999999999996</v>
      </c>
      <c r="P507" s="3">
        <v>4.5999999999999996</v>
      </c>
      <c r="Q507" s="3">
        <f>P507-G507</f>
        <v>4.59</v>
      </c>
      <c r="R507" s="10">
        <f>Q507/O507</f>
        <v>0.99782608695652175</v>
      </c>
      <c r="S507" s="13">
        <v>45816</v>
      </c>
      <c r="T507" s="7">
        <f ca="1">IF(S507&lt;&gt;"",S507-B507,TODAY()-B507)</f>
        <v>0</v>
      </c>
    </row>
    <row r="508" spans="1:20">
      <c r="A508">
        <v>568</v>
      </c>
      <c r="B508" s="12">
        <v>45816</v>
      </c>
      <c r="D508" t="s">
        <v>809</v>
      </c>
      <c r="E508" t="s">
        <v>638</v>
      </c>
      <c r="F508" t="s">
        <v>294</v>
      </c>
      <c r="G508" s="3">
        <f>7*3.5</f>
        <v>24.5</v>
      </c>
      <c r="H508" s="8">
        <f>G508*0.3</f>
        <v>7.35</v>
      </c>
      <c r="I508" s="8">
        <f>G508*0.15</f>
        <v>3.6749999999999998</v>
      </c>
      <c r="J508" s="3">
        <f>G508+H508</f>
        <v>31.85</v>
      </c>
      <c r="K508" s="3">
        <f>J508*1.13</f>
        <v>35.990499999999997</v>
      </c>
      <c r="L508" s="25">
        <v>0</v>
      </c>
      <c r="O508" s="3">
        <f>70</f>
        <v>70</v>
      </c>
      <c r="P508" s="3">
        <v>59.4</v>
      </c>
      <c r="Q508" s="3">
        <f>P508-G508</f>
        <v>34.9</v>
      </c>
      <c r="R508" s="10">
        <f>Q508/O508</f>
        <v>0.49857142857142855</v>
      </c>
      <c r="S508" s="13">
        <v>45816</v>
      </c>
      <c r="T508" s="7">
        <f ca="1">IF(S508&lt;&gt;"",S508-B508,TODAY()-B508)</f>
        <v>0</v>
      </c>
    </row>
    <row r="509" spans="1:20">
      <c r="A509">
        <v>569</v>
      </c>
      <c r="B509" s="12">
        <v>45816</v>
      </c>
      <c r="D509" t="s">
        <v>809</v>
      </c>
      <c r="E509" t="s">
        <v>924</v>
      </c>
      <c r="F509" t="s">
        <v>294</v>
      </c>
      <c r="G509" s="3">
        <v>29</v>
      </c>
      <c r="H509" s="8">
        <f>G509*0.3</f>
        <v>8.6999999999999993</v>
      </c>
      <c r="I509" s="8">
        <f>G509*0.15</f>
        <v>4.3499999999999996</v>
      </c>
      <c r="J509" s="3">
        <f>G509+H509</f>
        <v>37.700000000000003</v>
      </c>
      <c r="K509" s="3">
        <f>J509*1.13</f>
        <v>42.600999999999999</v>
      </c>
      <c r="L509" s="25">
        <v>0</v>
      </c>
      <c r="O509" s="3">
        <v>26</v>
      </c>
      <c r="P509" s="3">
        <v>22.82</v>
      </c>
      <c r="Q509" s="3">
        <f>P509-G509</f>
        <v>-6.18</v>
      </c>
      <c r="R509" s="10">
        <f>Q509/O509</f>
        <v>-0.23769230769230767</v>
      </c>
      <c r="S509" s="13">
        <v>45816</v>
      </c>
      <c r="T509" s="7">
        <f ca="1">IF(S509&lt;&gt;"",S509-B509,TODAY()-B509)</f>
        <v>0</v>
      </c>
    </row>
    <row r="510" spans="1:20">
      <c r="A510">
        <v>570</v>
      </c>
      <c r="B510" s="12">
        <v>45816</v>
      </c>
      <c r="D510" t="s">
        <v>809</v>
      </c>
      <c r="E510" t="s">
        <v>929</v>
      </c>
      <c r="F510" t="s">
        <v>294</v>
      </c>
      <c r="G510" s="3">
        <f>81.37+(27*0.4)</f>
        <v>92.17</v>
      </c>
      <c r="H510" s="8">
        <f>G510*0.3</f>
        <v>27.651</v>
      </c>
      <c r="I510" s="8">
        <f>G510*0.15</f>
        <v>13.8255</v>
      </c>
      <c r="J510" s="3">
        <f>G510+H510</f>
        <v>119.821</v>
      </c>
      <c r="K510" s="3">
        <f>J510*1.13</f>
        <v>135.39773</v>
      </c>
      <c r="L510" s="25">
        <v>0</v>
      </c>
      <c r="O510" s="3">
        <v>0</v>
      </c>
      <c r="P510" s="3">
        <v>0</v>
      </c>
      <c r="Q510" s="3">
        <f>P510-G510</f>
        <v>-92.17</v>
      </c>
      <c r="R510" s="10" t="e">
        <f>Q510/O510</f>
        <v>#DIV/0!</v>
      </c>
      <c r="S510" s="13">
        <v>45816</v>
      </c>
      <c r="T510" s="7">
        <f ca="1">IF(S510&lt;&gt;"",S510-B510,TODAY()-B510)</f>
        <v>0</v>
      </c>
    </row>
    <row r="511" spans="1:20">
      <c r="A511">
        <v>571</v>
      </c>
      <c r="B511" s="12">
        <v>45816</v>
      </c>
      <c r="D511" t="s">
        <v>809</v>
      </c>
      <c r="E511" t="s">
        <v>930</v>
      </c>
      <c r="F511" t="s">
        <v>294</v>
      </c>
      <c r="G511" s="3">
        <v>60</v>
      </c>
      <c r="H511" s="8">
        <f>G511*0.3</f>
        <v>18</v>
      </c>
      <c r="I511" s="8">
        <f>G511*0.15</f>
        <v>9</v>
      </c>
      <c r="J511" s="3">
        <f>G511+H511</f>
        <v>78</v>
      </c>
      <c r="K511" s="3">
        <f>J511*1.13</f>
        <v>88.139999999999986</v>
      </c>
      <c r="L511" s="25">
        <v>0</v>
      </c>
      <c r="O511" s="3">
        <v>0</v>
      </c>
      <c r="P511" s="3">
        <v>0</v>
      </c>
      <c r="Q511" s="3">
        <f>P511-G511</f>
        <v>-60</v>
      </c>
      <c r="R511" s="10" t="e">
        <f>Q511/O511</f>
        <v>#DIV/0!</v>
      </c>
      <c r="S511" s="13">
        <v>45816</v>
      </c>
      <c r="T511" s="7">
        <f ca="1">IF(S511&lt;&gt;"",S511-B511,TODAY()-B511)</f>
        <v>0</v>
      </c>
    </row>
    <row r="512" spans="1:20">
      <c r="A512">
        <v>572</v>
      </c>
      <c r="B512" s="12">
        <v>45448</v>
      </c>
      <c r="D512" t="s">
        <v>807</v>
      </c>
      <c r="E512" t="s">
        <v>852</v>
      </c>
      <c r="F512" t="s">
        <v>294</v>
      </c>
      <c r="G512" s="3">
        <v>81.680000000000007</v>
      </c>
      <c r="H512" s="8">
        <f>G512*0.3</f>
        <v>24.504000000000001</v>
      </c>
      <c r="I512" s="8">
        <f>G512*0.15</f>
        <v>12.252000000000001</v>
      </c>
      <c r="J512" s="3">
        <f>G512+H512</f>
        <v>106.18400000000001</v>
      </c>
      <c r="K512" s="3">
        <f>J512*1.13</f>
        <v>119.98792</v>
      </c>
      <c r="L512" s="25">
        <v>0</v>
      </c>
      <c r="O512" s="3">
        <v>0</v>
      </c>
      <c r="P512" s="3">
        <v>0</v>
      </c>
      <c r="Q512" s="3">
        <f>P512-G512</f>
        <v>-81.680000000000007</v>
      </c>
      <c r="R512" s="10" t="e">
        <f>Q512/O512</f>
        <v>#DIV/0!</v>
      </c>
      <c r="S512" s="13">
        <v>45813</v>
      </c>
      <c r="T512" s="7">
        <f ca="1">IF(S512&lt;&gt;"",S512-B512,TODAY()-B512)</f>
        <v>365</v>
      </c>
    </row>
    <row r="513" spans="1:20">
      <c r="A513">
        <v>573</v>
      </c>
      <c r="B513" s="12">
        <v>45813</v>
      </c>
      <c r="D513" t="s">
        <v>807</v>
      </c>
      <c r="E513" t="s">
        <v>932</v>
      </c>
      <c r="F513" t="s">
        <v>309</v>
      </c>
      <c r="G513" s="3">
        <v>75.14</v>
      </c>
      <c r="H513" s="3">
        <f>G513*0.4</f>
        <v>30.056000000000001</v>
      </c>
      <c r="I513" s="8">
        <f>G513*0.15</f>
        <v>11.270999999999999</v>
      </c>
      <c r="J513" s="3">
        <f>G513+H513</f>
        <v>105.196</v>
      </c>
      <c r="K513" s="3">
        <f>J513*1.13</f>
        <v>118.87147999999999</v>
      </c>
      <c r="L513" s="25">
        <v>0</v>
      </c>
      <c r="O513" s="3">
        <v>115</v>
      </c>
      <c r="P513" s="3">
        <v>101.78</v>
      </c>
      <c r="Q513" s="3">
        <f>P513-G513</f>
        <v>26.64</v>
      </c>
      <c r="R513" s="10">
        <f>Q513/O513</f>
        <v>0.23165217391304349</v>
      </c>
      <c r="S513" s="13">
        <v>45861</v>
      </c>
      <c r="T513" s="7">
        <f ca="1">IF(S513&lt;&gt;"",S513-B513,TODAY()-B513)</f>
        <v>48</v>
      </c>
    </row>
    <row r="514" spans="1:20">
      <c r="A514">
        <v>574</v>
      </c>
      <c r="B514" s="12">
        <v>45817</v>
      </c>
      <c r="D514" t="s">
        <v>933</v>
      </c>
      <c r="E514" t="s">
        <v>934</v>
      </c>
      <c r="F514" t="s">
        <v>309</v>
      </c>
      <c r="G514" s="3">
        <v>315.76</v>
      </c>
      <c r="H514" s="3">
        <f>G514*0.4</f>
        <v>126.304</v>
      </c>
      <c r="I514" s="8">
        <f>G514*0.15</f>
        <v>47.363999999999997</v>
      </c>
      <c r="J514" s="3">
        <f>G514+H514</f>
        <v>442.06399999999996</v>
      </c>
      <c r="K514" s="3">
        <f>J514*1.13</f>
        <v>499.53231999999991</v>
      </c>
      <c r="L514" s="25">
        <v>0</v>
      </c>
      <c r="O514" s="3">
        <v>500</v>
      </c>
      <c r="P514" s="3">
        <v>443.52</v>
      </c>
      <c r="Q514" s="3">
        <f>P514-G514</f>
        <v>127.75999999999999</v>
      </c>
      <c r="R514" s="10">
        <f>Q514/O514</f>
        <v>0.25551999999999997</v>
      </c>
      <c r="S514" s="13">
        <v>45837</v>
      </c>
      <c r="T514" s="7">
        <f ca="1">IF(S514&lt;&gt;"",S514-B514,TODAY()-B514)</f>
        <v>20</v>
      </c>
    </row>
    <row r="515" spans="1:20" hidden="1">
      <c r="A515">
        <v>575</v>
      </c>
      <c r="B515" s="12">
        <v>45817</v>
      </c>
      <c r="D515" t="s">
        <v>787</v>
      </c>
      <c r="E515" t="s">
        <v>935</v>
      </c>
      <c r="F515" t="s">
        <v>226</v>
      </c>
      <c r="G515" s="3">
        <v>292.51</v>
      </c>
      <c r="H515" s="3">
        <f>G515*0.4</f>
        <v>117.004</v>
      </c>
      <c r="I515" s="8">
        <f>G515*0.15</f>
        <v>43.8765</v>
      </c>
      <c r="J515" s="3">
        <f>G515+H515</f>
        <v>409.51400000000001</v>
      </c>
      <c r="K515" s="3">
        <f>J515*1.13</f>
        <v>462.75081999999998</v>
      </c>
      <c r="L515" s="25">
        <v>1</v>
      </c>
      <c r="Q515" s="3">
        <f>P515-G515</f>
        <v>-292.51</v>
      </c>
      <c r="R515" s="10" t="e">
        <f>Q515/O515</f>
        <v>#DIV/0!</v>
      </c>
      <c r="T515" s="7">
        <f ca="1">IF(S515&lt;&gt;"",S515-B515,TODAY()-B515)</f>
        <v>49</v>
      </c>
    </row>
    <row r="516" spans="1:20" hidden="1">
      <c r="A516">
        <v>576</v>
      </c>
      <c r="B516" s="12">
        <v>45816</v>
      </c>
      <c r="D516" t="s">
        <v>55</v>
      </c>
      <c r="E516" t="s">
        <v>936</v>
      </c>
      <c r="F516" t="s">
        <v>309</v>
      </c>
      <c r="G516" s="3">
        <v>215.85</v>
      </c>
      <c r="H516" s="3">
        <f>G516*0.4</f>
        <v>86.34</v>
      </c>
      <c r="I516" s="8">
        <f>G516*0.15</f>
        <v>32.377499999999998</v>
      </c>
      <c r="J516" s="3">
        <f>G516+H516</f>
        <v>302.19</v>
      </c>
      <c r="K516" s="3">
        <f>J516*1.13</f>
        <v>341.47469999999998</v>
      </c>
      <c r="L516" s="25">
        <v>1</v>
      </c>
      <c r="Q516" s="3">
        <f>P516-G516</f>
        <v>-215.85</v>
      </c>
      <c r="R516" s="10" t="e">
        <f>Q516/O516</f>
        <v>#DIV/0!</v>
      </c>
      <c r="T516" s="7">
        <f ca="1">IF(S516&lt;&gt;"",S516-B516,TODAY()-B516)</f>
        <v>50</v>
      </c>
    </row>
    <row r="517" spans="1:20">
      <c r="A517">
        <v>577</v>
      </c>
      <c r="B517" s="12">
        <v>45817</v>
      </c>
      <c r="D517" t="s">
        <v>19</v>
      </c>
      <c r="E517" t="s">
        <v>939</v>
      </c>
      <c r="F517" t="s">
        <v>224</v>
      </c>
      <c r="G517" s="3">
        <v>102.6</v>
      </c>
      <c r="H517" s="3">
        <f>G517*0.4</f>
        <v>41.04</v>
      </c>
      <c r="I517" s="8">
        <f>G517*0.15</f>
        <v>15.389999999999999</v>
      </c>
      <c r="J517" s="3">
        <f>G517+H517</f>
        <v>143.63999999999999</v>
      </c>
      <c r="K517" s="3">
        <f>J517*1.13</f>
        <v>162.31319999999997</v>
      </c>
      <c r="L517" s="25">
        <v>0</v>
      </c>
      <c r="O517" s="3">
        <v>170</v>
      </c>
      <c r="P517" s="3">
        <v>150.51</v>
      </c>
      <c r="Q517" s="3">
        <f>P517-G517</f>
        <v>47.91</v>
      </c>
      <c r="R517" s="10">
        <f>Q517/O517</f>
        <v>0.28182352941176469</v>
      </c>
      <c r="S517" s="13">
        <v>45865</v>
      </c>
      <c r="T517" s="7">
        <f ca="1">IF(S517&lt;&gt;"",S517-B517,TODAY()-B517)</f>
        <v>48</v>
      </c>
    </row>
    <row r="518" spans="1:20" hidden="1">
      <c r="A518">
        <v>578</v>
      </c>
      <c r="B518" s="12">
        <v>45817</v>
      </c>
      <c r="D518" t="s">
        <v>19</v>
      </c>
      <c r="E518" t="s">
        <v>940</v>
      </c>
      <c r="F518" t="s">
        <v>224</v>
      </c>
      <c r="G518" s="3">
        <v>184.27</v>
      </c>
      <c r="H518" s="3">
        <f>G518*0.4</f>
        <v>73.708000000000013</v>
      </c>
      <c r="I518" s="8">
        <f>G518*0.15</f>
        <v>27.640499999999999</v>
      </c>
      <c r="J518" s="3">
        <f>G518+H518</f>
        <v>257.97800000000001</v>
      </c>
      <c r="K518" s="3">
        <f>J518*1.13</f>
        <v>291.51513999999997</v>
      </c>
      <c r="L518" s="25">
        <v>1</v>
      </c>
      <c r="Q518" s="3">
        <f>P518-G518</f>
        <v>-184.27</v>
      </c>
      <c r="R518" s="10" t="e">
        <f>Q518/O518</f>
        <v>#DIV/0!</v>
      </c>
      <c r="T518" s="7">
        <f ca="1">IF(S518&lt;&gt;"",S518-B518,TODAY()-B518)</f>
        <v>49</v>
      </c>
    </row>
    <row r="519" spans="1:20">
      <c r="A519">
        <v>579</v>
      </c>
      <c r="B519" s="12">
        <v>45817</v>
      </c>
      <c r="D519" t="s">
        <v>19</v>
      </c>
      <c r="E519" t="s">
        <v>941</v>
      </c>
      <c r="F519" t="s">
        <v>309</v>
      </c>
      <c r="G519" s="3">
        <v>63.39</v>
      </c>
      <c r="H519" s="3">
        <f>G519*0.4</f>
        <v>25.356000000000002</v>
      </c>
      <c r="I519" s="8">
        <f>G519*0.15</f>
        <v>9.5084999999999997</v>
      </c>
      <c r="J519" s="3">
        <f>G519+H519</f>
        <v>88.746000000000009</v>
      </c>
      <c r="K519" s="3">
        <f>J519*1.13</f>
        <v>100.28297999999999</v>
      </c>
      <c r="L519" s="25">
        <v>0</v>
      </c>
      <c r="O519" s="3">
        <v>44</v>
      </c>
      <c r="P519" s="3">
        <v>40.56</v>
      </c>
      <c r="Q519" s="3">
        <f>P519-G519</f>
        <v>-22.83</v>
      </c>
      <c r="R519" s="10">
        <f>Q519/O519</f>
        <v>-0.5188636363636363</v>
      </c>
      <c r="S519" s="13">
        <v>45843</v>
      </c>
      <c r="T519" s="7">
        <f ca="1">IF(S519&lt;&gt;"",S519-B519,TODAY()-B519)</f>
        <v>26</v>
      </c>
    </row>
    <row r="520" spans="1:20">
      <c r="A520">
        <v>580</v>
      </c>
      <c r="B520" s="12">
        <v>45817</v>
      </c>
      <c r="D520" t="s">
        <v>19</v>
      </c>
      <c r="E520" t="s">
        <v>942</v>
      </c>
      <c r="F520" t="s">
        <v>309</v>
      </c>
      <c r="G520" s="3">
        <v>48.15</v>
      </c>
      <c r="H520" s="3">
        <f>G520*0.4</f>
        <v>19.260000000000002</v>
      </c>
      <c r="I520" s="8">
        <f>G520*0.15</f>
        <v>7.2224999999999993</v>
      </c>
      <c r="J520" s="3">
        <f>G520+H520</f>
        <v>67.41</v>
      </c>
      <c r="K520" s="3">
        <f>J520*1.13</f>
        <v>76.173299999999983</v>
      </c>
      <c r="L520" s="25">
        <v>0</v>
      </c>
      <c r="O520" s="3">
        <v>51</v>
      </c>
      <c r="P520" s="3">
        <v>47.14</v>
      </c>
      <c r="Q520" s="3">
        <f>P520-G520</f>
        <v>-1.009999999999998</v>
      </c>
      <c r="R520" s="10">
        <f>Q520/O520</f>
        <v>-1.9803921568627411E-2</v>
      </c>
      <c r="S520" s="13">
        <v>45843</v>
      </c>
      <c r="T520" s="7">
        <f ca="1">IF(S520&lt;&gt;"",S520-B520,TODAY()-B520)</f>
        <v>26</v>
      </c>
    </row>
    <row r="521" spans="1:20" hidden="1">
      <c r="A521">
        <v>581</v>
      </c>
      <c r="B521" s="12">
        <v>45817</v>
      </c>
      <c r="D521" t="s">
        <v>19</v>
      </c>
      <c r="E521" t="s">
        <v>943</v>
      </c>
      <c r="F521" t="s">
        <v>309</v>
      </c>
      <c r="G521" s="3">
        <v>108.04</v>
      </c>
      <c r="H521" s="3">
        <f>G521*0.4</f>
        <v>43.216000000000008</v>
      </c>
      <c r="I521" s="8">
        <f>G521*0.15</f>
        <v>16.206</v>
      </c>
      <c r="J521" s="3">
        <f>G521+H521</f>
        <v>151.25600000000003</v>
      </c>
      <c r="K521" s="3">
        <f>J521*1.13</f>
        <v>170.91928000000001</v>
      </c>
      <c r="L521" s="25">
        <v>1</v>
      </c>
      <c r="Q521" s="3">
        <f>P521-G521</f>
        <v>-108.04</v>
      </c>
      <c r="R521" s="10" t="e">
        <f>Q521/O521</f>
        <v>#DIV/0!</v>
      </c>
      <c r="T521" s="7">
        <f ca="1">IF(S521&lt;&gt;"",S521-B521,TODAY()-B521)</f>
        <v>49</v>
      </c>
    </row>
    <row r="522" spans="1:20" hidden="1">
      <c r="A522">
        <v>582</v>
      </c>
      <c r="B522" s="12">
        <v>45817</v>
      </c>
      <c r="D522" t="s">
        <v>19</v>
      </c>
      <c r="E522" t="s">
        <v>944</v>
      </c>
      <c r="F522" t="s">
        <v>224</v>
      </c>
      <c r="G522" s="3">
        <v>140.71</v>
      </c>
      <c r="H522" s="3">
        <f>G522*0.4</f>
        <v>56.284000000000006</v>
      </c>
      <c r="I522" s="8">
        <f>G522*0.15</f>
        <v>21.1065</v>
      </c>
      <c r="J522" s="3">
        <f>G522+H522</f>
        <v>196.99400000000003</v>
      </c>
      <c r="K522" s="3">
        <f>J522*1.13</f>
        <v>222.60322000000002</v>
      </c>
      <c r="L522" s="25">
        <v>1</v>
      </c>
      <c r="Q522" s="3">
        <f>P522-G522</f>
        <v>-140.71</v>
      </c>
      <c r="R522" s="10" t="e">
        <f>Q522/O522</f>
        <v>#DIV/0!</v>
      </c>
      <c r="T522" s="7">
        <f ca="1">IF(S522&lt;&gt;"",S522-B522,TODAY()-B522)</f>
        <v>49</v>
      </c>
    </row>
    <row r="523" spans="1:20" hidden="1">
      <c r="A523">
        <v>583</v>
      </c>
      <c r="B523" s="12">
        <v>45817</v>
      </c>
      <c r="D523" t="s">
        <v>19</v>
      </c>
      <c r="E523" t="s">
        <v>945</v>
      </c>
      <c r="F523" t="s">
        <v>224</v>
      </c>
      <c r="G523" s="3">
        <v>162.49</v>
      </c>
      <c r="H523" s="3">
        <f>G523*0.4</f>
        <v>64.996000000000009</v>
      </c>
      <c r="I523" s="8">
        <f>G523*0.15</f>
        <v>24.3735</v>
      </c>
      <c r="J523" s="3">
        <f>G523+H523</f>
        <v>227.48600000000002</v>
      </c>
      <c r="K523" s="3">
        <f>J523*1.13</f>
        <v>257.05917999999997</v>
      </c>
      <c r="L523" s="25">
        <v>1</v>
      </c>
      <c r="Q523" s="3">
        <f>P523-G523</f>
        <v>-162.49</v>
      </c>
      <c r="R523" s="10" t="e">
        <f>Q523/O523</f>
        <v>#DIV/0!</v>
      </c>
      <c r="T523" s="7">
        <f ca="1">IF(S523&lt;&gt;"",S523-B523,TODAY()-B523)</f>
        <v>49</v>
      </c>
    </row>
    <row r="524" spans="1:20" hidden="1">
      <c r="A524">
        <v>584</v>
      </c>
      <c r="B524" s="12">
        <v>45818</v>
      </c>
      <c r="D524" t="s">
        <v>937</v>
      </c>
      <c r="E524" t="s">
        <v>946</v>
      </c>
      <c r="F524" t="s">
        <v>309</v>
      </c>
      <c r="G524" s="3">
        <v>150.51</v>
      </c>
      <c r="H524" s="3">
        <f>G524*0.4</f>
        <v>60.204000000000001</v>
      </c>
      <c r="I524" s="8">
        <f>G524*0.15</f>
        <v>22.576499999999999</v>
      </c>
      <c r="J524" s="3">
        <f>G524+H524</f>
        <v>210.714</v>
      </c>
      <c r="K524" s="3">
        <f>J524*1.13</f>
        <v>238.10681999999997</v>
      </c>
      <c r="L524" s="25">
        <v>0</v>
      </c>
      <c r="Q524" s="3">
        <f>P524-G524</f>
        <v>-150.51</v>
      </c>
      <c r="R524" s="10" t="e">
        <f>Q524/O524</f>
        <v>#DIV/0!</v>
      </c>
      <c r="T524" s="7">
        <f ca="1">IF(S524&lt;&gt;"",S524-B524,TODAY()-B524)</f>
        <v>48</v>
      </c>
    </row>
    <row r="525" spans="1:20" hidden="1">
      <c r="A525">
        <v>585</v>
      </c>
      <c r="B525" s="12">
        <v>45818</v>
      </c>
      <c r="D525" t="s">
        <v>937</v>
      </c>
      <c r="E525" t="s">
        <v>947</v>
      </c>
      <c r="F525" t="s">
        <v>309</v>
      </c>
      <c r="G525" s="3">
        <v>127.41</v>
      </c>
      <c r="H525" s="3">
        <f>G525*0.4</f>
        <v>50.963999999999999</v>
      </c>
      <c r="I525" s="8">
        <f>G525*0.15</f>
        <v>19.111499999999999</v>
      </c>
      <c r="J525" s="3">
        <f>G525+H525</f>
        <v>178.374</v>
      </c>
      <c r="K525" s="3">
        <f>J525*1.13</f>
        <v>201.56261999999998</v>
      </c>
      <c r="L525" s="25">
        <v>1</v>
      </c>
      <c r="Q525" s="3">
        <f>P525-G525</f>
        <v>-127.41</v>
      </c>
      <c r="R525" s="10" t="e">
        <f>Q525/O525</f>
        <v>#DIV/0!</v>
      </c>
      <c r="T525" s="7">
        <f ca="1">IF(S525&lt;&gt;"",S525-B525,TODAY()-B525)</f>
        <v>48</v>
      </c>
    </row>
    <row r="526" spans="1:20" hidden="1">
      <c r="A526">
        <v>586</v>
      </c>
      <c r="B526" s="12">
        <v>45818</v>
      </c>
      <c r="D526" t="s">
        <v>937</v>
      </c>
      <c r="E526" t="s">
        <v>948</v>
      </c>
      <c r="F526" t="s">
        <v>226</v>
      </c>
      <c r="G526" s="3">
        <v>96.06</v>
      </c>
      <c r="H526" s="3">
        <f>G526*0.4</f>
        <v>38.424000000000007</v>
      </c>
      <c r="I526" s="8">
        <f>G526*0.15</f>
        <v>14.408999999999999</v>
      </c>
      <c r="J526" s="3">
        <f>G526+H526</f>
        <v>134.48400000000001</v>
      </c>
      <c r="K526" s="3">
        <f>J526*1.13</f>
        <v>151.96691999999999</v>
      </c>
      <c r="L526" s="25">
        <v>1</v>
      </c>
      <c r="Q526" s="3">
        <f>P526-G526</f>
        <v>-96.06</v>
      </c>
      <c r="R526" s="10" t="e">
        <f>Q526/O526</f>
        <v>#DIV/0!</v>
      </c>
      <c r="T526" s="7">
        <f ca="1">IF(S526&lt;&gt;"",S526-B526,TODAY()-B526)</f>
        <v>48</v>
      </c>
    </row>
    <row r="527" spans="1:20" hidden="1">
      <c r="A527">
        <v>587</v>
      </c>
      <c r="B527" s="12">
        <v>45818</v>
      </c>
      <c r="D527" t="s">
        <v>937</v>
      </c>
      <c r="E527" t="s">
        <v>949</v>
      </c>
      <c r="F527" t="s">
        <v>309</v>
      </c>
      <c r="G527" s="3">
        <v>106.72</v>
      </c>
      <c r="H527" s="3">
        <f>G527*0.4</f>
        <v>42.688000000000002</v>
      </c>
      <c r="I527" s="8">
        <f>G527*0.15</f>
        <v>16.007999999999999</v>
      </c>
      <c r="J527" s="3">
        <f>G527+H527</f>
        <v>149.40800000000002</v>
      </c>
      <c r="K527" s="3">
        <f>J527*1.13</f>
        <v>168.83104</v>
      </c>
      <c r="L527" s="25">
        <v>1</v>
      </c>
      <c r="Q527" s="3">
        <f>P527-G527</f>
        <v>-106.72</v>
      </c>
      <c r="R527" s="10" t="e">
        <f>Q527/O527</f>
        <v>#DIV/0!</v>
      </c>
      <c r="T527" s="7">
        <f ca="1">IF(S527&lt;&gt;"",S527-B527,TODAY()-B527)</f>
        <v>48</v>
      </c>
    </row>
    <row r="528" spans="1:20">
      <c r="A528">
        <v>588</v>
      </c>
      <c r="B528" s="12">
        <v>45818</v>
      </c>
      <c r="D528" t="s">
        <v>937</v>
      </c>
      <c r="E528" t="s">
        <v>938</v>
      </c>
      <c r="F528" t="s">
        <v>309</v>
      </c>
      <c r="G528" s="3">
        <v>314.95</v>
      </c>
      <c r="H528" s="3">
        <f>G528*0.4</f>
        <v>125.98</v>
      </c>
      <c r="I528" s="8">
        <f>G528*0.15</f>
        <v>47.2425</v>
      </c>
      <c r="J528" s="3">
        <f>G528+H528</f>
        <v>440.93</v>
      </c>
      <c r="K528" s="3">
        <f>J528*1.13</f>
        <v>498.25089999999994</v>
      </c>
      <c r="L528" s="25">
        <v>0</v>
      </c>
      <c r="O528" s="3">
        <v>500</v>
      </c>
      <c r="P528" s="3">
        <v>444.05</v>
      </c>
      <c r="Q528" s="3">
        <f>P528-G528</f>
        <v>129.10000000000002</v>
      </c>
      <c r="R528" s="10">
        <f>Q528/O528</f>
        <v>0.25820000000000004</v>
      </c>
      <c r="S528" s="13">
        <v>45856</v>
      </c>
      <c r="T528" s="7">
        <f ca="1">IF(S528&lt;&gt;"",S528-B528,TODAY()-B528)</f>
        <v>38</v>
      </c>
    </row>
    <row r="529" spans="1:20">
      <c r="A529">
        <v>589</v>
      </c>
      <c r="B529" s="12">
        <v>45818</v>
      </c>
      <c r="D529" t="s">
        <v>809</v>
      </c>
      <c r="E529" t="s">
        <v>950</v>
      </c>
      <c r="F529" t="s">
        <v>294</v>
      </c>
      <c r="G529" s="3">
        <f>11.53+(17*0.4)</f>
        <v>18.329999999999998</v>
      </c>
      <c r="H529" s="8">
        <f>G529*0.3</f>
        <v>5.4989999999999997</v>
      </c>
      <c r="I529" s="8">
        <f>G529*0.15</f>
        <v>2.7494999999999998</v>
      </c>
      <c r="J529" s="3">
        <f>G529+H529</f>
        <v>23.828999999999997</v>
      </c>
      <c r="K529" s="3">
        <f>J529*1.13</f>
        <v>26.926769999999994</v>
      </c>
      <c r="L529" s="25">
        <v>0</v>
      </c>
      <c r="O529" s="3">
        <v>0</v>
      </c>
      <c r="P529" s="3">
        <v>0</v>
      </c>
      <c r="Q529" s="3">
        <f>P529-G529</f>
        <v>-18.329999999999998</v>
      </c>
      <c r="R529" s="10" t="e">
        <f>Q529/O529</f>
        <v>#DIV/0!</v>
      </c>
      <c r="S529" s="13">
        <v>45818</v>
      </c>
      <c r="T529" s="7">
        <f ca="1">IF(S529&lt;&gt;"",S529-B529,TODAY()-B529)</f>
        <v>0</v>
      </c>
    </row>
    <row r="530" spans="1:20">
      <c r="A530">
        <v>590</v>
      </c>
      <c r="B530" s="12">
        <v>45818</v>
      </c>
      <c r="D530" t="s">
        <v>809</v>
      </c>
      <c r="E530" t="s">
        <v>852</v>
      </c>
      <c r="F530" t="s">
        <v>294</v>
      </c>
      <c r="G530" s="3">
        <v>70</v>
      </c>
      <c r="H530" s="8">
        <f>G530*0.3</f>
        <v>21</v>
      </c>
      <c r="I530" s="8">
        <f>G530*0.15</f>
        <v>10.5</v>
      </c>
      <c r="J530" s="3">
        <f>G530+H530</f>
        <v>91</v>
      </c>
      <c r="K530" s="3">
        <f>J530*1.13</f>
        <v>102.82999999999998</v>
      </c>
      <c r="L530" s="25">
        <v>0</v>
      </c>
      <c r="O530" s="3">
        <v>0</v>
      </c>
      <c r="P530" s="3">
        <v>0</v>
      </c>
      <c r="Q530" s="3">
        <f>P530-G530</f>
        <v>-70</v>
      </c>
      <c r="R530" s="10" t="e">
        <f>Q530/O530</f>
        <v>#DIV/0!</v>
      </c>
      <c r="S530" s="13">
        <v>45818</v>
      </c>
      <c r="T530" s="7">
        <f ca="1">IF(S530&lt;&gt;"",S530-B530,TODAY()-B530)</f>
        <v>0</v>
      </c>
    </row>
    <row r="531" spans="1:20">
      <c r="A531">
        <v>591</v>
      </c>
      <c r="B531" s="12">
        <v>45818</v>
      </c>
      <c r="D531" t="s">
        <v>809</v>
      </c>
      <c r="E531" t="s">
        <v>951</v>
      </c>
      <c r="F531" t="s">
        <v>294</v>
      </c>
      <c r="G531" s="3">
        <v>0.01</v>
      </c>
      <c r="H531" s="8">
        <f>G531*0.3</f>
        <v>3.0000000000000001E-3</v>
      </c>
      <c r="I531" s="8">
        <f>G531*0.15</f>
        <v>1.5E-3</v>
      </c>
      <c r="J531" s="3">
        <f>G531+H531</f>
        <v>1.3000000000000001E-2</v>
      </c>
      <c r="K531" s="3">
        <f>J531*1.13</f>
        <v>1.469E-2</v>
      </c>
      <c r="L531" s="25">
        <v>0</v>
      </c>
      <c r="O531" s="3">
        <v>25</v>
      </c>
      <c r="P531" s="3">
        <v>14.76</v>
      </c>
      <c r="Q531" s="3">
        <f>P531-G531</f>
        <v>14.75</v>
      </c>
      <c r="R531" s="10">
        <f>Q531/O531</f>
        <v>0.59</v>
      </c>
      <c r="S531" s="13">
        <v>45818</v>
      </c>
      <c r="T531" s="7">
        <f ca="1">IF(S531&lt;&gt;"",S531-B531,TODAY()-B531)</f>
        <v>0</v>
      </c>
    </row>
    <row r="532" spans="1:20">
      <c r="A532">
        <v>592</v>
      </c>
      <c r="B532" s="12">
        <v>45818</v>
      </c>
      <c r="D532" t="s">
        <v>937</v>
      </c>
      <c r="E532" t="s">
        <v>953</v>
      </c>
      <c r="F532" t="s">
        <v>226</v>
      </c>
      <c r="G532" s="3">
        <v>0.01</v>
      </c>
      <c r="H532" s="8">
        <f>G532*0.3</f>
        <v>3.0000000000000001E-3</v>
      </c>
      <c r="I532" s="8">
        <f>G532*0.15</f>
        <v>1.5E-3</v>
      </c>
      <c r="J532" s="3">
        <f>G532+H532</f>
        <v>1.3000000000000001E-2</v>
      </c>
      <c r="K532" s="3">
        <f>J532*1.13</f>
        <v>1.469E-2</v>
      </c>
      <c r="L532" s="25">
        <v>0</v>
      </c>
      <c r="O532" s="3">
        <v>81</v>
      </c>
      <c r="P532" s="3">
        <v>71.459999999999994</v>
      </c>
      <c r="Q532" s="3">
        <f>P532-G532</f>
        <v>71.449999999999989</v>
      </c>
      <c r="R532" s="10">
        <f>Q532/O532</f>
        <v>0.88209876543209864</v>
      </c>
      <c r="S532" s="13">
        <v>45820</v>
      </c>
      <c r="T532" s="7">
        <f ca="1">IF(S532&lt;&gt;"",S532-B532,TODAY()-B532)</f>
        <v>2</v>
      </c>
    </row>
    <row r="533" spans="1:20">
      <c r="A533">
        <v>593</v>
      </c>
      <c r="B533" s="12">
        <v>45816</v>
      </c>
      <c r="D533" t="s">
        <v>822</v>
      </c>
      <c r="E533" t="s">
        <v>954</v>
      </c>
      <c r="F533" t="s">
        <v>226</v>
      </c>
      <c r="G533" s="3">
        <v>47.05</v>
      </c>
      <c r="H533" s="3">
        <f>G533*0.4</f>
        <v>18.82</v>
      </c>
      <c r="I533" s="8">
        <f>G533*0.15</f>
        <v>7.0574999999999992</v>
      </c>
      <c r="J533" s="3">
        <f>G533+H533</f>
        <v>65.87</v>
      </c>
      <c r="K533" s="3">
        <f>J533*1.13</f>
        <v>74.433099999999996</v>
      </c>
      <c r="L533" s="25">
        <v>0</v>
      </c>
      <c r="O533" s="3">
        <v>99</v>
      </c>
      <c r="P533" s="3">
        <v>87.67</v>
      </c>
      <c r="Q533" s="3">
        <f>P533-G533</f>
        <v>40.620000000000005</v>
      </c>
      <c r="R533" s="10">
        <f>Q533/O533</f>
        <v>0.41030303030303034</v>
      </c>
      <c r="S533" s="13">
        <v>45856</v>
      </c>
      <c r="T533" s="7">
        <f ca="1">IF(S533&lt;&gt;"",S533-B533,TODAY()-B533)</f>
        <v>40</v>
      </c>
    </row>
    <row r="534" spans="1:20" hidden="1">
      <c r="A534">
        <v>594</v>
      </c>
      <c r="B534" s="12">
        <v>45814</v>
      </c>
      <c r="D534" t="s">
        <v>955</v>
      </c>
      <c r="E534" t="s">
        <v>956</v>
      </c>
      <c r="F534" t="s">
        <v>309</v>
      </c>
      <c r="G534" s="3">
        <v>114</v>
      </c>
      <c r="H534" s="3">
        <f>G534*0.4</f>
        <v>45.6</v>
      </c>
      <c r="I534" s="8">
        <f>G534*0.15</f>
        <v>17.099999999999998</v>
      </c>
      <c r="J534" s="3">
        <f>G534+H534</f>
        <v>159.6</v>
      </c>
      <c r="K534" s="3">
        <f>J534*1.13</f>
        <v>180.34799999999998</v>
      </c>
      <c r="L534" s="25">
        <v>1</v>
      </c>
      <c r="Q534" s="3">
        <f>P534-G534</f>
        <v>-114</v>
      </c>
      <c r="R534" s="10" t="e">
        <f>Q534/O534</f>
        <v>#DIV/0!</v>
      </c>
      <c r="T534" s="7">
        <f ca="1">IF(S534&lt;&gt;"",S534-B534,TODAY()-B534)</f>
        <v>52</v>
      </c>
    </row>
    <row r="535" spans="1:20">
      <c r="A535">
        <v>595</v>
      </c>
      <c r="B535" s="12">
        <v>45820</v>
      </c>
      <c r="D535" t="s">
        <v>809</v>
      </c>
      <c r="E535" t="s">
        <v>957</v>
      </c>
      <c r="F535" t="s">
        <v>294</v>
      </c>
      <c r="G535" s="3">
        <v>25.4</v>
      </c>
      <c r="H535" s="8">
        <f>G535*0.3</f>
        <v>7.6199999999999992</v>
      </c>
      <c r="I535" s="8">
        <f>G535*0.15</f>
        <v>3.8099999999999996</v>
      </c>
      <c r="J535" s="3">
        <f>G535+H535</f>
        <v>33.019999999999996</v>
      </c>
      <c r="K535" s="3">
        <f>J535*1.13</f>
        <v>37.312599999999989</v>
      </c>
      <c r="L535" s="25">
        <v>0</v>
      </c>
      <c r="O535" s="3">
        <v>0</v>
      </c>
      <c r="P535" s="3">
        <v>0</v>
      </c>
      <c r="Q535" s="3">
        <f>P535-G535</f>
        <v>-25.4</v>
      </c>
      <c r="R535" s="10" t="e">
        <f>Q535/O535</f>
        <v>#DIV/0!</v>
      </c>
      <c r="S535" s="13">
        <v>45820</v>
      </c>
      <c r="T535" s="7">
        <f ca="1">IF(S535&lt;&gt;"",S535-B535,TODAY()-B535)</f>
        <v>0</v>
      </c>
    </row>
    <row r="536" spans="1:20">
      <c r="A536">
        <v>596</v>
      </c>
      <c r="B536" s="12">
        <v>45820</v>
      </c>
      <c r="D536" t="s">
        <v>809</v>
      </c>
      <c r="E536" t="s">
        <v>958</v>
      </c>
      <c r="F536" t="s">
        <v>294</v>
      </c>
      <c r="G536" s="3">
        <v>27</v>
      </c>
      <c r="H536" s="8">
        <f>G536*0.3</f>
        <v>8.1</v>
      </c>
      <c r="I536" s="8">
        <f>G536*0.15</f>
        <v>4.05</v>
      </c>
      <c r="J536" s="3">
        <f>G536+H536</f>
        <v>35.1</v>
      </c>
      <c r="K536" s="3">
        <f>J536*1.13</f>
        <v>39.662999999999997</v>
      </c>
      <c r="L536" s="25">
        <v>0</v>
      </c>
      <c r="O536" s="3">
        <v>17</v>
      </c>
      <c r="P536" s="3">
        <v>17</v>
      </c>
      <c r="Q536" s="3">
        <f>P536-G536</f>
        <v>-10</v>
      </c>
      <c r="R536" s="10">
        <f>Q536/O536</f>
        <v>-0.58823529411764708</v>
      </c>
      <c r="S536" s="13">
        <v>45820</v>
      </c>
      <c r="T536" s="7">
        <f ca="1">IF(S536&lt;&gt;"",S536-B536,TODAY()-B536)</f>
        <v>0</v>
      </c>
    </row>
    <row r="537" spans="1:20">
      <c r="A537">
        <v>597</v>
      </c>
      <c r="B537" s="12">
        <v>45822</v>
      </c>
      <c r="D537" t="s">
        <v>809</v>
      </c>
      <c r="E537" t="s">
        <v>957</v>
      </c>
      <c r="F537" t="s">
        <v>294</v>
      </c>
      <c r="G537" s="3">
        <f>17.53+(0.4*27)</f>
        <v>28.330000000000002</v>
      </c>
      <c r="H537" s="8">
        <f>G537*0.3</f>
        <v>8.4990000000000006</v>
      </c>
      <c r="I537" s="8">
        <f>G537*0.15</f>
        <v>4.2495000000000003</v>
      </c>
      <c r="J537" s="3">
        <f>G537+H537</f>
        <v>36.829000000000001</v>
      </c>
      <c r="K537" s="3">
        <f>J537*1.13</f>
        <v>41.616769999999995</v>
      </c>
      <c r="L537" s="25">
        <v>0</v>
      </c>
      <c r="O537" s="3">
        <v>0</v>
      </c>
      <c r="P537" s="3">
        <v>0</v>
      </c>
      <c r="Q537" s="3">
        <f>P537-G537</f>
        <v>-28.330000000000002</v>
      </c>
      <c r="R537" s="10" t="e">
        <f>Q537/O537</f>
        <v>#DIV/0!</v>
      </c>
      <c r="S537" s="13">
        <v>45822</v>
      </c>
      <c r="T537" s="7">
        <f ca="1">IF(S537&lt;&gt;"",S537-B537,TODAY()-B537)</f>
        <v>0</v>
      </c>
    </row>
    <row r="538" spans="1:20">
      <c r="A538">
        <v>598</v>
      </c>
      <c r="B538" s="12">
        <v>45822</v>
      </c>
      <c r="D538" t="s">
        <v>809</v>
      </c>
      <c r="E538" t="s">
        <v>959</v>
      </c>
      <c r="F538" t="s">
        <v>294</v>
      </c>
      <c r="G538" s="3">
        <f>50*3</f>
        <v>150</v>
      </c>
      <c r="H538" s="8">
        <f>G538*0.3</f>
        <v>45</v>
      </c>
      <c r="I538" s="8">
        <f>G538*0.15</f>
        <v>22.5</v>
      </c>
      <c r="J538" s="3">
        <f>G538+H538</f>
        <v>195</v>
      </c>
      <c r="K538" s="3">
        <f>J538*1.13</f>
        <v>220.34999999999997</v>
      </c>
      <c r="L538" s="25">
        <v>0</v>
      </c>
      <c r="O538" s="3">
        <v>0</v>
      </c>
      <c r="P538" s="3">
        <v>0</v>
      </c>
      <c r="Q538" s="3">
        <f>P538-G538</f>
        <v>-150</v>
      </c>
      <c r="R538" s="10" t="e">
        <f>Q538/O538</f>
        <v>#DIV/0!</v>
      </c>
      <c r="S538" s="13">
        <v>45822</v>
      </c>
      <c r="T538" s="7">
        <f ca="1">IF(S538&lt;&gt;"",S538-B538,TODAY()-B538)</f>
        <v>0</v>
      </c>
    </row>
    <row r="539" spans="1:20">
      <c r="A539">
        <v>599</v>
      </c>
      <c r="B539" s="12">
        <v>45822</v>
      </c>
      <c r="D539" t="s">
        <v>809</v>
      </c>
      <c r="E539" t="s">
        <v>960</v>
      </c>
      <c r="F539" t="s">
        <v>294</v>
      </c>
      <c r="G539" s="3">
        <v>30</v>
      </c>
      <c r="H539" s="8">
        <f>G539*0.3</f>
        <v>9</v>
      </c>
      <c r="I539" s="8">
        <f>G539*0.15</f>
        <v>4.5</v>
      </c>
      <c r="J539" s="3">
        <f>G539+H539</f>
        <v>39</v>
      </c>
      <c r="K539" s="3">
        <f>J539*1.13</f>
        <v>44.069999999999993</v>
      </c>
      <c r="L539" s="25">
        <v>0</v>
      </c>
      <c r="O539" s="3">
        <v>47</v>
      </c>
      <c r="P539" s="3">
        <v>41.23</v>
      </c>
      <c r="Q539" s="3">
        <f>P539-G539</f>
        <v>11.229999999999997</v>
      </c>
      <c r="R539" s="10">
        <f>Q539/O539</f>
        <v>0.23893617021276589</v>
      </c>
      <c r="S539" s="13">
        <v>45822</v>
      </c>
      <c r="T539" s="7">
        <f ca="1">IF(S539&lt;&gt;"",S539-B539,TODAY()-B539)</f>
        <v>0</v>
      </c>
    </row>
    <row r="540" spans="1:20" hidden="1">
      <c r="A540">
        <v>600</v>
      </c>
      <c r="B540" s="12">
        <v>45822</v>
      </c>
      <c r="D540" t="s">
        <v>809</v>
      </c>
      <c r="E540" t="s">
        <v>960</v>
      </c>
      <c r="F540" t="s">
        <v>294</v>
      </c>
      <c r="G540" s="3">
        <v>30</v>
      </c>
      <c r="H540" s="8">
        <f>G540*0.3</f>
        <v>9</v>
      </c>
      <c r="I540" s="8">
        <f>G540*0.15</f>
        <v>4.5</v>
      </c>
      <c r="J540" s="3">
        <f>G540+H540</f>
        <v>39</v>
      </c>
      <c r="K540" s="3">
        <f>J540*1.13</f>
        <v>44.069999999999993</v>
      </c>
      <c r="L540" s="25">
        <v>0</v>
      </c>
      <c r="Q540" s="3">
        <f>P540-G540</f>
        <v>-30</v>
      </c>
      <c r="R540" s="10" t="e">
        <f>Q540/O540</f>
        <v>#DIV/0!</v>
      </c>
      <c r="T540" s="7">
        <f ca="1">IF(S540&lt;&gt;"",S540-B540,TODAY()-B540)</f>
        <v>44</v>
      </c>
    </row>
    <row r="541" spans="1:20" hidden="1">
      <c r="A541">
        <v>602</v>
      </c>
      <c r="B541" s="12">
        <v>45821</v>
      </c>
      <c r="D541" t="s">
        <v>19</v>
      </c>
      <c r="E541" t="s">
        <v>961</v>
      </c>
      <c r="F541" t="s">
        <v>309</v>
      </c>
      <c r="G541" s="3">
        <v>183</v>
      </c>
      <c r="H541" s="3">
        <f>G541*0.4</f>
        <v>73.2</v>
      </c>
      <c r="I541" s="8">
        <f>G541*0.15</f>
        <v>27.45</v>
      </c>
      <c r="J541" s="3">
        <f>G541+H541</f>
        <v>256.2</v>
      </c>
      <c r="K541" s="3">
        <f>J541*1.13</f>
        <v>289.50599999999997</v>
      </c>
      <c r="L541" s="25">
        <v>1</v>
      </c>
      <c r="Q541" s="3">
        <f>P541-G541</f>
        <v>-183</v>
      </c>
      <c r="R541" s="10" t="e">
        <f>Q541/O541</f>
        <v>#DIV/0!</v>
      </c>
      <c r="T541" s="7">
        <f ca="1">IF(S541&lt;&gt;"",S541-B541,TODAY()-B541)</f>
        <v>45</v>
      </c>
    </row>
    <row r="542" spans="1:20" hidden="1">
      <c r="A542">
        <v>603</v>
      </c>
      <c r="B542" s="12">
        <v>45821</v>
      </c>
      <c r="D542" t="s">
        <v>19</v>
      </c>
      <c r="E542" t="s">
        <v>962</v>
      </c>
      <c r="F542" t="s">
        <v>224</v>
      </c>
      <c r="G542" s="3">
        <v>102.6</v>
      </c>
      <c r="H542" s="3">
        <f>G542*0.4</f>
        <v>41.04</v>
      </c>
      <c r="I542" s="8">
        <f>G542*0.15</f>
        <v>15.389999999999999</v>
      </c>
      <c r="J542" s="3">
        <f>G542+H542</f>
        <v>143.63999999999999</v>
      </c>
      <c r="K542" s="3">
        <f>J542*1.13</f>
        <v>162.31319999999997</v>
      </c>
      <c r="L542" s="25">
        <v>1</v>
      </c>
      <c r="Q542" s="3">
        <f>P542-G542</f>
        <v>-102.6</v>
      </c>
      <c r="R542" s="10" t="e">
        <f>Q542/O542</f>
        <v>#DIV/0!</v>
      </c>
      <c r="T542" s="7">
        <f ca="1">IF(S542&lt;&gt;"",S542-B542,TODAY()-B542)</f>
        <v>45</v>
      </c>
    </row>
    <row r="543" spans="1:20">
      <c r="A543">
        <v>604</v>
      </c>
      <c r="B543" s="12">
        <v>45821</v>
      </c>
      <c r="D543" t="s">
        <v>19</v>
      </c>
      <c r="E543" t="s">
        <v>963</v>
      </c>
      <c r="F543" t="s">
        <v>254</v>
      </c>
      <c r="G543" s="3">
        <v>90</v>
      </c>
      <c r="H543" s="3">
        <f>G543*0.4</f>
        <v>36</v>
      </c>
      <c r="I543" s="8">
        <f>G543*0.15</f>
        <v>13.5</v>
      </c>
      <c r="J543" s="3">
        <f>G543+H543</f>
        <v>126</v>
      </c>
      <c r="K543" s="3">
        <f>J543*1.13</f>
        <v>142.38</v>
      </c>
      <c r="L543" s="25">
        <v>0</v>
      </c>
      <c r="O543" s="3">
        <v>47</v>
      </c>
      <c r="P543" s="3">
        <v>41.33</v>
      </c>
      <c r="Q543" s="3">
        <f>P543-G543</f>
        <v>-48.67</v>
      </c>
      <c r="R543" s="10">
        <f>Q543/O543</f>
        <v>-1.0355319148936171</v>
      </c>
      <c r="S543" s="13">
        <v>45865</v>
      </c>
      <c r="T543" s="7">
        <f ca="1">IF(S543&lt;&gt;"",S543-B543,TODAY()-B543)</f>
        <v>44</v>
      </c>
    </row>
    <row r="544" spans="1:20">
      <c r="A544">
        <v>605</v>
      </c>
      <c r="B544" s="12">
        <v>45822</v>
      </c>
      <c r="D544" t="s">
        <v>691</v>
      </c>
      <c r="E544" t="s">
        <v>964</v>
      </c>
      <c r="F544" t="s">
        <v>575</v>
      </c>
      <c r="G544" s="3">
        <v>131.12</v>
      </c>
      <c r="H544" s="3">
        <f>G544*0.4</f>
        <v>52.448000000000008</v>
      </c>
      <c r="I544" s="8">
        <f>G544*0.15</f>
        <v>19.667999999999999</v>
      </c>
      <c r="J544" s="3">
        <f>G544+H544</f>
        <v>183.56800000000001</v>
      </c>
      <c r="K544" s="3">
        <f>J544*1.13</f>
        <v>207.43183999999999</v>
      </c>
      <c r="L544" s="25">
        <v>0</v>
      </c>
      <c r="O544" s="3">
        <v>205</v>
      </c>
      <c r="P544" s="3">
        <v>181.73</v>
      </c>
      <c r="Q544" s="3">
        <f>P544-G544</f>
        <v>50.609999999999985</v>
      </c>
      <c r="R544" s="10">
        <f>Q544/O544</f>
        <v>0.24687804878048775</v>
      </c>
      <c r="S544" s="13">
        <v>45841</v>
      </c>
      <c r="T544" s="7">
        <f ca="1">IF(S544&lt;&gt;"",S544-B544,TODAY()-B544)</f>
        <v>19</v>
      </c>
    </row>
    <row r="545" spans="1:20">
      <c r="A545">
        <v>606</v>
      </c>
      <c r="B545" s="13">
        <v>45828</v>
      </c>
      <c r="D545" t="s">
        <v>809</v>
      </c>
      <c r="E545" t="s">
        <v>959</v>
      </c>
      <c r="F545" t="s">
        <v>294</v>
      </c>
      <c r="G545" s="3">
        <v>72</v>
      </c>
      <c r="H545" s="8">
        <f>G545*0.3</f>
        <v>21.599999999999998</v>
      </c>
      <c r="I545" s="8">
        <f>G545*0.15</f>
        <v>10.799999999999999</v>
      </c>
      <c r="J545" s="3">
        <f>G545+H545</f>
        <v>93.6</v>
      </c>
      <c r="K545" s="3">
        <f>J545*1.13</f>
        <v>105.76799999999999</v>
      </c>
      <c r="L545" s="25">
        <v>0</v>
      </c>
      <c r="O545" s="3">
        <v>0</v>
      </c>
      <c r="P545" s="3">
        <v>0</v>
      </c>
      <c r="Q545" s="3">
        <f>P545-G545</f>
        <v>-72</v>
      </c>
      <c r="R545" s="10" t="e">
        <f>Q545/O545</f>
        <v>#DIV/0!</v>
      </c>
      <c r="S545" s="13">
        <v>45828</v>
      </c>
      <c r="T545" s="7">
        <f ca="1">IF(S545&lt;&gt;"",S545-B545,TODAY()-B545)</f>
        <v>0</v>
      </c>
    </row>
    <row r="546" spans="1:20">
      <c r="A546">
        <v>607</v>
      </c>
      <c r="B546" s="13">
        <v>45828</v>
      </c>
      <c r="D546" t="s">
        <v>809</v>
      </c>
      <c r="E546" t="s">
        <v>891</v>
      </c>
      <c r="F546" t="s">
        <v>294</v>
      </c>
      <c r="G546" s="3">
        <f>4*9</f>
        <v>36</v>
      </c>
      <c r="H546" s="8">
        <f>G546*0.3</f>
        <v>10.799999999999999</v>
      </c>
      <c r="I546" s="8">
        <f>G546*0.15</f>
        <v>5.3999999999999995</v>
      </c>
      <c r="J546" s="3">
        <f>G546+H546</f>
        <v>46.8</v>
      </c>
      <c r="K546" s="3">
        <f>J546*1.13</f>
        <v>52.883999999999993</v>
      </c>
      <c r="L546" s="25">
        <v>0</v>
      </c>
      <c r="O546" s="3">
        <v>82</v>
      </c>
      <c r="P546" s="3">
        <v>68.39</v>
      </c>
      <c r="Q546" s="3">
        <f>P546-G546</f>
        <v>32.39</v>
      </c>
      <c r="R546" s="10">
        <f>Q546/O546</f>
        <v>0.39500000000000002</v>
      </c>
      <c r="S546" s="13">
        <v>45828</v>
      </c>
      <c r="T546" s="7">
        <f ca="1">IF(S546&lt;&gt;"",S546-B546,TODAY()-B546)</f>
        <v>0</v>
      </c>
    </row>
    <row r="547" spans="1:20">
      <c r="A547">
        <v>608</v>
      </c>
      <c r="B547" s="13">
        <v>45828</v>
      </c>
      <c r="D547" t="s">
        <v>809</v>
      </c>
      <c r="E547" t="s">
        <v>957</v>
      </c>
      <c r="F547" t="s">
        <v>294</v>
      </c>
      <c r="G547" s="3">
        <v>35.08</v>
      </c>
      <c r="H547" s="8">
        <f>G547*0.3</f>
        <v>10.523999999999999</v>
      </c>
      <c r="I547" s="8">
        <f>G547*0.15</f>
        <v>5.2619999999999996</v>
      </c>
      <c r="J547" s="3">
        <f>G547+H547</f>
        <v>45.603999999999999</v>
      </c>
      <c r="K547" s="3">
        <f>J547*1.13</f>
        <v>51.532519999999991</v>
      </c>
      <c r="L547" s="25">
        <v>0</v>
      </c>
      <c r="O547" s="3">
        <v>0</v>
      </c>
      <c r="P547" s="3">
        <v>0</v>
      </c>
      <c r="Q547" s="3">
        <f>P547-G547</f>
        <v>-35.08</v>
      </c>
      <c r="R547" s="10" t="e">
        <f>Q547/O547</f>
        <v>#DIV/0!</v>
      </c>
      <c r="S547" s="13">
        <v>45828</v>
      </c>
      <c r="T547" s="7">
        <f ca="1">IF(S547&lt;&gt;"",S547-B547,TODAY()-B547)</f>
        <v>0</v>
      </c>
    </row>
    <row r="548" spans="1:20">
      <c r="A548">
        <v>609</v>
      </c>
      <c r="B548" s="12">
        <v>45828</v>
      </c>
      <c r="D548" t="s">
        <v>809</v>
      </c>
      <c r="E548" t="s">
        <v>965</v>
      </c>
      <c r="F548" t="s">
        <v>294</v>
      </c>
      <c r="G548" s="3">
        <v>10</v>
      </c>
      <c r="H548" s="8">
        <f>G548*0.3</f>
        <v>3</v>
      </c>
      <c r="I548" s="8">
        <f>G548*0.15</f>
        <v>1.5</v>
      </c>
      <c r="J548" s="3">
        <f>G548+H548</f>
        <v>13</v>
      </c>
      <c r="K548" s="3">
        <f>J548*1.13</f>
        <v>14.689999999999998</v>
      </c>
      <c r="L548" s="25">
        <v>0</v>
      </c>
      <c r="O548" s="3">
        <v>25</v>
      </c>
      <c r="P548" s="3">
        <v>21.91</v>
      </c>
      <c r="Q548" s="3">
        <f>P548-G548</f>
        <v>11.91</v>
      </c>
      <c r="R548" s="10">
        <f>Q548/O548</f>
        <v>0.47639999999999999</v>
      </c>
      <c r="S548" s="13">
        <v>45828</v>
      </c>
      <c r="T548" s="7">
        <f ca="1">IF(S548&lt;&gt;"",S548-B548,TODAY()-B548)</f>
        <v>0</v>
      </c>
    </row>
    <row r="549" spans="1:20" hidden="1">
      <c r="A549">
        <v>610</v>
      </c>
      <c r="B549" s="12">
        <v>45818</v>
      </c>
      <c r="D549" t="s">
        <v>967</v>
      </c>
      <c r="E549" t="s">
        <v>966</v>
      </c>
      <c r="F549" t="s">
        <v>309</v>
      </c>
      <c r="G549" s="3">
        <v>560</v>
      </c>
      <c r="H549" s="3">
        <f>G549*0.4</f>
        <v>224</v>
      </c>
      <c r="I549" s="8">
        <f>G549*0.15</f>
        <v>84</v>
      </c>
      <c r="J549" s="3">
        <f>G549+H549</f>
        <v>784</v>
      </c>
      <c r="K549" s="3">
        <f>J549*1.13</f>
        <v>885.92</v>
      </c>
      <c r="L549" s="25">
        <v>1</v>
      </c>
      <c r="Q549" s="3">
        <f>P549-G549</f>
        <v>-560</v>
      </c>
      <c r="R549" s="10" t="e">
        <f>Q549/O549</f>
        <v>#DIV/0!</v>
      </c>
      <c r="T549" s="7">
        <f ca="1">IF(S549&lt;&gt;"",S549-B549,TODAY()-B549)</f>
        <v>48</v>
      </c>
    </row>
    <row r="550" spans="1:20">
      <c r="A550">
        <v>611</v>
      </c>
      <c r="B550" s="12">
        <v>45830</v>
      </c>
      <c r="D550" t="s">
        <v>809</v>
      </c>
      <c r="E550" t="s">
        <v>638</v>
      </c>
      <c r="F550" t="s">
        <v>294</v>
      </c>
      <c r="G550" s="3">
        <f>13*4</f>
        <v>52</v>
      </c>
      <c r="H550" s="8">
        <f>G550*0.3</f>
        <v>15.6</v>
      </c>
      <c r="I550" s="8">
        <f>G550*0.15</f>
        <v>7.8</v>
      </c>
      <c r="J550" s="3">
        <f>G550+H550</f>
        <v>67.599999999999994</v>
      </c>
      <c r="K550" s="3">
        <f>J550*1.13</f>
        <v>76.387999999999991</v>
      </c>
      <c r="L550" s="25">
        <v>0</v>
      </c>
      <c r="O550" s="3">
        <v>98</v>
      </c>
      <c r="P550" s="3">
        <v>84.42</v>
      </c>
      <c r="Q550" s="3">
        <f>P550-G550</f>
        <v>32.42</v>
      </c>
      <c r="R550" s="10">
        <f>Q550/O550</f>
        <v>0.33081632653061227</v>
      </c>
      <c r="S550" s="13">
        <v>45830</v>
      </c>
      <c r="T550" s="7">
        <f ca="1">IF(S550&lt;&gt;"",S550-B550,TODAY()-B550)</f>
        <v>0</v>
      </c>
    </row>
    <row r="551" spans="1:20">
      <c r="A551">
        <v>612</v>
      </c>
      <c r="B551" s="12">
        <v>45830</v>
      </c>
      <c r="D551" t="s">
        <v>809</v>
      </c>
      <c r="E551" t="s">
        <v>957</v>
      </c>
      <c r="F551" t="s">
        <v>294</v>
      </c>
      <c r="G551" s="3">
        <v>26.8</v>
      </c>
      <c r="H551" s="8">
        <f>G551*0.3</f>
        <v>8.0399999999999991</v>
      </c>
      <c r="I551" s="8">
        <f>G551*0.15</f>
        <v>4.0199999999999996</v>
      </c>
      <c r="J551" s="3">
        <f>G551+H551</f>
        <v>34.840000000000003</v>
      </c>
      <c r="K551" s="3">
        <f>J551*1.13</f>
        <v>39.369199999999999</v>
      </c>
      <c r="L551" s="25">
        <v>0</v>
      </c>
      <c r="O551" s="3">
        <v>0</v>
      </c>
      <c r="P551" s="3">
        <v>0</v>
      </c>
      <c r="Q551" s="3">
        <f>P551-G551</f>
        <v>-26.8</v>
      </c>
      <c r="R551" s="10" t="e">
        <f>Q551/O551</f>
        <v>#DIV/0!</v>
      </c>
      <c r="S551" s="13">
        <v>45830</v>
      </c>
      <c r="T551" s="7">
        <f ca="1">IF(S551&lt;&gt;"",S551-B551,TODAY()-B551)</f>
        <v>0</v>
      </c>
    </row>
    <row r="552" spans="1:20">
      <c r="A552">
        <v>613</v>
      </c>
      <c r="B552" s="12">
        <v>45830</v>
      </c>
      <c r="D552" t="s">
        <v>809</v>
      </c>
      <c r="E552" t="s">
        <v>968</v>
      </c>
      <c r="F552" t="s">
        <v>294</v>
      </c>
      <c r="G552" s="3">
        <v>0.01</v>
      </c>
      <c r="H552" s="8">
        <f>G552*0.3</f>
        <v>3.0000000000000001E-3</v>
      </c>
      <c r="I552" s="8">
        <f>G552*0.15</f>
        <v>1.5E-3</v>
      </c>
      <c r="J552" s="3">
        <f>G552+H552</f>
        <v>1.3000000000000001E-2</v>
      </c>
      <c r="K552" s="3">
        <f>J552*1.13</f>
        <v>1.469E-2</v>
      </c>
      <c r="L552" s="25">
        <v>0</v>
      </c>
      <c r="O552" s="3">
        <v>15</v>
      </c>
      <c r="P552" s="3">
        <v>15</v>
      </c>
      <c r="Q552" s="3">
        <f>P552-G552</f>
        <v>14.99</v>
      </c>
      <c r="R552" s="10">
        <f>Q552/O552</f>
        <v>0.9993333333333333</v>
      </c>
      <c r="S552" s="13">
        <v>45830</v>
      </c>
      <c r="T552" s="7">
        <f ca="1">IF(S552&lt;&gt;"",S552-B552,TODAY()-B552)</f>
        <v>0</v>
      </c>
    </row>
    <row r="553" spans="1:20">
      <c r="A553">
        <v>614</v>
      </c>
      <c r="B553" s="12">
        <v>45826</v>
      </c>
      <c r="D553" t="s">
        <v>972</v>
      </c>
      <c r="E553" t="s">
        <v>969</v>
      </c>
      <c r="F553" t="s">
        <v>226</v>
      </c>
      <c r="G553" s="3">
        <v>33.479999999999997</v>
      </c>
      <c r="H553" s="8">
        <f>G553*0.3</f>
        <v>10.043999999999999</v>
      </c>
      <c r="I553" s="8">
        <f>G553*0.15</f>
        <v>5.0219999999999994</v>
      </c>
      <c r="J553" s="3">
        <f>G553+H553</f>
        <v>43.523999999999994</v>
      </c>
      <c r="K553" s="3">
        <f>J553*1.13</f>
        <v>49.182119999999991</v>
      </c>
      <c r="L553" s="25">
        <v>0</v>
      </c>
      <c r="O553" s="3">
        <v>25</v>
      </c>
      <c r="P553" s="3">
        <v>21.68</v>
      </c>
      <c r="Q553" s="3">
        <f>P553-G553</f>
        <v>-11.799999999999997</v>
      </c>
      <c r="R553" s="10">
        <f>Q553/O553</f>
        <v>-0.47199999999999986</v>
      </c>
      <c r="S553" s="13">
        <v>45833</v>
      </c>
      <c r="T553" s="7">
        <f ca="1">IF(S553&lt;&gt;"",S553-B553,TODAY()-B553)</f>
        <v>7</v>
      </c>
    </row>
    <row r="554" spans="1:20">
      <c r="A554">
        <v>615</v>
      </c>
      <c r="B554" s="12">
        <v>45826</v>
      </c>
      <c r="D554" t="s">
        <v>972</v>
      </c>
      <c r="E554" t="s">
        <v>970</v>
      </c>
      <c r="F554" t="s">
        <v>226</v>
      </c>
      <c r="G554" s="3">
        <v>0.01</v>
      </c>
      <c r="H554" s="3">
        <f>G554*0.4</f>
        <v>4.0000000000000001E-3</v>
      </c>
      <c r="I554" s="8">
        <f>G554*0.15</f>
        <v>1.5E-3</v>
      </c>
      <c r="J554" s="3">
        <f>G554+H554</f>
        <v>1.4E-2</v>
      </c>
      <c r="K554" s="3">
        <f>J554*1.13</f>
        <v>1.5819999999999997E-2</v>
      </c>
      <c r="L554" s="25">
        <v>0</v>
      </c>
      <c r="O554" s="3">
        <v>35</v>
      </c>
      <c r="P554" s="3">
        <v>32.06</v>
      </c>
      <c r="Q554" s="3">
        <f>P554-G554</f>
        <v>32.050000000000004</v>
      </c>
      <c r="R554" s="10">
        <f>Q554/O554</f>
        <v>0.91571428571428581</v>
      </c>
      <c r="S554" s="13">
        <v>45843</v>
      </c>
      <c r="T554" s="7">
        <f ca="1">IF(S554&lt;&gt;"",S554-B554,TODAY()-B554)</f>
        <v>17</v>
      </c>
    </row>
    <row r="555" spans="1:20">
      <c r="A555">
        <v>616</v>
      </c>
      <c r="B555" s="12">
        <v>45826</v>
      </c>
      <c r="D555" t="s">
        <v>972</v>
      </c>
      <c r="E555" t="s">
        <v>971</v>
      </c>
      <c r="F555" t="s">
        <v>226</v>
      </c>
      <c r="G555" s="3">
        <v>25.54</v>
      </c>
      <c r="H555" s="3">
        <f>G555*0.4</f>
        <v>10.216000000000001</v>
      </c>
      <c r="I555" s="8">
        <f>G555*0.15</f>
        <v>3.8309999999999995</v>
      </c>
      <c r="J555" s="3">
        <f>G555+H555</f>
        <v>35.756</v>
      </c>
      <c r="K555" s="3">
        <f>J555*1.13</f>
        <v>40.40428</v>
      </c>
      <c r="L555" s="25">
        <v>0</v>
      </c>
      <c r="O555" s="3">
        <v>43</v>
      </c>
      <c r="P555" s="3">
        <v>39.18</v>
      </c>
      <c r="Q555" s="3">
        <f>P555-G555</f>
        <v>13.64</v>
      </c>
      <c r="R555" s="10">
        <f>Q555/O555</f>
        <v>0.31720930232558142</v>
      </c>
      <c r="S555" s="13">
        <v>45843</v>
      </c>
      <c r="T555" s="7">
        <f ca="1">IF(S555&lt;&gt;"",S555-B555,TODAY()-B555)</f>
        <v>17</v>
      </c>
    </row>
    <row r="556" spans="1:20">
      <c r="A556">
        <v>618</v>
      </c>
      <c r="B556" s="12">
        <v>45826</v>
      </c>
      <c r="D556" t="s">
        <v>973</v>
      </c>
      <c r="E556" t="s">
        <v>795</v>
      </c>
      <c r="F556" t="s">
        <v>472</v>
      </c>
      <c r="G556" s="3">
        <v>391.18</v>
      </c>
      <c r="H556" s="8">
        <f>G556*0.3</f>
        <v>117.354</v>
      </c>
      <c r="I556" s="8">
        <f>G556*0.15</f>
        <v>58.677</v>
      </c>
      <c r="J556" s="3">
        <f>G556+H556</f>
        <v>508.53399999999999</v>
      </c>
      <c r="K556" s="3">
        <f>J556*1.13</f>
        <v>574.64341999999999</v>
      </c>
      <c r="L556" s="25">
        <v>0</v>
      </c>
      <c r="O556" s="3">
        <v>594</v>
      </c>
      <c r="P556" s="3">
        <v>475.2</v>
      </c>
      <c r="Q556" s="3">
        <f>P556-G556</f>
        <v>84.019999999999982</v>
      </c>
      <c r="R556" s="10">
        <f>Q556/O556</f>
        <v>0.14144781144781141</v>
      </c>
      <c r="S556" s="13">
        <v>45834</v>
      </c>
      <c r="T556" s="7">
        <f ca="1">IF(S556&lt;&gt;"",S556-B556,TODAY()-B556)</f>
        <v>8</v>
      </c>
    </row>
    <row r="557" spans="1:20">
      <c r="A557">
        <v>619</v>
      </c>
      <c r="B557" s="12">
        <v>45826</v>
      </c>
      <c r="D557" t="s">
        <v>48</v>
      </c>
      <c r="E557" t="s">
        <v>980</v>
      </c>
      <c r="F557" t="s">
        <v>294</v>
      </c>
      <c r="G557" s="3">
        <v>65.569999999999993</v>
      </c>
      <c r="H557" s="8">
        <f>G557*0.3</f>
        <v>19.670999999999996</v>
      </c>
      <c r="I557" s="8">
        <f>G557*0.15</f>
        <v>9.8354999999999979</v>
      </c>
      <c r="J557" s="3">
        <f>G557+H557</f>
        <v>85.240999999999985</v>
      </c>
      <c r="K557" s="3">
        <f>J557*1.13</f>
        <v>96.32232999999998</v>
      </c>
      <c r="L557" s="25">
        <v>0</v>
      </c>
      <c r="O557" s="3">
        <v>58</v>
      </c>
      <c r="P557" s="3">
        <v>51.13</v>
      </c>
      <c r="Q557" s="3">
        <f>P557-G557</f>
        <v>-14.439999999999991</v>
      </c>
      <c r="R557" s="10">
        <f>Q557/O557</f>
        <v>-0.24896551724137914</v>
      </c>
      <c r="S557" s="13">
        <v>45835</v>
      </c>
      <c r="T557" s="7">
        <f ca="1">IF(S557&lt;&gt;"",S557-B557,TODAY()-B557)</f>
        <v>9</v>
      </c>
    </row>
    <row r="558" spans="1:20" hidden="1">
      <c r="A558">
        <v>620</v>
      </c>
      <c r="B558" s="12">
        <v>45831</v>
      </c>
      <c r="D558" t="s">
        <v>19</v>
      </c>
      <c r="E558" t="s">
        <v>974</v>
      </c>
      <c r="F558" t="s">
        <v>226</v>
      </c>
      <c r="G558" s="3">
        <v>98.24</v>
      </c>
      <c r="H558" s="3">
        <f>G558*0.4</f>
        <v>39.295999999999999</v>
      </c>
      <c r="I558" s="8">
        <f>G558*0.15</f>
        <v>14.735999999999999</v>
      </c>
      <c r="J558" s="3">
        <f>G558+H558</f>
        <v>137.536</v>
      </c>
      <c r="K558" s="3">
        <f>J558*1.13</f>
        <v>155.41567999999998</v>
      </c>
      <c r="L558" s="25">
        <v>1</v>
      </c>
      <c r="Q558" s="3">
        <f>P558-G558</f>
        <v>-98.24</v>
      </c>
      <c r="R558" s="10" t="e">
        <f>Q558/O558</f>
        <v>#DIV/0!</v>
      </c>
      <c r="T558" s="7">
        <f ca="1">IF(S558&lt;&gt;"",S558-B558,TODAY()-B558)</f>
        <v>35</v>
      </c>
    </row>
    <row r="559" spans="1:20">
      <c r="A559">
        <v>621</v>
      </c>
      <c r="B559" s="12">
        <v>45831</v>
      </c>
      <c r="D559" t="s">
        <v>19</v>
      </c>
      <c r="E559" t="s">
        <v>975</v>
      </c>
      <c r="F559" t="s">
        <v>226</v>
      </c>
      <c r="G559" s="3">
        <v>46.83</v>
      </c>
      <c r="H559" s="3">
        <f>G559*0.4</f>
        <v>18.731999999999999</v>
      </c>
      <c r="I559" s="8">
        <f>G559*0.15</f>
        <v>7.0244999999999997</v>
      </c>
      <c r="J559" s="3">
        <f>G559+H559</f>
        <v>65.561999999999998</v>
      </c>
      <c r="K559" s="3">
        <f>J559*1.13</f>
        <v>74.085059999999984</v>
      </c>
      <c r="L559" s="25">
        <v>0</v>
      </c>
      <c r="O559" s="3">
        <v>41</v>
      </c>
      <c r="P559" s="3">
        <v>35.97</v>
      </c>
      <c r="Q559" s="3">
        <f>P559-G559</f>
        <v>-10.86</v>
      </c>
      <c r="R559" s="10">
        <f>Q559/O559</f>
        <v>-0.26487804878048782</v>
      </c>
      <c r="S559" s="13">
        <v>45835</v>
      </c>
      <c r="T559" s="7">
        <f ca="1">IF(S559&lt;&gt;"",S559-B559,TODAY()-B559)</f>
        <v>4</v>
      </c>
    </row>
    <row r="560" spans="1:20">
      <c r="A560">
        <v>622</v>
      </c>
      <c r="B560" s="12">
        <v>45831</v>
      </c>
      <c r="D560" t="s">
        <v>19</v>
      </c>
      <c r="E560" t="s">
        <v>976</v>
      </c>
      <c r="F560" t="s">
        <v>226</v>
      </c>
      <c r="G560" s="3">
        <v>54.45</v>
      </c>
      <c r="H560" s="3">
        <f>G560*0.4</f>
        <v>21.78</v>
      </c>
      <c r="I560" s="8">
        <f>G560*0.15</f>
        <v>8.1675000000000004</v>
      </c>
      <c r="J560" s="3">
        <f>G560+H560</f>
        <v>76.23</v>
      </c>
      <c r="K560" s="3">
        <f>J560*1.13</f>
        <v>86.139899999999997</v>
      </c>
      <c r="L560" s="25">
        <v>0</v>
      </c>
      <c r="O560" s="3">
        <v>150</v>
      </c>
      <c r="P560" s="3">
        <v>132.84</v>
      </c>
      <c r="Q560" s="3">
        <f>P560-G560</f>
        <v>78.39</v>
      </c>
      <c r="R560" s="10">
        <f>Q560/O560</f>
        <v>0.52259999999999995</v>
      </c>
      <c r="S560" s="13">
        <v>45859</v>
      </c>
      <c r="T560" s="7">
        <f ca="1">IF(S560&lt;&gt;"",S560-B560,TODAY()-B560)</f>
        <v>28</v>
      </c>
    </row>
    <row r="561" spans="1:20">
      <c r="A561">
        <v>623</v>
      </c>
      <c r="B561" s="12">
        <v>45831</v>
      </c>
      <c r="D561" t="s">
        <v>19</v>
      </c>
      <c r="E561" t="s">
        <v>977</v>
      </c>
      <c r="F561" t="s">
        <v>226</v>
      </c>
      <c r="G561" s="3">
        <v>122.2</v>
      </c>
      <c r="H561" s="3">
        <f>G561*0.4</f>
        <v>48.88</v>
      </c>
      <c r="I561" s="8">
        <f>G561*0.15</f>
        <v>18.329999999999998</v>
      </c>
      <c r="J561" s="3">
        <f>G561+H561</f>
        <v>171.08</v>
      </c>
      <c r="K561" s="3">
        <f>J561*1.13</f>
        <v>193.32040000000001</v>
      </c>
      <c r="L561" s="25">
        <v>0</v>
      </c>
      <c r="O561" s="3">
        <v>175</v>
      </c>
      <c r="P561" s="3">
        <v>155.36000000000001</v>
      </c>
      <c r="Q561" s="3">
        <f>P561-G561</f>
        <v>33.160000000000011</v>
      </c>
      <c r="R561" s="10">
        <f>Q561/O561</f>
        <v>0.18948571428571434</v>
      </c>
      <c r="S561" s="13">
        <v>45864</v>
      </c>
      <c r="T561" s="7">
        <f ca="1">IF(S561&lt;&gt;"",S561-B561,TODAY()-B561)</f>
        <v>33</v>
      </c>
    </row>
    <row r="562" spans="1:20" hidden="1">
      <c r="A562">
        <v>624</v>
      </c>
      <c r="B562" s="12">
        <v>45831</v>
      </c>
      <c r="D562" t="s">
        <v>19</v>
      </c>
      <c r="E562" t="s">
        <v>978</v>
      </c>
      <c r="F562" t="s">
        <v>226</v>
      </c>
      <c r="G562" s="3">
        <v>117.84</v>
      </c>
      <c r="H562" s="3">
        <f>G562*0.4</f>
        <v>47.136000000000003</v>
      </c>
      <c r="I562" s="8">
        <f>G562*0.15</f>
        <v>17.675999999999998</v>
      </c>
      <c r="J562" s="3">
        <f>G562+H562</f>
        <v>164.976</v>
      </c>
      <c r="K562" s="3">
        <f>J562*1.13</f>
        <v>186.42287999999999</v>
      </c>
      <c r="L562" s="25">
        <v>1</v>
      </c>
      <c r="Q562" s="3">
        <f>P562-G562</f>
        <v>-117.84</v>
      </c>
      <c r="R562" s="10" t="e">
        <f>Q562/O562</f>
        <v>#DIV/0!</v>
      </c>
      <c r="T562" s="7">
        <f ca="1">IF(S562&lt;&gt;"",S562-B562,TODAY()-B562)</f>
        <v>35</v>
      </c>
    </row>
    <row r="563" spans="1:20">
      <c r="A563">
        <v>625</v>
      </c>
      <c r="B563" s="12">
        <v>45831</v>
      </c>
      <c r="D563" t="s">
        <v>19</v>
      </c>
      <c r="E563" t="s">
        <v>979</v>
      </c>
      <c r="F563" t="s">
        <v>254</v>
      </c>
      <c r="G563" s="3">
        <v>20</v>
      </c>
      <c r="H563" s="8">
        <f>G563*0.3</f>
        <v>6</v>
      </c>
      <c r="I563" s="8">
        <f>G563*0.15</f>
        <v>3</v>
      </c>
      <c r="J563" s="3">
        <f>G563+H563</f>
        <v>26</v>
      </c>
      <c r="K563" s="3">
        <f>J563*1.13</f>
        <v>29.379999999999995</v>
      </c>
      <c r="L563" s="25">
        <v>0</v>
      </c>
      <c r="O563" s="3">
        <v>95</v>
      </c>
      <c r="P563" s="3">
        <v>79.72</v>
      </c>
      <c r="Q563" s="3">
        <f>P563-G563</f>
        <v>59.72</v>
      </c>
      <c r="R563" s="10">
        <f>Q563/O563</f>
        <v>0.62863157894736843</v>
      </c>
      <c r="S563" s="13">
        <v>45833</v>
      </c>
      <c r="T563" s="7">
        <f ca="1">IF(S563&lt;&gt;"",S563-B563,TODAY()-B563)</f>
        <v>2</v>
      </c>
    </row>
    <row r="564" spans="1:20">
      <c r="A564">
        <v>626</v>
      </c>
      <c r="B564" s="12">
        <v>45833</v>
      </c>
      <c r="D564" t="s">
        <v>982</v>
      </c>
      <c r="E564" t="s">
        <v>981</v>
      </c>
      <c r="F564" t="s">
        <v>226</v>
      </c>
      <c r="G564" s="3">
        <v>45</v>
      </c>
      <c r="H564" s="3">
        <f>G564*0.4</f>
        <v>18</v>
      </c>
      <c r="I564" s="8">
        <f>G564*0.15</f>
        <v>6.75</v>
      </c>
      <c r="J564" s="3">
        <f>G564+H564</f>
        <v>63</v>
      </c>
      <c r="K564" s="3">
        <f>J564*1.13</f>
        <v>71.19</v>
      </c>
      <c r="L564" s="25">
        <v>0</v>
      </c>
      <c r="O564" s="3">
        <v>191</v>
      </c>
      <c r="P564" s="3">
        <v>152.80000000000001</v>
      </c>
      <c r="Q564" s="3">
        <f>P564-G564</f>
        <v>107.80000000000001</v>
      </c>
      <c r="R564" s="10">
        <f>Q564/O564</f>
        <v>0.56439790575916238</v>
      </c>
      <c r="S564" s="13">
        <v>45849</v>
      </c>
      <c r="T564" s="7">
        <f ca="1">IF(S564&lt;&gt;"",S564-B564,TODAY()-B564)</f>
        <v>16</v>
      </c>
    </row>
    <row r="565" spans="1:20">
      <c r="A565">
        <v>627</v>
      </c>
      <c r="B565" s="12">
        <v>45833</v>
      </c>
      <c r="D565" t="s">
        <v>982</v>
      </c>
      <c r="E565" t="s">
        <v>983</v>
      </c>
      <c r="F565" t="s">
        <v>226</v>
      </c>
      <c r="G565" s="3">
        <v>50</v>
      </c>
      <c r="H565" s="3">
        <f>G565*0.4</f>
        <v>20</v>
      </c>
      <c r="I565" s="8">
        <f>G565*0.15</f>
        <v>7.5</v>
      </c>
      <c r="J565" s="3">
        <f>G565+H565</f>
        <v>70</v>
      </c>
      <c r="K565" s="3">
        <f>J565*1.13</f>
        <v>79.099999999999994</v>
      </c>
      <c r="L565" s="25">
        <v>0</v>
      </c>
      <c r="O565" s="3">
        <v>149</v>
      </c>
      <c r="P565" s="3">
        <v>132.19</v>
      </c>
      <c r="Q565" s="3">
        <f>P565-G565</f>
        <v>82.19</v>
      </c>
      <c r="R565" s="10">
        <f>Q565/O565</f>
        <v>0.55161073825503359</v>
      </c>
      <c r="S565" s="13">
        <v>45835</v>
      </c>
      <c r="T565" s="7">
        <f ca="1">IF(S565&lt;&gt;"",S565-B565,TODAY()-B565)</f>
        <v>2</v>
      </c>
    </row>
    <row r="566" spans="1:20">
      <c r="A566">
        <v>628</v>
      </c>
      <c r="B566" s="12">
        <v>45833</v>
      </c>
      <c r="D566" t="s">
        <v>982</v>
      </c>
      <c r="E566" t="s">
        <v>984</v>
      </c>
      <c r="F566" t="s">
        <v>226</v>
      </c>
      <c r="G566" s="3">
        <v>80</v>
      </c>
      <c r="H566" s="8">
        <f>G566*0.3</f>
        <v>24</v>
      </c>
      <c r="I566" s="8">
        <f>G566*0.15</f>
        <v>12</v>
      </c>
      <c r="J566" s="3">
        <f>G566+H566</f>
        <v>104</v>
      </c>
      <c r="K566" s="3">
        <f>J566*1.13</f>
        <v>117.51999999999998</v>
      </c>
      <c r="L566" s="25">
        <v>0</v>
      </c>
      <c r="O566" s="3">
        <v>199</v>
      </c>
      <c r="P566" s="3">
        <v>176.4</v>
      </c>
      <c r="Q566" s="3">
        <f>P566-G566</f>
        <v>96.4</v>
      </c>
      <c r="R566" s="10">
        <f>Q566/O566</f>
        <v>0.48442211055276385</v>
      </c>
      <c r="S566" s="13">
        <v>45833</v>
      </c>
      <c r="T566" s="7">
        <f ca="1">IF(S566&lt;&gt;"",S566-B566,TODAY()-B566)</f>
        <v>0</v>
      </c>
    </row>
    <row r="567" spans="1:20">
      <c r="A567">
        <v>629</v>
      </c>
      <c r="B567" s="12">
        <v>45833</v>
      </c>
      <c r="D567" t="s">
        <v>809</v>
      </c>
      <c r="E567" t="s">
        <v>638</v>
      </c>
      <c r="F567" t="s">
        <v>294</v>
      </c>
      <c r="G567" s="3">
        <f>3*4</f>
        <v>12</v>
      </c>
      <c r="H567" s="8">
        <f>G567*0.3</f>
        <v>3.5999999999999996</v>
      </c>
      <c r="I567" s="8">
        <f>G567*0.15</f>
        <v>1.7999999999999998</v>
      </c>
      <c r="J567" s="3">
        <f>G567+H567</f>
        <v>15.6</v>
      </c>
      <c r="K567" s="3">
        <f>J567*1.13</f>
        <v>17.627999999999997</v>
      </c>
      <c r="L567" s="25">
        <v>0</v>
      </c>
      <c r="O567" s="3">
        <v>41</v>
      </c>
      <c r="P567" s="3">
        <f>12.81+12.91+9.31</f>
        <v>35.03</v>
      </c>
      <c r="Q567" s="3">
        <f>P567-G567</f>
        <v>23.03</v>
      </c>
      <c r="R567" s="10">
        <f>Q567/O567</f>
        <v>0.56170731707317079</v>
      </c>
      <c r="S567" s="13">
        <v>45833</v>
      </c>
      <c r="T567" s="7">
        <f ca="1">IF(S567&lt;&gt;"",S567-B567,TODAY()-B567)</f>
        <v>0</v>
      </c>
    </row>
    <row r="568" spans="1:20">
      <c r="A568">
        <v>630</v>
      </c>
      <c r="B568" s="12">
        <v>45833</v>
      </c>
      <c r="D568" t="s">
        <v>809</v>
      </c>
      <c r="E568" t="s">
        <v>958</v>
      </c>
      <c r="F568" t="s">
        <v>294</v>
      </c>
      <c r="G568" s="3">
        <v>27</v>
      </c>
      <c r="H568" s="8">
        <f>G568*0.3</f>
        <v>8.1</v>
      </c>
      <c r="I568" s="8">
        <f>G568*0.15</f>
        <v>4.05</v>
      </c>
      <c r="J568" s="3">
        <f>G568+H568</f>
        <v>35.1</v>
      </c>
      <c r="K568" s="3">
        <f>J568*1.13</f>
        <v>39.662999999999997</v>
      </c>
      <c r="L568" s="25">
        <v>0</v>
      </c>
      <c r="O568" s="3">
        <v>8</v>
      </c>
      <c r="P568" s="3">
        <v>6.67</v>
      </c>
      <c r="Q568" s="3">
        <f>P568-G568</f>
        <v>-20.329999999999998</v>
      </c>
      <c r="R568" s="10">
        <f>Q568/O568</f>
        <v>-2.5412499999999998</v>
      </c>
      <c r="S568" s="13">
        <v>45833</v>
      </c>
      <c r="T568" s="7">
        <f ca="1">IF(S568&lt;&gt;"",S568-B568,TODAY()-B568)</f>
        <v>0</v>
      </c>
    </row>
    <row r="569" spans="1:20">
      <c r="A569">
        <v>631</v>
      </c>
      <c r="B569" s="12">
        <v>45833</v>
      </c>
      <c r="D569" t="s">
        <v>809</v>
      </c>
      <c r="E569" t="s">
        <v>852</v>
      </c>
      <c r="F569" t="s">
        <v>294</v>
      </c>
      <c r="G569" s="3">
        <v>120</v>
      </c>
      <c r="H569" s="8">
        <f>G569*0.3</f>
        <v>36</v>
      </c>
      <c r="I569" s="8">
        <f>G569*0.15</f>
        <v>18</v>
      </c>
      <c r="J569" s="3">
        <f>G569+H569</f>
        <v>156</v>
      </c>
      <c r="K569" s="3">
        <f>J569*1.13</f>
        <v>176.27999999999997</v>
      </c>
      <c r="L569" s="25">
        <v>0</v>
      </c>
      <c r="O569" s="3">
        <v>0</v>
      </c>
      <c r="P569" s="3">
        <v>0</v>
      </c>
      <c r="Q569" s="3">
        <f>P569-G569</f>
        <v>-120</v>
      </c>
      <c r="R569" s="10" t="e">
        <f>Q569/O569</f>
        <v>#DIV/0!</v>
      </c>
      <c r="S569" s="13">
        <v>45833</v>
      </c>
      <c r="T569" s="7">
        <f ca="1">IF(S569&lt;&gt;"",S569-B569,TODAY()-B569)</f>
        <v>0</v>
      </c>
    </row>
    <row r="570" spans="1:20">
      <c r="A570">
        <v>632</v>
      </c>
      <c r="B570" s="12">
        <v>45833</v>
      </c>
      <c r="D570" t="s">
        <v>986</v>
      </c>
      <c r="E570" t="s">
        <v>985</v>
      </c>
      <c r="F570" t="s">
        <v>226</v>
      </c>
      <c r="G570" s="3">
        <v>91.99</v>
      </c>
      <c r="H570" s="3">
        <f>G570*0.4</f>
        <v>36.795999999999999</v>
      </c>
      <c r="I570" s="8">
        <f>G570*0.15</f>
        <v>13.798499999999999</v>
      </c>
      <c r="J570" s="3">
        <f>G570+H570</f>
        <v>128.786</v>
      </c>
      <c r="K570" s="3">
        <f>J570*1.13</f>
        <v>145.52817999999999</v>
      </c>
      <c r="L570" s="25">
        <v>0</v>
      </c>
      <c r="O570" s="3">
        <v>149</v>
      </c>
      <c r="P570" s="3">
        <v>132.13999999999999</v>
      </c>
      <c r="Q570" s="3">
        <f>P570-G570</f>
        <v>40.149999999999991</v>
      </c>
      <c r="R570" s="10">
        <f>Q570/O570</f>
        <v>0.26946308724832208</v>
      </c>
      <c r="S570" s="13">
        <v>45858</v>
      </c>
      <c r="T570" s="7">
        <f ca="1">IF(S570&lt;&gt;"",S570-B570,TODAY()-B570)</f>
        <v>25</v>
      </c>
    </row>
    <row r="571" spans="1:20">
      <c r="A571">
        <v>633</v>
      </c>
      <c r="B571" s="12">
        <v>45835</v>
      </c>
      <c r="D571" t="s">
        <v>809</v>
      </c>
      <c r="E571" t="s">
        <v>638</v>
      </c>
      <c r="F571" t="s">
        <v>294</v>
      </c>
      <c r="G571" s="3">
        <f>4*4</f>
        <v>16</v>
      </c>
      <c r="H571" s="3">
        <f>G571*0.4</f>
        <v>6.4</v>
      </c>
      <c r="I571" s="8">
        <f>G571*0.15</f>
        <v>2.4</v>
      </c>
      <c r="J571" s="3">
        <f>G571+H571</f>
        <v>22.4</v>
      </c>
      <c r="K571" s="3">
        <f>J571*1.13</f>
        <v>25.311999999999998</v>
      </c>
      <c r="L571" s="25">
        <v>0</v>
      </c>
      <c r="O571" s="3">
        <f>15+26+17</f>
        <v>58</v>
      </c>
      <c r="P571" s="3">
        <f>14.67+22.64+12.85</f>
        <v>50.160000000000004</v>
      </c>
      <c r="Q571" s="3">
        <f>P571-G571</f>
        <v>34.160000000000004</v>
      </c>
      <c r="R571" s="10">
        <f>Q571/O571</f>
        <v>0.58896551724137935</v>
      </c>
      <c r="S571" s="13">
        <v>45835</v>
      </c>
      <c r="T571" s="7">
        <f ca="1">IF(S571&lt;&gt;"",S571-B571,TODAY()-B571)</f>
        <v>0</v>
      </c>
    </row>
    <row r="572" spans="1:20">
      <c r="A572">
        <v>634</v>
      </c>
      <c r="B572" s="12">
        <v>45835</v>
      </c>
      <c r="D572" t="s">
        <v>809</v>
      </c>
      <c r="E572" t="s">
        <v>987</v>
      </c>
      <c r="F572" t="s">
        <v>294</v>
      </c>
      <c r="G572" s="3">
        <v>162.63999999999999</v>
      </c>
      <c r="H572" s="3">
        <f>G572*0.4</f>
        <v>65.055999999999997</v>
      </c>
      <c r="I572" s="8">
        <f>G572*0.15</f>
        <v>24.395999999999997</v>
      </c>
      <c r="J572" s="3">
        <f>G572+H572</f>
        <v>227.69599999999997</v>
      </c>
      <c r="K572" s="3">
        <f>J572*1.13</f>
        <v>257.29647999999992</v>
      </c>
      <c r="L572" s="25">
        <v>0</v>
      </c>
      <c r="O572" s="3">
        <v>0</v>
      </c>
      <c r="P572" s="3">
        <v>0</v>
      </c>
      <c r="Q572" s="3">
        <f>P572-G572</f>
        <v>-162.63999999999999</v>
      </c>
      <c r="R572" s="10" t="e">
        <f>Q572/O572</f>
        <v>#DIV/0!</v>
      </c>
      <c r="S572" s="13">
        <v>45835</v>
      </c>
      <c r="T572" s="7">
        <f ca="1">IF(S572&lt;&gt;"",S572-B572,TODAY()-B572)</f>
        <v>0</v>
      </c>
    </row>
    <row r="573" spans="1:20" hidden="1">
      <c r="A573">
        <v>635</v>
      </c>
      <c r="B573" s="12">
        <v>45834</v>
      </c>
      <c r="D573" t="s">
        <v>988</v>
      </c>
      <c r="E573" t="s">
        <v>989</v>
      </c>
      <c r="F573" t="s">
        <v>309</v>
      </c>
      <c r="G573" s="3">
        <v>337.54</v>
      </c>
      <c r="H573" s="3">
        <f>G573*0.4</f>
        <v>135.01600000000002</v>
      </c>
      <c r="I573" s="8">
        <f>G573*0.15</f>
        <v>50.631</v>
      </c>
      <c r="J573" s="3">
        <f>G573+H573</f>
        <v>472.55600000000004</v>
      </c>
      <c r="K573" s="3">
        <f>J573*1.13</f>
        <v>533.98828000000003</v>
      </c>
      <c r="L573" s="25">
        <v>1</v>
      </c>
      <c r="Q573" s="3">
        <f>P573-G573</f>
        <v>-337.54</v>
      </c>
      <c r="R573" s="10" t="e">
        <f>Q573/O573</f>
        <v>#DIV/0!</v>
      </c>
      <c r="T573" s="7">
        <f ca="1">IF(S573&lt;&gt;"",S573-B573,TODAY()-B573)</f>
        <v>32</v>
      </c>
    </row>
    <row r="574" spans="1:20" hidden="1">
      <c r="A574">
        <v>637</v>
      </c>
      <c r="B574" s="12">
        <v>45834</v>
      </c>
      <c r="D574" t="s">
        <v>990</v>
      </c>
      <c r="E574" t="s">
        <v>991</v>
      </c>
      <c r="F574" t="s">
        <v>992</v>
      </c>
      <c r="G574" s="3">
        <v>533.61</v>
      </c>
      <c r="H574" s="3">
        <f>G574*0.4</f>
        <v>213.44400000000002</v>
      </c>
      <c r="I574" s="8">
        <f>G574*0.15</f>
        <v>80.041499999999999</v>
      </c>
      <c r="J574" s="3">
        <f>G574+H574</f>
        <v>747.05400000000009</v>
      </c>
      <c r="K574" s="3">
        <f>J574*1.13</f>
        <v>844.17102</v>
      </c>
      <c r="L574" s="25">
        <v>1</v>
      </c>
      <c r="Q574" s="3">
        <f>P574-G574</f>
        <v>-533.61</v>
      </c>
      <c r="R574" s="10" t="e">
        <f>Q574/O574</f>
        <v>#DIV/0!</v>
      </c>
      <c r="T574" s="7">
        <f ca="1">IF(S574&lt;&gt;"",S574-B574,TODAY()-B574)</f>
        <v>32</v>
      </c>
    </row>
    <row r="575" spans="1:20">
      <c r="A575">
        <v>638</v>
      </c>
      <c r="B575" s="12">
        <v>45833</v>
      </c>
      <c r="D575" t="s">
        <v>982</v>
      </c>
      <c r="E575" t="s">
        <v>993</v>
      </c>
      <c r="F575" t="s">
        <v>226</v>
      </c>
      <c r="G575" s="3">
        <v>50</v>
      </c>
      <c r="H575" s="3">
        <f>G575*0.4</f>
        <v>20</v>
      </c>
      <c r="I575" s="8">
        <f>G575*0.15</f>
        <v>7.5</v>
      </c>
      <c r="J575" s="3">
        <f>G575+H575</f>
        <v>70</v>
      </c>
      <c r="K575" s="3">
        <f>J575*1.13</f>
        <v>79.099999999999994</v>
      </c>
      <c r="L575" s="25">
        <v>0</v>
      </c>
      <c r="O575" s="3">
        <v>123.75</v>
      </c>
      <c r="P575" s="3">
        <v>109.54</v>
      </c>
      <c r="Q575" s="3">
        <f>P575-G575</f>
        <v>59.540000000000006</v>
      </c>
      <c r="R575" s="10">
        <f>Q575/O575</f>
        <v>0.48113131313131319</v>
      </c>
      <c r="S575" s="13">
        <v>45851</v>
      </c>
      <c r="T575" s="7">
        <f ca="1">IF(S575&lt;&gt;"",S575-B575,TODAY()-B575)</f>
        <v>18</v>
      </c>
    </row>
    <row r="576" spans="1:20">
      <c r="A576">
        <v>639</v>
      </c>
      <c r="B576" s="12">
        <v>45833</v>
      </c>
      <c r="D576" t="s">
        <v>982</v>
      </c>
      <c r="E576" t="s">
        <v>994</v>
      </c>
      <c r="F576" t="s">
        <v>309</v>
      </c>
      <c r="G576" s="3">
        <v>85</v>
      </c>
      <c r="H576" s="3">
        <f>G576*0.4</f>
        <v>34</v>
      </c>
      <c r="I576" s="8">
        <f>G576*0.15</f>
        <v>12.75</v>
      </c>
      <c r="J576" s="3">
        <f>G576+H576</f>
        <v>119</v>
      </c>
      <c r="K576" s="3">
        <f>J576*1.13</f>
        <v>134.47</v>
      </c>
      <c r="L576" s="25">
        <v>0</v>
      </c>
      <c r="O576" s="3">
        <v>299</v>
      </c>
      <c r="P576" s="3">
        <v>265.38</v>
      </c>
      <c r="Q576" s="3">
        <f>P576-G576</f>
        <v>180.38</v>
      </c>
      <c r="R576" s="10">
        <f>Q576/O576</f>
        <v>0.60327759197324415</v>
      </c>
      <c r="S576" s="13">
        <v>45859</v>
      </c>
      <c r="T576" s="7">
        <f ca="1">IF(S576&lt;&gt;"",S576-B576,TODAY()-B576)</f>
        <v>26</v>
      </c>
    </row>
    <row r="577" spans="1:20" hidden="1">
      <c r="A577">
        <v>640</v>
      </c>
      <c r="B577" s="12">
        <v>45833</v>
      </c>
      <c r="D577" t="s">
        <v>982</v>
      </c>
      <c r="E577" t="s">
        <v>995</v>
      </c>
      <c r="F577" t="s">
        <v>309</v>
      </c>
      <c r="G577" s="3">
        <v>150</v>
      </c>
      <c r="H577" s="3">
        <f>G577*0.4</f>
        <v>60</v>
      </c>
      <c r="I577" s="8">
        <f>G577*0.15</f>
        <v>22.5</v>
      </c>
      <c r="J577" s="3">
        <f>G577+H577</f>
        <v>210</v>
      </c>
      <c r="K577" s="3">
        <f>J577*1.13</f>
        <v>237.29999999999998</v>
      </c>
      <c r="L577" s="25">
        <v>1</v>
      </c>
      <c r="Q577" s="3">
        <f>P577-G577</f>
        <v>-150</v>
      </c>
      <c r="R577" s="10" t="e">
        <f>Q577/O577</f>
        <v>#DIV/0!</v>
      </c>
      <c r="T577" s="7">
        <f ca="1">IF(S577&lt;&gt;"",S577-B577,TODAY()-B577)</f>
        <v>33</v>
      </c>
    </row>
    <row r="578" spans="1:20" hidden="1">
      <c r="A578">
        <v>641</v>
      </c>
      <c r="B578" s="12">
        <v>45833</v>
      </c>
      <c r="D578" t="s">
        <v>787</v>
      </c>
      <c r="E578" t="s">
        <v>796</v>
      </c>
      <c r="F578" t="s">
        <v>309</v>
      </c>
      <c r="G578" s="3">
        <v>292.49</v>
      </c>
      <c r="H578" s="3">
        <f>G578*0.4</f>
        <v>116.99600000000001</v>
      </c>
      <c r="I578" s="8">
        <f>G578*0.15</f>
        <v>43.8735</v>
      </c>
      <c r="J578" s="3">
        <f>G578+H578</f>
        <v>409.48599999999999</v>
      </c>
      <c r="K578" s="3">
        <f>J578*1.13</f>
        <v>462.71917999999994</v>
      </c>
      <c r="L578" s="25">
        <v>1</v>
      </c>
      <c r="Q578" s="3">
        <f>P578-G578</f>
        <v>-292.49</v>
      </c>
      <c r="R578" s="10" t="e">
        <f>Q578/O578</f>
        <v>#DIV/0!</v>
      </c>
      <c r="T578" s="7">
        <f ca="1">IF(S578&lt;&gt;"",S578-B578,TODAY()-B578)</f>
        <v>33</v>
      </c>
    </row>
    <row r="579" spans="1:20" hidden="1">
      <c r="A579">
        <v>642</v>
      </c>
      <c r="B579" s="12">
        <v>45833</v>
      </c>
      <c r="D579" t="s">
        <v>787</v>
      </c>
      <c r="E579" t="s">
        <v>340</v>
      </c>
      <c r="F579" t="s">
        <v>309</v>
      </c>
      <c r="G579" s="3">
        <v>73.510000000000005</v>
      </c>
      <c r="H579" s="3">
        <f>G579*0.4</f>
        <v>29.404000000000003</v>
      </c>
      <c r="I579" s="8">
        <f>G579*0.15</f>
        <v>11.0265</v>
      </c>
      <c r="J579" s="3">
        <f>G579+H579</f>
        <v>102.91400000000002</v>
      </c>
      <c r="K579" s="3">
        <f>J579*1.13</f>
        <v>116.29282000000001</v>
      </c>
      <c r="L579" s="25">
        <v>1</v>
      </c>
      <c r="Q579" s="3">
        <f>P579-G579</f>
        <v>-73.510000000000005</v>
      </c>
      <c r="R579" s="10" t="e">
        <f>Q579/O579</f>
        <v>#DIV/0!</v>
      </c>
      <c r="T579" s="7">
        <f ca="1">IF(S579&lt;&gt;"",S579-B579,TODAY()-B579)</f>
        <v>33</v>
      </c>
    </row>
    <row r="580" spans="1:20" hidden="1">
      <c r="A580">
        <v>643</v>
      </c>
      <c r="B580" s="12">
        <v>45833</v>
      </c>
      <c r="D580" t="s">
        <v>787</v>
      </c>
      <c r="E580" t="s">
        <v>996</v>
      </c>
      <c r="F580" t="s">
        <v>226</v>
      </c>
      <c r="G580" s="3">
        <v>340.3</v>
      </c>
      <c r="H580" s="3">
        <f>G580*0.4</f>
        <v>136.12</v>
      </c>
      <c r="I580" s="8">
        <f>G580*0.15</f>
        <v>51.045000000000002</v>
      </c>
      <c r="J580" s="3">
        <f>G580+H580</f>
        <v>476.42</v>
      </c>
      <c r="K580" s="3">
        <f>J580*1.13</f>
        <v>538.3546</v>
      </c>
      <c r="L580" s="25">
        <v>1</v>
      </c>
      <c r="Q580" s="3">
        <f>P580-G580</f>
        <v>-340.3</v>
      </c>
      <c r="R580" s="10" t="e">
        <f>Q580/O580</f>
        <v>#DIV/0!</v>
      </c>
      <c r="T580" s="7">
        <f ca="1">IF(S580&lt;&gt;"",S580-B580,TODAY()-B580)</f>
        <v>33</v>
      </c>
    </row>
    <row r="581" spans="1:20">
      <c r="A581">
        <v>644</v>
      </c>
      <c r="B581" s="12">
        <v>45833</v>
      </c>
      <c r="D581" t="s">
        <v>809</v>
      </c>
      <c r="E581" t="s">
        <v>968</v>
      </c>
      <c r="F581" t="s">
        <v>294</v>
      </c>
      <c r="G581" s="3">
        <v>0.01</v>
      </c>
      <c r="H581" s="3">
        <f>G581*0.4</f>
        <v>4.0000000000000001E-3</v>
      </c>
      <c r="I581" s="8">
        <f>G581*0.15</f>
        <v>1.5E-3</v>
      </c>
      <c r="J581" s="3">
        <f>G581+H581</f>
        <v>1.4E-2</v>
      </c>
      <c r="K581" s="3">
        <f>J581*1.13</f>
        <v>1.5819999999999997E-2</v>
      </c>
      <c r="L581" s="25">
        <v>0</v>
      </c>
      <c r="O581" s="3">
        <v>25</v>
      </c>
      <c r="P581" s="3">
        <v>25</v>
      </c>
      <c r="Q581" s="3">
        <f>P581-G581</f>
        <v>24.99</v>
      </c>
      <c r="R581" s="10">
        <f>Q581/O581</f>
        <v>0.99959999999999993</v>
      </c>
      <c r="S581" s="13">
        <v>45835</v>
      </c>
      <c r="T581" s="7">
        <f ca="1">IF(S581&lt;&gt;"",S581-B581,TODAY()-B581)</f>
        <v>2</v>
      </c>
    </row>
    <row r="582" spans="1:20">
      <c r="A582">
        <v>645</v>
      </c>
      <c r="B582" s="12">
        <v>45837</v>
      </c>
      <c r="D582" t="s">
        <v>809</v>
      </c>
      <c r="E582" t="s">
        <v>997</v>
      </c>
      <c r="F582" t="s">
        <v>294</v>
      </c>
      <c r="G582" s="3">
        <f>3*4</f>
        <v>12</v>
      </c>
      <c r="H582" s="3">
        <f>G582*0.4</f>
        <v>4.8000000000000007</v>
      </c>
      <c r="I582" s="8">
        <f>G582*0.15</f>
        <v>1.7999999999999998</v>
      </c>
      <c r="J582" s="3">
        <f>G582+H582</f>
        <v>16.8</v>
      </c>
      <c r="K582" s="3">
        <f>J582*1.13</f>
        <v>18.983999999999998</v>
      </c>
      <c r="L582" s="25">
        <v>0</v>
      </c>
      <c r="O582" s="3">
        <v>30</v>
      </c>
      <c r="P582" s="3">
        <v>25.34</v>
      </c>
      <c r="Q582" s="3">
        <f>P582-G582</f>
        <v>13.34</v>
      </c>
      <c r="R582" s="10">
        <f>Q582/O582</f>
        <v>0.44466666666666665</v>
      </c>
      <c r="S582" s="13">
        <v>45837</v>
      </c>
      <c r="T582" s="7">
        <f ca="1">IF(S582&lt;&gt;"",S582-B582,TODAY()-B582)</f>
        <v>0</v>
      </c>
    </row>
    <row r="583" spans="1:20">
      <c r="A583">
        <v>646</v>
      </c>
      <c r="B583" s="12">
        <v>45837</v>
      </c>
      <c r="D583" t="s">
        <v>809</v>
      </c>
      <c r="E583" t="s">
        <v>998</v>
      </c>
      <c r="F583" t="s">
        <v>294</v>
      </c>
      <c r="G583" s="3">
        <f>(24*0.4)+16.35</f>
        <v>25.950000000000003</v>
      </c>
      <c r="H583" s="3">
        <f>G583*0.4</f>
        <v>10.380000000000003</v>
      </c>
      <c r="I583" s="8">
        <f>G583*0.15</f>
        <v>3.8925000000000001</v>
      </c>
      <c r="J583" s="3">
        <f>G583+H583</f>
        <v>36.330000000000005</v>
      </c>
      <c r="K583" s="3">
        <f>J583*1.13</f>
        <v>41.052900000000001</v>
      </c>
      <c r="L583" s="25">
        <v>0</v>
      </c>
      <c r="O583" s="3">
        <v>0</v>
      </c>
      <c r="P583" s="3">
        <v>0</v>
      </c>
      <c r="Q583" s="3">
        <f>P583-G583</f>
        <v>-25.950000000000003</v>
      </c>
      <c r="R583" s="10" t="e">
        <f>Q583/O583</f>
        <v>#DIV/0!</v>
      </c>
      <c r="S583" s="13">
        <v>45837</v>
      </c>
      <c r="T583" s="7">
        <f ca="1">IF(S583&lt;&gt;"",S583-B583,TODAY()-B583)</f>
        <v>0</v>
      </c>
    </row>
    <row r="584" spans="1:20">
      <c r="A584">
        <v>647</v>
      </c>
      <c r="B584" s="12">
        <v>45837</v>
      </c>
      <c r="D584" t="s">
        <v>809</v>
      </c>
      <c r="E584" t="s">
        <v>999</v>
      </c>
      <c r="F584" t="s">
        <v>294</v>
      </c>
      <c r="G584" s="3">
        <v>74.7</v>
      </c>
      <c r="H584" s="3">
        <f>G584*0.4</f>
        <v>29.880000000000003</v>
      </c>
      <c r="I584" s="8">
        <f>G584*0.15</f>
        <v>11.205</v>
      </c>
      <c r="J584" s="3">
        <f>G584+H584</f>
        <v>104.58000000000001</v>
      </c>
      <c r="K584" s="3">
        <f>J584*1.13</f>
        <v>118.1754</v>
      </c>
      <c r="L584" s="25">
        <v>0</v>
      </c>
      <c r="O584" s="3">
        <v>0</v>
      </c>
      <c r="P584" s="3">
        <v>0</v>
      </c>
      <c r="Q584" s="3">
        <f>P584-G584</f>
        <v>-74.7</v>
      </c>
      <c r="R584" s="10" t="e">
        <f>Q584/O584</f>
        <v>#DIV/0!</v>
      </c>
      <c r="S584" s="13">
        <v>45837</v>
      </c>
      <c r="T584" s="7">
        <f ca="1">IF(S584&lt;&gt;"",S584-B584,TODAY()-B584)</f>
        <v>0</v>
      </c>
    </row>
    <row r="585" spans="1:20">
      <c r="A585">
        <v>648</v>
      </c>
      <c r="B585" s="12">
        <v>45834</v>
      </c>
      <c r="D585" t="s">
        <v>1003</v>
      </c>
      <c r="E585" t="s">
        <v>1000</v>
      </c>
      <c r="F585" t="s">
        <v>309</v>
      </c>
      <c r="G585" s="3">
        <v>292.08</v>
      </c>
      <c r="H585" s="3">
        <f>G585*0.4</f>
        <v>116.83199999999999</v>
      </c>
      <c r="I585" s="8">
        <f>G585*0.15</f>
        <v>43.811999999999998</v>
      </c>
      <c r="J585" s="3">
        <f>G585+H585</f>
        <v>408.91199999999998</v>
      </c>
      <c r="K585" s="3">
        <f>J585*1.13</f>
        <v>462.07055999999994</v>
      </c>
      <c r="L585" s="25">
        <v>0</v>
      </c>
      <c r="O585" s="3">
        <v>525</v>
      </c>
      <c r="P585" s="3">
        <v>465.96</v>
      </c>
      <c r="Q585" s="3">
        <f>P585-G585</f>
        <v>173.88</v>
      </c>
      <c r="R585" s="10">
        <f>Q585/O585</f>
        <v>0.33119999999999999</v>
      </c>
      <c r="S585" s="13">
        <v>45841</v>
      </c>
      <c r="T585" s="7">
        <f ca="1">IF(S585&lt;&gt;"",S585-B585,TODAY()-B585)</f>
        <v>7</v>
      </c>
    </row>
    <row r="586" spans="1:20">
      <c r="A586">
        <v>649</v>
      </c>
      <c r="B586" s="12">
        <v>45834</v>
      </c>
      <c r="D586" t="s">
        <v>1003</v>
      </c>
      <c r="E586" t="s">
        <v>1001</v>
      </c>
      <c r="F586" t="s">
        <v>226</v>
      </c>
      <c r="G586" s="3">
        <v>188.08</v>
      </c>
      <c r="H586" s="3">
        <f>G586*0.4</f>
        <v>75.232000000000014</v>
      </c>
      <c r="I586" s="8">
        <f>G586*0.15</f>
        <v>28.212</v>
      </c>
      <c r="J586" s="3">
        <f>G586+H586</f>
        <v>263.31200000000001</v>
      </c>
      <c r="K586" s="3">
        <f>J586*1.13</f>
        <v>297.54255999999998</v>
      </c>
      <c r="L586" s="25">
        <v>0</v>
      </c>
      <c r="O586" s="3">
        <v>299</v>
      </c>
      <c r="P586" s="3">
        <v>265.27</v>
      </c>
      <c r="Q586" s="3">
        <f>P586-G586</f>
        <v>77.189999999999969</v>
      </c>
      <c r="R586" s="10">
        <f>Q586/O586</f>
        <v>0.25816053511705678</v>
      </c>
      <c r="S586" s="13">
        <v>45852</v>
      </c>
      <c r="T586" s="7">
        <f ca="1">IF(S586&lt;&gt;"",S586-B586,TODAY()-B586)</f>
        <v>18</v>
      </c>
    </row>
    <row r="587" spans="1:20">
      <c r="A587">
        <v>650</v>
      </c>
      <c r="B587" s="12">
        <v>45837</v>
      </c>
      <c r="D587" t="s">
        <v>1004</v>
      </c>
      <c r="E587" t="s">
        <v>1002</v>
      </c>
      <c r="F587" t="s">
        <v>472</v>
      </c>
      <c r="G587" s="3">
        <v>201.41</v>
      </c>
      <c r="H587" s="3">
        <f>G587*0.4</f>
        <v>80.564000000000007</v>
      </c>
      <c r="I587" s="8">
        <f>G587*0.15</f>
        <v>30.211499999999997</v>
      </c>
      <c r="J587" s="3">
        <f>G587+H587</f>
        <v>281.97399999999999</v>
      </c>
      <c r="K587" s="3">
        <f>J587*1.13</f>
        <v>318.63061999999996</v>
      </c>
      <c r="L587" s="25">
        <v>0</v>
      </c>
      <c r="O587" s="3">
        <v>320</v>
      </c>
      <c r="P587" s="3">
        <v>283.83</v>
      </c>
      <c r="Q587" s="3">
        <f>P587-G587</f>
        <v>82.419999999999987</v>
      </c>
      <c r="R587" s="10">
        <f>Q587/O587</f>
        <v>0.25756249999999997</v>
      </c>
      <c r="S587" s="13">
        <v>45851</v>
      </c>
      <c r="T587" s="7">
        <f ca="1">IF(S587&lt;&gt;"",S587-B587,TODAY()-B587)</f>
        <v>14</v>
      </c>
    </row>
    <row r="588" spans="1:20" hidden="1">
      <c r="A588">
        <v>651</v>
      </c>
      <c r="B588" s="12">
        <v>45837</v>
      </c>
      <c r="D588" t="s">
        <v>1005</v>
      </c>
      <c r="E588" t="s">
        <v>1064</v>
      </c>
      <c r="F588" t="s">
        <v>226</v>
      </c>
      <c r="G588" s="3">
        <v>823.28</v>
      </c>
      <c r="H588" s="3">
        <f>G588*0.4</f>
        <v>329.31200000000001</v>
      </c>
      <c r="I588" s="8">
        <f>G588*0.15</f>
        <v>123.49199999999999</v>
      </c>
      <c r="J588" s="3">
        <f>G588+H588</f>
        <v>1152.5920000000001</v>
      </c>
      <c r="K588" s="3">
        <f>J588*1.13</f>
        <v>1302.42896</v>
      </c>
      <c r="L588" s="25">
        <v>1</v>
      </c>
      <c r="Q588" s="3">
        <f>P588-G588</f>
        <v>-823.28</v>
      </c>
      <c r="R588" s="10" t="e">
        <f>Q588/O588</f>
        <v>#DIV/0!</v>
      </c>
      <c r="T588" s="7">
        <f ca="1">IF(S588&lt;&gt;"",S588-B588,TODAY()-B588)</f>
        <v>29</v>
      </c>
    </row>
    <row r="589" spans="1:20">
      <c r="A589">
        <v>652</v>
      </c>
      <c r="B589" s="12">
        <v>45837</v>
      </c>
      <c r="D589" t="s">
        <v>1006</v>
      </c>
      <c r="E589" t="s">
        <v>1007</v>
      </c>
      <c r="F589" t="s">
        <v>226</v>
      </c>
      <c r="G589" s="3">
        <v>161.16999999999999</v>
      </c>
      <c r="H589" s="3">
        <f>G589*0.4</f>
        <v>64.468000000000004</v>
      </c>
      <c r="I589" s="8">
        <f>G589*0.15</f>
        <v>24.175499999999996</v>
      </c>
      <c r="J589" s="3">
        <f>G589+H589</f>
        <v>225.63799999999998</v>
      </c>
      <c r="K589" s="3">
        <f>J589*1.13</f>
        <v>254.97093999999996</v>
      </c>
      <c r="L589" s="25">
        <v>0</v>
      </c>
      <c r="O589" s="3">
        <v>245</v>
      </c>
      <c r="P589" s="3">
        <v>217.3</v>
      </c>
      <c r="Q589" s="3">
        <f>P589-G589</f>
        <v>56.130000000000024</v>
      </c>
      <c r="R589" s="10">
        <f>Q589/O589</f>
        <v>0.22910204081632662</v>
      </c>
      <c r="S589" s="13">
        <v>45865</v>
      </c>
      <c r="T589" s="7">
        <f ca="1">IF(S589&lt;&gt;"",S589-B589,TODAY()-B589)</f>
        <v>28</v>
      </c>
    </row>
    <row r="590" spans="1:20" hidden="1">
      <c r="A590">
        <v>654</v>
      </c>
      <c r="B590" s="12">
        <v>45836</v>
      </c>
      <c r="D590" t="s">
        <v>1008</v>
      </c>
      <c r="E590" t="s">
        <v>1009</v>
      </c>
      <c r="F590" t="s">
        <v>226</v>
      </c>
      <c r="G590" s="3">
        <v>525.99</v>
      </c>
      <c r="H590" s="3">
        <f>G590*0.4</f>
        <v>210.39600000000002</v>
      </c>
      <c r="I590" s="8">
        <f>G590*0.15</f>
        <v>78.898499999999999</v>
      </c>
      <c r="J590" s="3">
        <f>G590+H590</f>
        <v>736.38599999999997</v>
      </c>
      <c r="K590" s="3">
        <f>J590*1.13</f>
        <v>832.11617999999987</v>
      </c>
      <c r="L590" s="25">
        <v>1</v>
      </c>
      <c r="Q590" s="3">
        <f>P590-G590</f>
        <v>-525.99</v>
      </c>
      <c r="R590" s="10" t="e">
        <f>Q590/O590</f>
        <v>#DIV/0!</v>
      </c>
      <c r="T590" s="7">
        <f ca="1">IF(S590&lt;&gt;"",S590-B590,TODAY()-B590)</f>
        <v>30</v>
      </c>
    </row>
    <row r="591" spans="1:20" hidden="1">
      <c r="A591">
        <v>657</v>
      </c>
      <c r="B591" s="12">
        <v>45839</v>
      </c>
      <c r="D591" t="s">
        <v>1010</v>
      </c>
      <c r="E591" t="s">
        <v>1011</v>
      </c>
      <c r="F591" t="s">
        <v>226</v>
      </c>
      <c r="G591" s="3">
        <v>201.55</v>
      </c>
      <c r="H591" s="3">
        <f>G591*0.4</f>
        <v>80.62</v>
      </c>
      <c r="I591" s="8">
        <f>G591*0.15</f>
        <v>30.232500000000002</v>
      </c>
      <c r="J591" s="3">
        <f>G591+H591</f>
        <v>282.17</v>
      </c>
      <c r="K591" s="3">
        <f>J591*1.13</f>
        <v>318.85210000000001</v>
      </c>
      <c r="L591" s="25">
        <v>1</v>
      </c>
      <c r="Q591" s="3">
        <f>P591-G591</f>
        <v>-201.55</v>
      </c>
      <c r="R591" s="10" t="e">
        <f>Q591/O591</f>
        <v>#DIV/0!</v>
      </c>
      <c r="T591" s="7">
        <f ca="1">IF(S591&lt;&gt;"",S591-B591,TODAY()-B591)</f>
        <v>27</v>
      </c>
    </row>
    <row r="592" spans="1:20" hidden="1">
      <c r="A592">
        <v>658</v>
      </c>
      <c r="B592" s="12">
        <v>45839</v>
      </c>
      <c r="D592" t="s">
        <v>1012</v>
      </c>
      <c r="E592" t="s">
        <v>1013</v>
      </c>
      <c r="F592" t="s">
        <v>224</v>
      </c>
      <c r="G592" s="3">
        <v>663.43</v>
      </c>
      <c r="H592" s="3">
        <f>G592*0.4</f>
        <v>265.37200000000001</v>
      </c>
      <c r="I592" s="8">
        <f>G592*0.15</f>
        <v>99.514499999999984</v>
      </c>
      <c r="J592" s="3">
        <f>G592+H592</f>
        <v>928.80199999999991</v>
      </c>
      <c r="K592" s="3">
        <f>J592*1.13</f>
        <v>1049.5462599999998</v>
      </c>
      <c r="L592" s="25">
        <v>1</v>
      </c>
      <c r="Q592" s="3">
        <f>P592-G592</f>
        <v>-663.43</v>
      </c>
      <c r="R592" s="10" t="e">
        <f>Q592/O592</f>
        <v>#DIV/0!</v>
      </c>
      <c r="T592" s="7">
        <f ca="1">IF(S592&lt;&gt;"",S592-B592,TODAY()-B592)</f>
        <v>27</v>
      </c>
    </row>
    <row r="593" spans="1:20" hidden="1">
      <c r="A593">
        <v>659</v>
      </c>
      <c r="B593" s="12">
        <v>45839</v>
      </c>
      <c r="D593" t="s">
        <v>48</v>
      </c>
      <c r="E593" t="s">
        <v>874</v>
      </c>
      <c r="F593" t="s">
        <v>294</v>
      </c>
      <c r="G593" s="3">
        <v>117.84</v>
      </c>
      <c r="H593" s="3">
        <f>G593*0.4</f>
        <v>47.136000000000003</v>
      </c>
      <c r="I593" s="8">
        <f>G593*0.15</f>
        <v>17.675999999999998</v>
      </c>
      <c r="J593" s="3">
        <f>G593+H593</f>
        <v>164.976</v>
      </c>
      <c r="K593" s="3">
        <f>J593*1.13</f>
        <v>186.42287999999999</v>
      </c>
      <c r="L593" s="25">
        <v>0</v>
      </c>
      <c r="Q593" s="3">
        <f>P593-G593</f>
        <v>-117.84</v>
      </c>
      <c r="R593" s="10" t="e">
        <f>Q593/O593</f>
        <v>#DIV/0!</v>
      </c>
      <c r="T593" s="7">
        <f ca="1">IF(S593&lt;&gt;"",S593-B593,TODAY()-B593)</f>
        <v>27</v>
      </c>
    </row>
    <row r="594" spans="1:20" hidden="1">
      <c r="A594">
        <v>660</v>
      </c>
      <c r="B594" s="12">
        <v>45839</v>
      </c>
      <c r="D594" t="s">
        <v>132</v>
      </c>
      <c r="E594" t="s">
        <v>1014</v>
      </c>
      <c r="F594" t="s">
        <v>309</v>
      </c>
      <c r="G594" s="3">
        <v>77.95</v>
      </c>
      <c r="H594" s="3">
        <f>G594*0.4</f>
        <v>31.180000000000003</v>
      </c>
      <c r="I594" s="8">
        <f>G594*0.15</f>
        <v>11.692500000000001</v>
      </c>
      <c r="J594" s="3">
        <f>G594+H594</f>
        <v>109.13000000000001</v>
      </c>
      <c r="K594" s="3">
        <f>J594*1.13</f>
        <v>123.3169</v>
      </c>
      <c r="L594" s="25">
        <v>1</v>
      </c>
      <c r="Q594" s="3">
        <f>P594-G594</f>
        <v>-77.95</v>
      </c>
      <c r="R594" s="10" t="e">
        <f>Q594/O594</f>
        <v>#DIV/0!</v>
      </c>
      <c r="T594" s="7">
        <f ca="1">IF(S594&lt;&gt;"",S594-B594,TODAY()-B594)</f>
        <v>27</v>
      </c>
    </row>
    <row r="595" spans="1:20" hidden="1">
      <c r="A595">
        <v>661</v>
      </c>
      <c r="B595" s="12">
        <v>45836</v>
      </c>
      <c r="D595" t="s">
        <v>1015</v>
      </c>
      <c r="E595" t="s">
        <v>1016</v>
      </c>
      <c r="F595" t="s">
        <v>309</v>
      </c>
      <c r="G595" s="3">
        <v>82.99</v>
      </c>
      <c r="H595" s="3">
        <f>G595*0.4</f>
        <v>33.195999999999998</v>
      </c>
      <c r="I595" s="8">
        <f>G595*0.15</f>
        <v>12.448499999999999</v>
      </c>
      <c r="J595" s="3">
        <f>G595+H595</f>
        <v>116.18599999999999</v>
      </c>
      <c r="K595" s="3">
        <f>J595*1.13</f>
        <v>131.29017999999999</v>
      </c>
      <c r="L595" s="25">
        <v>1</v>
      </c>
      <c r="Q595" s="3">
        <f>P595-G595</f>
        <v>-82.99</v>
      </c>
      <c r="R595" s="10" t="e">
        <f>Q595/O595</f>
        <v>#DIV/0!</v>
      </c>
      <c r="T595" s="7">
        <f ca="1">IF(S595&lt;&gt;"",S595-B595,TODAY()-B595)</f>
        <v>30</v>
      </c>
    </row>
    <row r="596" spans="1:20">
      <c r="A596">
        <v>662</v>
      </c>
      <c r="B596" s="12">
        <v>45836</v>
      </c>
      <c r="D596" t="s">
        <v>1015</v>
      </c>
      <c r="E596" t="s">
        <v>1017</v>
      </c>
      <c r="F596" t="s">
        <v>226</v>
      </c>
      <c r="G596" s="3">
        <v>38.119999999999997</v>
      </c>
      <c r="H596" s="3">
        <f>G596*0.4</f>
        <v>15.247999999999999</v>
      </c>
      <c r="I596" s="8">
        <f>G596*0.15</f>
        <v>5.7179999999999991</v>
      </c>
      <c r="J596" s="3">
        <f>G596+H596</f>
        <v>53.367999999999995</v>
      </c>
      <c r="K596" s="3">
        <f>J596*1.13</f>
        <v>60.305839999999989</v>
      </c>
      <c r="L596" s="25">
        <v>0</v>
      </c>
      <c r="O596" s="3">
        <v>56</v>
      </c>
      <c r="P596" s="3">
        <v>49</v>
      </c>
      <c r="Q596" s="3">
        <f>P596-G596</f>
        <v>10.880000000000003</v>
      </c>
      <c r="R596" s="10">
        <f>Q596/O596</f>
        <v>0.19428571428571434</v>
      </c>
      <c r="S596" s="13">
        <v>45841</v>
      </c>
      <c r="T596" s="7">
        <f ca="1">IF(S596&lt;&gt;"",S596-B596,TODAY()-B596)</f>
        <v>5</v>
      </c>
    </row>
    <row r="597" spans="1:20" hidden="1">
      <c r="A597">
        <v>663</v>
      </c>
      <c r="B597" s="12">
        <v>45835</v>
      </c>
      <c r="D597" t="s">
        <v>19</v>
      </c>
      <c r="E597" t="s">
        <v>1018</v>
      </c>
      <c r="F597" t="s">
        <v>309</v>
      </c>
      <c r="G597" s="3">
        <f>85+11.12</f>
        <v>96.12</v>
      </c>
      <c r="H597" s="3">
        <f>G597*0.4</f>
        <v>38.448000000000008</v>
      </c>
      <c r="I597" s="8">
        <f>G597*0.15</f>
        <v>14.417999999999999</v>
      </c>
      <c r="J597" s="3">
        <f>G597+H597</f>
        <v>134.56800000000001</v>
      </c>
      <c r="K597" s="3">
        <f>J597*1.13</f>
        <v>152.06183999999999</v>
      </c>
      <c r="L597" s="25">
        <v>1</v>
      </c>
      <c r="Q597" s="3">
        <f>P597-G597</f>
        <v>-96.12</v>
      </c>
      <c r="R597" s="10" t="e">
        <f>Q597/O597</f>
        <v>#DIV/0!</v>
      </c>
      <c r="T597" s="7">
        <f ca="1">IF(S597&lt;&gt;"",S597-B597,TODAY()-B597)</f>
        <v>31</v>
      </c>
    </row>
    <row r="598" spans="1:20" hidden="1">
      <c r="A598">
        <v>664</v>
      </c>
      <c r="B598" s="12">
        <v>45835</v>
      </c>
      <c r="D598" t="s">
        <v>19</v>
      </c>
      <c r="E598" t="s">
        <v>1019</v>
      </c>
      <c r="F598" t="s">
        <v>226</v>
      </c>
      <c r="G598" s="3">
        <v>82.99</v>
      </c>
      <c r="H598" s="3">
        <f>G598*0.4</f>
        <v>33.195999999999998</v>
      </c>
      <c r="I598" s="8">
        <f>G598*0.15</f>
        <v>12.448499999999999</v>
      </c>
      <c r="J598" s="3">
        <f>G598+H598</f>
        <v>116.18599999999999</v>
      </c>
      <c r="K598" s="3">
        <f>J598*1.13</f>
        <v>131.29017999999999</v>
      </c>
      <c r="L598" s="25">
        <v>1</v>
      </c>
      <c r="Q598" s="3">
        <f>P598-G598</f>
        <v>-82.99</v>
      </c>
      <c r="R598" s="10" t="e">
        <f>Q598/O598</f>
        <v>#DIV/0!</v>
      </c>
      <c r="T598" s="7">
        <f ca="1">IF(S598&lt;&gt;"",S598-B598,TODAY()-B598)</f>
        <v>31</v>
      </c>
    </row>
    <row r="599" spans="1:20" hidden="1">
      <c r="A599">
        <v>665</v>
      </c>
      <c r="B599" s="12">
        <v>11138</v>
      </c>
      <c r="D599" t="s">
        <v>1021</v>
      </c>
      <c r="E599" t="s">
        <v>1020</v>
      </c>
      <c r="F599" t="s">
        <v>226</v>
      </c>
      <c r="G599" s="3">
        <v>400</v>
      </c>
      <c r="H599" s="3">
        <f>G599*0.4</f>
        <v>160</v>
      </c>
      <c r="I599" s="8">
        <f>G599*0.15</f>
        <v>60</v>
      </c>
      <c r="J599" s="3">
        <f>G599+H599</f>
        <v>560</v>
      </c>
      <c r="K599" s="3">
        <f>J599*1.13</f>
        <v>632.79999999999995</v>
      </c>
      <c r="L599" s="25">
        <v>1</v>
      </c>
      <c r="Q599" s="3">
        <f>P599-G599</f>
        <v>-400</v>
      </c>
      <c r="R599" s="10" t="e">
        <f>Q599/O599</f>
        <v>#DIV/0!</v>
      </c>
      <c r="T599" s="7">
        <f ca="1">IF(S599&lt;&gt;"",S599-B599,TODAY()-B599)</f>
        <v>34728</v>
      </c>
    </row>
    <row r="600" spans="1:20" hidden="1">
      <c r="A600">
        <v>666</v>
      </c>
      <c r="B600" s="12">
        <v>45837</v>
      </c>
      <c r="D600" t="s">
        <v>1022</v>
      </c>
      <c r="E600" t="s">
        <v>1023</v>
      </c>
      <c r="F600" t="s">
        <v>226</v>
      </c>
      <c r="G600" s="3">
        <v>575</v>
      </c>
      <c r="H600" s="3">
        <f>G600*0.4</f>
        <v>230</v>
      </c>
      <c r="I600" s="8">
        <f>G600*0.15</f>
        <v>86.25</v>
      </c>
      <c r="J600" s="3">
        <f>G600+H600</f>
        <v>805</v>
      </c>
      <c r="K600" s="3">
        <f>J600*1.13</f>
        <v>909.64999999999986</v>
      </c>
      <c r="L600" s="25">
        <v>1</v>
      </c>
      <c r="Q600" s="3">
        <f>P600-G600</f>
        <v>-575</v>
      </c>
      <c r="R600" s="10" t="e">
        <f>Q600/O600</f>
        <v>#DIV/0!</v>
      </c>
      <c r="T600" s="7">
        <f ca="1">IF(S600&lt;&gt;"",S600-B600,TODAY()-B600)</f>
        <v>29</v>
      </c>
    </row>
    <row r="601" spans="1:20" hidden="1">
      <c r="A601">
        <v>667</v>
      </c>
      <c r="B601" s="12">
        <v>45840</v>
      </c>
      <c r="D601" t="s">
        <v>1008</v>
      </c>
      <c r="E601" t="s">
        <v>1024</v>
      </c>
      <c r="F601" t="s">
        <v>309</v>
      </c>
      <c r="G601" s="3">
        <v>895.16</v>
      </c>
      <c r="H601" s="3">
        <f>G601*0.4</f>
        <v>358.06400000000002</v>
      </c>
      <c r="I601" s="8">
        <f>G601*0.15</f>
        <v>134.274</v>
      </c>
      <c r="J601" s="3">
        <f>G601+H601</f>
        <v>1253.2239999999999</v>
      </c>
      <c r="K601" s="3">
        <f>J601*1.13</f>
        <v>1416.1431199999997</v>
      </c>
      <c r="L601" s="25">
        <v>1</v>
      </c>
      <c r="Q601" s="3">
        <f>P601-G601</f>
        <v>-895.16</v>
      </c>
      <c r="R601" s="10" t="e">
        <f>Q601/O601</f>
        <v>#DIV/0!</v>
      </c>
      <c r="T601" s="7">
        <f ca="1">IF(S601&lt;&gt;"",S601-B601,TODAY()-B601)</f>
        <v>26</v>
      </c>
    </row>
    <row r="602" spans="1:20">
      <c r="A602">
        <v>668</v>
      </c>
      <c r="B602" s="12">
        <v>45841</v>
      </c>
      <c r="D602" t="s">
        <v>809</v>
      </c>
      <c r="E602" t="s">
        <v>638</v>
      </c>
      <c r="F602" t="s">
        <v>294</v>
      </c>
      <c r="G602" s="3">
        <f>(12*4)+27</f>
        <v>75</v>
      </c>
      <c r="H602" s="3">
        <f>G602*0.4</f>
        <v>30</v>
      </c>
      <c r="I602" s="8">
        <f>G602*0.15</f>
        <v>11.25</v>
      </c>
      <c r="J602" s="3">
        <f>G602+H602</f>
        <v>105</v>
      </c>
      <c r="K602" s="3">
        <f>J602*1.13</f>
        <v>118.64999999999999</v>
      </c>
      <c r="L602" s="25">
        <v>0</v>
      </c>
      <c r="O602" s="3">
        <v>144</v>
      </c>
      <c r="P602" s="3">
        <v>125.55</v>
      </c>
      <c r="Q602" s="3">
        <f>P602-G602</f>
        <v>50.55</v>
      </c>
      <c r="R602" s="10">
        <f>Q602/O602</f>
        <v>0.35104166666666664</v>
      </c>
      <c r="S602" s="13">
        <v>45841</v>
      </c>
      <c r="T602" s="7">
        <f ca="1">IF(S602&lt;&gt;"",S602-B602,TODAY()-B602)</f>
        <v>0</v>
      </c>
    </row>
    <row r="603" spans="1:20">
      <c r="A603">
        <v>669</v>
      </c>
      <c r="B603" s="12">
        <v>45841</v>
      </c>
      <c r="D603" t="s">
        <v>809</v>
      </c>
      <c r="E603" t="s">
        <v>950</v>
      </c>
      <c r="F603" t="s">
        <v>294</v>
      </c>
      <c r="G603" s="3">
        <f>13.57+(22*0.4)</f>
        <v>22.37</v>
      </c>
      <c r="H603" s="3">
        <f>G603*0.4</f>
        <v>8.9480000000000004</v>
      </c>
      <c r="I603" s="8">
        <f>G603*0.15</f>
        <v>3.3555000000000001</v>
      </c>
      <c r="J603" s="3">
        <f>G603+H603</f>
        <v>31.318000000000001</v>
      </c>
      <c r="K603" s="3">
        <f>J603*1.13</f>
        <v>35.389339999999997</v>
      </c>
      <c r="L603" s="25">
        <v>0</v>
      </c>
      <c r="O603" s="3">
        <v>0</v>
      </c>
      <c r="P603" s="3">
        <v>0</v>
      </c>
      <c r="Q603" s="3">
        <f>P603-G603</f>
        <v>-22.37</v>
      </c>
      <c r="R603" s="10" t="e">
        <f>Q603/O603</f>
        <v>#DIV/0!</v>
      </c>
      <c r="S603" s="13">
        <v>45841</v>
      </c>
      <c r="T603" s="7">
        <f ca="1">IF(S603&lt;&gt;"",S603-B603,TODAY()-B603)</f>
        <v>0</v>
      </c>
    </row>
    <row r="604" spans="1:20">
      <c r="A604">
        <v>670</v>
      </c>
      <c r="B604" s="12">
        <v>45841</v>
      </c>
      <c r="D604" t="s">
        <v>809</v>
      </c>
      <c r="E604" t="s">
        <v>821</v>
      </c>
      <c r="F604" t="s">
        <v>294</v>
      </c>
      <c r="G604" s="3">
        <v>78.61</v>
      </c>
      <c r="H604" s="3">
        <f>G604*0.4</f>
        <v>31.444000000000003</v>
      </c>
      <c r="I604" s="8">
        <f>G604*0.15</f>
        <v>11.791499999999999</v>
      </c>
      <c r="J604" s="3">
        <f>G604+H604</f>
        <v>110.054</v>
      </c>
      <c r="K604" s="3">
        <f>J604*1.13</f>
        <v>124.36102</v>
      </c>
      <c r="L604" s="25">
        <v>0</v>
      </c>
      <c r="O604" s="3">
        <v>0</v>
      </c>
      <c r="P604" s="3">
        <v>0</v>
      </c>
      <c r="Q604" s="3">
        <f>P604-G604</f>
        <v>-78.61</v>
      </c>
      <c r="R604" s="10" t="e">
        <f>Q604/O604</f>
        <v>#DIV/0!</v>
      </c>
      <c r="S604" s="13">
        <v>45841</v>
      </c>
      <c r="T604" s="7">
        <f ca="1">IF(S604&lt;&gt;"",S604-B604,TODAY()-B604)</f>
        <v>0</v>
      </c>
    </row>
    <row r="605" spans="1:20">
      <c r="A605">
        <v>671</v>
      </c>
      <c r="B605" s="12">
        <v>45806</v>
      </c>
      <c r="D605" t="s">
        <v>875</v>
      </c>
      <c r="E605" t="s">
        <v>1025</v>
      </c>
      <c r="F605" t="s">
        <v>309</v>
      </c>
      <c r="G605" s="3">
        <v>159.44999999999999</v>
      </c>
      <c r="H605" s="3">
        <f>G605*0.4</f>
        <v>63.78</v>
      </c>
      <c r="I605" s="8">
        <f>G605*0.15</f>
        <v>23.917499999999997</v>
      </c>
      <c r="J605" s="3">
        <f>G605+H605</f>
        <v>223.23</v>
      </c>
      <c r="K605" s="3">
        <f>J605*1.13</f>
        <v>252.24989999999997</v>
      </c>
      <c r="L605" s="25">
        <v>0</v>
      </c>
      <c r="O605" s="3">
        <v>160</v>
      </c>
      <c r="P605" s="3">
        <v>148.16</v>
      </c>
      <c r="Q605" s="3">
        <f>P605-G605</f>
        <v>-11.289999999999992</v>
      </c>
      <c r="R605" s="10">
        <f>Q605/O605</f>
        <v>-7.0562499999999945E-2</v>
      </c>
      <c r="S605" s="13">
        <v>45842</v>
      </c>
      <c r="T605" s="7">
        <f ca="1">IF(S605&lt;&gt;"",S605-B605,TODAY()-B605)</f>
        <v>36</v>
      </c>
    </row>
    <row r="606" spans="1:20">
      <c r="A606">
        <v>672</v>
      </c>
      <c r="B606" s="12">
        <v>45842</v>
      </c>
      <c r="D606" t="s">
        <v>809</v>
      </c>
      <c r="E606" t="s">
        <v>1026</v>
      </c>
      <c r="F606" t="s">
        <v>1027</v>
      </c>
      <c r="G606" s="3">
        <v>0.01</v>
      </c>
      <c r="H606" s="3">
        <f>G606*0.4</f>
        <v>4.0000000000000001E-3</v>
      </c>
      <c r="I606" s="8">
        <f>G606*0.15</f>
        <v>1.5E-3</v>
      </c>
      <c r="J606" s="3">
        <f>G606+H606</f>
        <v>1.4E-2</v>
      </c>
      <c r="K606" s="3">
        <f>J606*1.13</f>
        <v>1.5819999999999997E-2</v>
      </c>
      <c r="L606" s="25">
        <v>0</v>
      </c>
      <c r="O606" s="3">
        <f>77+7</f>
        <v>84</v>
      </c>
      <c r="P606" s="3">
        <f>71.02+6.2</f>
        <v>77.22</v>
      </c>
      <c r="Q606" s="3">
        <f>P606-G606</f>
        <v>77.209999999999994</v>
      </c>
      <c r="R606" s="10">
        <f>Q606/O606</f>
        <v>0.91916666666666658</v>
      </c>
      <c r="S606" s="13">
        <v>45842</v>
      </c>
      <c r="T606" s="7">
        <f ca="1">IF(S606&lt;&gt;"",S606-B606,TODAY()-B606)</f>
        <v>0</v>
      </c>
    </row>
    <row r="607" spans="1:20">
      <c r="A607">
        <v>673</v>
      </c>
      <c r="B607" s="12">
        <v>45842</v>
      </c>
      <c r="D607" t="s">
        <v>809</v>
      </c>
      <c r="E607" t="s">
        <v>1028</v>
      </c>
      <c r="G607" s="3">
        <v>35</v>
      </c>
      <c r="H607" s="3">
        <f>G607*0.4</f>
        <v>14</v>
      </c>
      <c r="I607" s="8">
        <f>G607*0.15</f>
        <v>5.25</v>
      </c>
      <c r="J607" s="3">
        <f>G607+H607</f>
        <v>49</v>
      </c>
      <c r="K607" s="3">
        <f>J607*1.13</f>
        <v>55.37</v>
      </c>
      <c r="L607" s="25">
        <v>0</v>
      </c>
      <c r="O607" s="3">
        <v>27</v>
      </c>
      <c r="P607" s="3">
        <v>24.72</v>
      </c>
      <c r="Q607" s="3">
        <f>P607-G607</f>
        <v>-10.280000000000001</v>
      </c>
      <c r="R607" s="10">
        <f>Q607/O607</f>
        <v>-0.38074074074074077</v>
      </c>
      <c r="S607" s="13">
        <v>45842</v>
      </c>
      <c r="T607" s="7">
        <f ca="1">IF(S607&lt;&gt;"",S607-B607,TODAY()-B607)</f>
        <v>0</v>
      </c>
    </row>
    <row r="608" spans="1:20">
      <c r="A608">
        <v>674</v>
      </c>
      <c r="B608" s="12">
        <v>45842</v>
      </c>
      <c r="D608" t="s">
        <v>809</v>
      </c>
      <c r="E608" t="s">
        <v>1029</v>
      </c>
      <c r="F608" t="s">
        <v>1030</v>
      </c>
      <c r="G608" s="3">
        <v>0.01</v>
      </c>
      <c r="H608" s="3">
        <f>G608*0.4</f>
        <v>4.0000000000000001E-3</v>
      </c>
      <c r="I608" s="8">
        <f>G608*0.15</f>
        <v>1.5E-3</v>
      </c>
      <c r="J608" s="3">
        <f>G608+H608</f>
        <v>1.4E-2</v>
      </c>
      <c r="K608" s="3">
        <f>J608*1.13</f>
        <v>1.5819999999999997E-2</v>
      </c>
      <c r="L608" s="25">
        <v>0</v>
      </c>
      <c r="O608" s="3">
        <v>27</v>
      </c>
      <c r="P608" s="3">
        <v>24.78</v>
      </c>
      <c r="Q608" s="3">
        <f>P608-G608</f>
        <v>24.77</v>
      </c>
      <c r="R608" s="10">
        <f>Q608/O608</f>
        <v>0.91740740740740734</v>
      </c>
      <c r="S608" s="13">
        <v>45842</v>
      </c>
      <c r="T608" s="7">
        <f ca="1">IF(S608&lt;&gt;"",S608-B608,TODAY()-B608)</f>
        <v>0</v>
      </c>
    </row>
    <row r="609" spans="1:20">
      <c r="A609">
        <v>675</v>
      </c>
      <c r="B609" s="12">
        <v>45842</v>
      </c>
      <c r="D609" t="s">
        <v>809</v>
      </c>
      <c r="E609" t="s">
        <v>1031</v>
      </c>
      <c r="F609" t="s">
        <v>1032</v>
      </c>
      <c r="G609" s="3">
        <v>30</v>
      </c>
      <c r="H609" s="3">
        <f>G609*0.4</f>
        <v>12</v>
      </c>
      <c r="I609" s="8">
        <f>G609*0.15</f>
        <v>4.5</v>
      </c>
      <c r="J609" s="3">
        <f>G609+H609</f>
        <v>42</v>
      </c>
      <c r="K609" s="3">
        <f>J609*1.13</f>
        <v>47.459999999999994</v>
      </c>
      <c r="L609" s="25">
        <v>0</v>
      </c>
      <c r="O609" s="3">
        <v>76</v>
      </c>
      <c r="P609" s="3">
        <v>70.27</v>
      </c>
      <c r="Q609" s="3">
        <f>P609-G609</f>
        <v>40.269999999999996</v>
      </c>
      <c r="R609" s="10">
        <f>Q609/O609</f>
        <v>0.52986842105263154</v>
      </c>
      <c r="S609" s="13">
        <v>45842</v>
      </c>
      <c r="T609" s="7">
        <f ca="1">IF(S609&lt;&gt;"",S609-B609,TODAY()-B609)</f>
        <v>0</v>
      </c>
    </row>
    <row r="610" spans="1:20">
      <c r="A610">
        <v>676</v>
      </c>
      <c r="B610" s="12">
        <v>45842</v>
      </c>
      <c r="D610" t="s">
        <v>809</v>
      </c>
      <c r="E610" t="s">
        <v>1033</v>
      </c>
      <c r="F610" t="s">
        <v>1034</v>
      </c>
      <c r="G610" s="3">
        <v>30</v>
      </c>
      <c r="H610" s="3">
        <f>G610*0.4</f>
        <v>12</v>
      </c>
      <c r="I610" s="8">
        <f>G610*0.15</f>
        <v>4.5</v>
      </c>
      <c r="J610" s="3">
        <f>G610+H610</f>
        <v>42</v>
      </c>
      <c r="K610" s="3">
        <f>J610*1.13</f>
        <v>47.459999999999994</v>
      </c>
      <c r="L610" s="25">
        <v>0</v>
      </c>
      <c r="O610" s="3">
        <v>19</v>
      </c>
      <c r="P610" s="3">
        <v>17.09</v>
      </c>
      <c r="Q610" s="3">
        <f>P610-G610</f>
        <v>-12.91</v>
      </c>
      <c r="R610" s="10">
        <f>Q610/O610</f>
        <v>-0.67947368421052634</v>
      </c>
      <c r="S610" s="13">
        <v>45842</v>
      </c>
      <c r="T610" s="7">
        <f ca="1">IF(S610&lt;&gt;"",S610-B610,TODAY()-B610)</f>
        <v>0</v>
      </c>
    </row>
    <row r="611" spans="1:20">
      <c r="A611">
        <v>677</v>
      </c>
      <c r="B611" s="12">
        <v>45842</v>
      </c>
      <c r="D611" t="s">
        <v>809</v>
      </c>
      <c r="E611" t="s">
        <v>1035</v>
      </c>
      <c r="F611" t="s">
        <v>1036</v>
      </c>
      <c r="G611" s="3">
        <v>27</v>
      </c>
      <c r="H611" s="3">
        <f>G611*0.4</f>
        <v>10.8</v>
      </c>
      <c r="I611" s="8">
        <f>G611*0.15</f>
        <v>4.05</v>
      </c>
      <c r="J611" s="3">
        <f>G611+H611</f>
        <v>37.799999999999997</v>
      </c>
      <c r="K611" s="3">
        <f>J611*1.13</f>
        <v>42.713999999999992</v>
      </c>
      <c r="L611" s="25">
        <v>0</v>
      </c>
      <c r="O611" s="3">
        <v>17</v>
      </c>
      <c r="P611" s="3">
        <v>15.19</v>
      </c>
      <c r="Q611" s="3">
        <f>P611-G611</f>
        <v>-11.81</v>
      </c>
      <c r="R611" s="10">
        <f>Q611/O611</f>
        <v>-0.69470588235294117</v>
      </c>
      <c r="S611" s="13">
        <v>45842</v>
      </c>
      <c r="T611" s="7">
        <f ca="1">IF(S611&lt;&gt;"",S611-B611,TODAY()-B611)</f>
        <v>0</v>
      </c>
    </row>
    <row r="612" spans="1:20">
      <c r="A612">
        <v>678</v>
      </c>
      <c r="B612" s="12">
        <v>45842</v>
      </c>
      <c r="D612" t="s">
        <v>809</v>
      </c>
      <c r="E612" t="s">
        <v>1037</v>
      </c>
      <c r="F612" t="s">
        <v>1036</v>
      </c>
      <c r="G612" s="3">
        <v>25</v>
      </c>
      <c r="H612" s="3">
        <f>G612*0.4</f>
        <v>10</v>
      </c>
      <c r="I612" s="8">
        <f>G612*0.15</f>
        <v>3.75</v>
      </c>
      <c r="J612" s="3">
        <f>G612+H612</f>
        <v>35</v>
      </c>
      <c r="K612" s="3">
        <f>J612*1.13</f>
        <v>39.549999999999997</v>
      </c>
      <c r="L612" s="25">
        <v>0</v>
      </c>
      <c r="O612" s="3">
        <v>27</v>
      </c>
      <c r="P612" s="3">
        <v>24.77</v>
      </c>
      <c r="Q612" s="3">
        <f>P612-G612</f>
        <v>-0.23000000000000043</v>
      </c>
      <c r="R612" s="10">
        <f>Q612/O612</f>
        <v>-8.5185185185185346E-3</v>
      </c>
      <c r="S612" s="13">
        <v>45842</v>
      </c>
      <c r="T612" s="7">
        <f ca="1">IF(S612&lt;&gt;"",S612-B612,TODAY()-B612)</f>
        <v>0</v>
      </c>
    </row>
    <row r="613" spans="1:20">
      <c r="A613">
        <v>679</v>
      </c>
      <c r="B613" s="12">
        <v>45842</v>
      </c>
      <c r="D613" t="s">
        <v>809</v>
      </c>
      <c r="E613" t="s">
        <v>638</v>
      </c>
      <c r="F613" t="s">
        <v>294</v>
      </c>
      <c r="G613" s="3">
        <f>14*4</f>
        <v>56</v>
      </c>
      <c r="H613" s="3">
        <f>G613*0.4</f>
        <v>22.400000000000002</v>
      </c>
      <c r="I613" s="8">
        <f>G613*0.15</f>
        <v>8.4</v>
      </c>
      <c r="J613" s="3">
        <f>G613+H613</f>
        <v>78.400000000000006</v>
      </c>
      <c r="K613" s="3">
        <f>J613*1.13</f>
        <v>88.591999999999999</v>
      </c>
      <c r="L613" s="25">
        <v>0</v>
      </c>
      <c r="O613" s="3">
        <f>20+31+25+21+20+20</f>
        <v>137</v>
      </c>
      <c r="P613" s="3">
        <v>124.49</v>
      </c>
      <c r="Q613" s="3">
        <f>P613-G613</f>
        <v>68.489999999999995</v>
      </c>
      <c r="R613" s="10">
        <f>Q613/O613</f>
        <v>0.49992700729927003</v>
      </c>
      <c r="S613" s="13">
        <v>45842</v>
      </c>
      <c r="T613" s="7">
        <f ca="1">IF(S613&lt;&gt;"",S613-B613,TODAY()-B613)</f>
        <v>0</v>
      </c>
    </row>
    <row r="614" spans="1:20">
      <c r="A614">
        <v>680</v>
      </c>
      <c r="B614" s="12">
        <v>45842</v>
      </c>
      <c r="D614" t="s">
        <v>809</v>
      </c>
      <c r="E614" t="s">
        <v>957</v>
      </c>
      <c r="F614" t="s">
        <v>294</v>
      </c>
      <c r="G614" s="3">
        <f>(22*0.4)+60.86</f>
        <v>69.66</v>
      </c>
      <c r="H614" s="3">
        <f>G614*0.4</f>
        <v>27.864000000000001</v>
      </c>
      <c r="I614" s="8">
        <f>G614*0.15</f>
        <v>10.449</v>
      </c>
      <c r="J614" s="3">
        <f>G614+H614</f>
        <v>97.524000000000001</v>
      </c>
      <c r="K614" s="3">
        <f>J614*1.13</f>
        <v>110.20211999999999</v>
      </c>
      <c r="L614" s="25">
        <v>0</v>
      </c>
      <c r="O614" s="3">
        <v>0</v>
      </c>
      <c r="P614" s="3">
        <v>0</v>
      </c>
      <c r="Q614" s="3">
        <f>P614-G614</f>
        <v>-69.66</v>
      </c>
      <c r="R614" s="10" t="e">
        <f>Q614/O614</f>
        <v>#DIV/0!</v>
      </c>
      <c r="S614" s="13">
        <v>45842</v>
      </c>
      <c r="T614" s="7">
        <f ca="1">IF(S614&lt;&gt;"",S614-B614,TODAY()-B614)</f>
        <v>0</v>
      </c>
    </row>
    <row r="615" spans="1:20">
      <c r="A615">
        <v>681</v>
      </c>
      <c r="B615" s="12">
        <v>45842</v>
      </c>
      <c r="D615" t="s">
        <v>809</v>
      </c>
      <c r="E615" t="s">
        <v>852</v>
      </c>
      <c r="F615" t="s">
        <v>294</v>
      </c>
      <c r="G615" s="3">
        <v>63.59</v>
      </c>
      <c r="H615" s="3">
        <f>G615*0.4</f>
        <v>25.436000000000003</v>
      </c>
      <c r="I615" s="8">
        <f>G615*0.15</f>
        <v>9.5385000000000009</v>
      </c>
      <c r="J615" s="3">
        <f>G615+H615</f>
        <v>89.02600000000001</v>
      </c>
      <c r="K615" s="3">
        <f>J615*1.13</f>
        <v>100.59938</v>
      </c>
      <c r="L615" s="25">
        <v>0</v>
      </c>
      <c r="O615" s="3">
        <v>0</v>
      </c>
      <c r="P615" s="3">
        <v>0</v>
      </c>
      <c r="Q615" s="3">
        <f>P615-G615</f>
        <v>-63.59</v>
      </c>
      <c r="R615" s="10" t="e">
        <f>Q615/O615</f>
        <v>#DIV/0!</v>
      </c>
      <c r="S615" s="13">
        <v>45842</v>
      </c>
      <c r="T615" s="7">
        <f ca="1">IF(S615&lt;&gt;"",S615-B615,TODAY()-B615)</f>
        <v>0</v>
      </c>
    </row>
    <row r="616" spans="1:20">
      <c r="A616">
        <v>682</v>
      </c>
      <c r="B616" s="12">
        <v>45843</v>
      </c>
      <c r="D616" t="s">
        <v>809</v>
      </c>
      <c r="E616" t="s">
        <v>1038</v>
      </c>
      <c r="F616" t="s">
        <v>294</v>
      </c>
      <c r="G616" s="3">
        <v>0.01</v>
      </c>
      <c r="H616" s="3">
        <f>G616*0.4</f>
        <v>4.0000000000000001E-3</v>
      </c>
      <c r="I616" s="8">
        <f>G616*0.15</f>
        <v>1.5E-3</v>
      </c>
      <c r="J616" s="3">
        <f>G616+H616</f>
        <v>1.4E-2</v>
      </c>
      <c r="K616" s="3">
        <f>J616*1.13</f>
        <v>1.5819999999999997E-2</v>
      </c>
      <c r="L616" s="25">
        <v>0</v>
      </c>
      <c r="O616" s="3">
        <v>39</v>
      </c>
      <c r="P616" s="3">
        <v>35.729999999999997</v>
      </c>
      <c r="Q616" s="3">
        <f>P616-G616</f>
        <v>35.72</v>
      </c>
      <c r="R616" s="10">
        <f>Q616/O616</f>
        <v>0.91589743589743589</v>
      </c>
      <c r="S616" s="13">
        <v>45843</v>
      </c>
      <c r="T616" s="7">
        <f ca="1">IF(S616&lt;&gt;"",S616-B616,TODAY()-B616)</f>
        <v>0</v>
      </c>
    </row>
    <row r="617" spans="1:20">
      <c r="A617">
        <v>683</v>
      </c>
      <c r="B617" s="12">
        <v>45843</v>
      </c>
      <c r="D617" t="s">
        <v>809</v>
      </c>
      <c r="E617" t="s">
        <v>1039</v>
      </c>
      <c r="F617" t="s">
        <v>294</v>
      </c>
      <c r="G617" s="3">
        <v>8</v>
      </c>
      <c r="H617" s="3">
        <f>G617*0.4</f>
        <v>3.2</v>
      </c>
      <c r="I617" s="8">
        <f>G617*0.15</f>
        <v>1.2</v>
      </c>
      <c r="J617" s="3">
        <f>G617+H617</f>
        <v>11.2</v>
      </c>
      <c r="K617" s="3">
        <f>J617*1.13</f>
        <v>12.655999999999999</v>
      </c>
      <c r="L617" s="25">
        <v>0</v>
      </c>
      <c r="O617" s="3">
        <v>13</v>
      </c>
      <c r="P617" s="3">
        <v>11.55</v>
      </c>
      <c r="Q617" s="3">
        <f>P617-G617</f>
        <v>3.5500000000000007</v>
      </c>
      <c r="R617" s="10">
        <f>Q617/O617</f>
        <v>0.27307692307692311</v>
      </c>
      <c r="S617" s="13">
        <v>45843</v>
      </c>
      <c r="T617" s="7">
        <f ca="1">IF(S617&lt;&gt;"",S617-B617,TODAY()-B617)</f>
        <v>0</v>
      </c>
    </row>
    <row r="618" spans="1:20" hidden="1">
      <c r="A618">
        <v>684</v>
      </c>
      <c r="B618" s="12">
        <v>45839</v>
      </c>
      <c r="D618" t="s">
        <v>1040</v>
      </c>
      <c r="E618" t="s">
        <v>1063</v>
      </c>
      <c r="F618" t="s">
        <v>309</v>
      </c>
      <c r="G618" s="3">
        <v>834.87</v>
      </c>
      <c r="H618" s="3">
        <f>G618*0.4</f>
        <v>333.94800000000004</v>
      </c>
      <c r="I618" s="8">
        <f>G618*0.15</f>
        <v>125.23049999999999</v>
      </c>
      <c r="J618" s="3">
        <f>G618+H618</f>
        <v>1168.818</v>
      </c>
      <c r="K618" s="3">
        <f>J618*1.13</f>
        <v>1320.7643399999999</v>
      </c>
      <c r="L618" s="25">
        <v>1</v>
      </c>
      <c r="Q618" s="3">
        <f>P618-G618</f>
        <v>-834.87</v>
      </c>
      <c r="R618" s="10" t="e">
        <f>Q618/O618</f>
        <v>#DIV/0!</v>
      </c>
      <c r="T618" s="7">
        <f ca="1">IF(S618&lt;&gt;"",S618-B618,TODAY()-B618)</f>
        <v>27</v>
      </c>
    </row>
    <row r="619" spans="1:20">
      <c r="A619">
        <v>685</v>
      </c>
      <c r="B619" s="12">
        <v>45842</v>
      </c>
      <c r="D619" t="s">
        <v>1040</v>
      </c>
      <c r="E619" t="s">
        <v>1041</v>
      </c>
      <c r="F619" t="s">
        <v>226</v>
      </c>
      <c r="G619" s="3">
        <v>188.69</v>
      </c>
      <c r="H619" s="3">
        <f>G619*0.4</f>
        <v>75.475999999999999</v>
      </c>
      <c r="I619" s="8">
        <f>G619*0.15</f>
        <v>28.3035</v>
      </c>
      <c r="J619" s="3">
        <f>G619+H619</f>
        <v>264.166</v>
      </c>
      <c r="K619" s="3">
        <f>J619*1.13</f>
        <v>298.50757999999996</v>
      </c>
      <c r="L619" s="25">
        <v>0</v>
      </c>
      <c r="O619" s="3">
        <v>279.3</v>
      </c>
      <c r="P619" s="3">
        <v>247.83</v>
      </c>
      <c r="Q619" s="3">
        <f>P619-G619</f>
        <v>59.140000000000015</v>
      </c>
      <c r="R619" s="10">
        <f>Q619/O619</f>
        <v>0.21174364482635163</v>
      </c>
      <c r="S619" s="13">
        <v>45852</v>
      </c>
      <c r="T619" s="7">
        <f ca="1">IF(S619&lt;&gt;"",S619-B619,TODAY()-B619)</f>
        <v>10</v>
      </c>
    </row>
    <row r="620" spans="1:20" hidden="1">
      <c r="A620">
        <v>686</v>
      </c>
      <c r="B620" s="12">
        <v>45845</v>
      </c>
      <c r="D620" t="s">
        <v>1042</v>
      </c>
      <c r="E620" t="s">
        <v>1043</v>
      </c>
      <c r="F620" t="s">
        <v>309</v>
      </c>
      <c r="G620" s="3">
        <v>63.46</v>
      </c>
      <c r="H620" s="3">
        <f>G620*0.4</f>
        <v>25.384</v>
      </c>
      <c r="I620" s="8">
        <f>G620*0.15</f>
        <v>9.5190000000000001</v>
      </c>
      <c r="J620" s="3">
        <f>G620+H620</f>
        <v>88.843999999999994</v>
      </c>
      <c r="K620" s="3">
        <f>J620*1.13</f>
        <v>100.39371999999999</v>
      </c>
      <c r="L620" s="25">
        <v>1</v>
      </c>
      <c r="Q620" s="3">
        <f>P620-G620</f>
        <v>-63.46</v>
      </c>
      <c r="R620" s="10" t="e">
        <f>Q620/O620</f>
        <v>#DIV/0!</v>
      </c>
      <c r="T620" s="7">
        <f ca="1">IF(S620&lt;&gt;"",S620-B620,TODAY()-B620)</f>
        <v>21</v>
      </c>
    </row>
    <row r="621" spans="1:20" hidden="1">
      <c r="A621">
        <v>687</v>
      </c>
      <c r="B621" s="12">
        <v>45842</v>
      </c>
      <c r="D621" t="s">
        <v>1008</v>
      </c>
      <c r="E621" t="s">
        <v>1044</v>
      </c>
      <c r="F621" t="s">
        <v>309</v>
      </c>
      <c r="G621" s="3">
        <v>518.78</v>
      </c>
      <c r="H621" s="3">
        <f>G621*0.4</f>
        <v>207.512</v>
      </c>
      <c r="I621" s="8">
        <f>G621*0.15</f>
        <v>77.816999999999993</v>
      </c>
      <c r="J621" s="3">
        <f>G621+H621</f>
        <v>726.29199999999992</v>
      </c>
      <c r="K621" s="3">
        <f>J621*1.13</f>
        <v>820.7099599999998</v>
      </c>
      <c r="L621" s="25">
        <v>1</v>
      </c>
      <c r="Q621" s="3">
        <f>P621-G621</f>
        <v>-518.78</v>
      </c>
      <c r="R621" s="10" t="e">
        <f>Q621/O621</f>
        <v>#DIV/0!</v>
      </c>
      <c r="T621" s="7">
        <f ca="1">IF(S621&lt;&gt;"",S621-B621,TODAY()-B621)</f>
        <v>24</v>
      </c>
    </row>
    <row r="622" spans="1:20" hidden="1">
      <c r="A622">
        <v>688</v>
      </c>
      <c r="B622" s="12">
        <v>45845</v>
      </c>
      <c r="D622" t="s">
        <v>1008</v>
      </c>
      <c r="E622" t="s">
        <v>1045</v>
      </c>
      <c r="F622" t="s">
        <v>254</v>
      </c>
      <c r="G622" s="3">
        <v>141.44</v>
      </c>
      <c r="H622" s="3">
        <f>G622*0.4</f>
        <v>56.576000000000001</v>
      </c>
      <c r="I622" s="8">
        <f>G622*0.15</f>
        <v>21.215999999999998</v>
      </c>
      <c r="J622" s="3">
        <f>G622+H622</f>
        <v>198.01599999999999</v>
      </c>
      <c r="K622" s="3">
        <f>J622*1.13</f>
        <v>223.75807999999998</v>
      </c>
      <c r="L622" s="25">
        <v>16</v>
      </c>
      <c r="Q622" s="3">
        <f>P622-G622</f>
        <v>-141.44</v>
      </c>
      <c r="R622" s="10" t="e">
        <f>Q622/O622</f>
        <v>#DIV/0!</v>
      </c>
      <c r="T622" s="7">
        <f ca="1">IF(S622&lt;&gt;"",S622-B622,TODAY()-B622)</f>
        <v>21</v>
      </c>
    </row>
    <row r="623" spans="1:20">
      <c r="A623">
        <v>689</v>
      </c>
      <c r="B623" s="12">
        <v>45841</v>
      </c>
      <c r="D623" t="s">
        <v>1046</v>
      </c>
      <c r="E623" t="s">
        <v>1047</v>
      </c>
      <c r="F623" t="s">
        <v>226</v>
      </c>
      <c r="G623" s="3">
        <v>109.13</v>
      </c>
      <c r="H623" s="3">
        <f>G623*0.4</f>
        <v>43.652000000000001</v>
      </c>
      <c r="I623" s="8">
        <f>G623*0.15</f>
        <v>16.369499999999999</v>
      </c>
      <c r="J623" s="3">
        <f>G623+H623</f>
        <v>152.78199999999998</v>
      </c>
      <c r="K623" s="3">
        <f>J623*1.13</f>
        <v>172.64365999999995</v>
      </c>
      <c r="L623" s="25">
        <v>0</v>
      </c>
      <c r="O623" s="3">
        <v>199</v>
      </c>
      <c r="P623" s="3">
        <v>176.74</v>
      </c>
      <c r="Q623" s="3">
        <f>P623-G623</f>
        <v>67.610000000000014</v>
      </c>
      <c r="R623" s="10">
        <f>Q623/O623</f>
        <v>0.33974874371859304</v>
      </c>
      <c r="S623" s="13">
        <v>45852</v>
      </c>
      <c r="T623" s="7">
        <f ca="1">IF(S623&lt;&gt;"",S623-B623,TODAY()-B623)</f>
        <v>11</v>
      </c>
    </row>
    <row r="624" spans="1:20" hidden="1">
      <c r="A624">
        <v>690</v>
      </c>
      <c r="B624" s="12">
        <v>45843</v>
      </c>
      <c r="D624" t="s">
        <v>19</v>
      </c>
      <c r="E624" t="s">
        <v>1048</v>
      </c>
      <c r="F624" t="s">
        <v>59</v>
      </c>
      <c r="G624" s="3">
        <v>181.44</v>
      </c>
      <c r="H624" s="3">
        <f>G624*0.4</f>
        <v>72.576000000000008</v>
      </c>
      <c r="I624" s="8">
        <f>G624*0.15</f>
        <v>27.215999999999998</v>
      </c>
      <c r="J624" s="3">
        <f>G624+H624</f>
        <v>254.01600000000002</v>
      </c>
      <c r="K624" s="3">
        <f>J624*1.13</f>
        <v>287.03807999999998</v>
      </c>
      <c r="L624" s="25">
        <v>1</v>
      </c>
      <c r="Q624" s="3">
        <f>P624-G624</f>
        <v>-181.44</v>
      </c>
      <c r="R624" s="10" t="e">
        <f>Q624/O624</f>
        <v>#DIV/0!</v>
      </c>
      <c r="T624" s="7">
        <f ca="1">IF(S624&lt;&gt;"",S624-B624,TODAY()-B624)</f>
        <v>23</v>
      </c>
    </row>
    <row r="625" spans="1:20" hidden="1">
      <c r="A625">
        <v>691</v>
      </c>
      <c r="B625" s="12">
        <v>45843</v>
      </c>
      <c r="D625" t="s">
        <v>1050</v>
      </c>
      <c r="E625" t="s">
        <v>1051</v>
      </c>
      <c r="F625" t="s">
        <v>64</v>
      </c>
      <c r="G625" s="3">
        <v>89.93</v>
      </c>
      <c r="H625" s="3">
        <f>G625*0.4</f>
        <v>35.972000000000001</v>
      </c>
      <c r="I625" s="8">
        <f>G625*0.15</f>
        <v>13.489500000000001</v>
      </c>
      <c r="J625" s="3">
        <f>G625+H625</f>
        <v>125.90200000000002</v>
      </c>
      <c r="K625" s="3">
        <f>J625*1.13</f>
        <v>142.26926</v>
      </c>
      <c r="L625" s="25">
        <v>1</v>
      </c>
      <c r="Q625" s="3">
        <f>P625-G625</f>
        <v>-89.93</v>
      </c>
      <c r="R625" s="10" t="e">
        <f>Q625/O625</f>
        <v>#DIV/0!</v>
      </c>
      <c r="T625" s="7">
        <f ca="1">IF(S625&lt;&gt;"",S625-B625,TODAY()-B625)</f>
        <v>23</v>
      </c>
    </row>
    <row r="626" spans="1:20" hidden="1">
      <c r="A626">
        <v>692</v>
      </c>
      <c r="B626" s="12">
        <v>45843</v>
      </c>
      <c r="D626" t="s">
        <v>1050</v>
      </c>
      <c r="E626" t="s">
        <v>1052</v>
      </c>
      <c r="F626" t="s">
        <v>226</v>
      </c>
      <c r="G626" s="3">
        <v>32.81</v>
      </c>
      <c r="H626" s="3">
        <f>G626*0.4</f>
        <v>13.124000000000002</v>
      </c>
      <c r="I626" s="8">
        <f>G626*0.15</f>
        <v>4.9215</v>
      </c>
      <c r="J626" s="3">
        <f>G626+H626</f>
        <v>45.934000000000005</v>
      </c>
      <c r="K626" s="3">
        <f>J626*1.13</f>
        <v>51.905419999999999</v>
      </c>
      <c r="L626" s="25">
        <v>1</v>
      </c>
      <c r="Q626" s="3">
        <f>P626-G626</f>
        <v>-32.81</v>
      </c>
      <c r="R626" s="10" t="e">
        <f>Q626/O626</f>
        <v>#DIV/0!</v>
      </c>
      <c r="T626" s="7">
        <f ca="1">IF(S626&lt;&gt;"",S626-B626,TODAY()-B626)</f>
        <v>23</v>
      </c>
    </row>
    <row r="627" spans="1:20">
      <c r="A627">
        <v>693</v>
      </c>
      <c r="B627" s="12">
        <v>45843</v>
      </c>
      <c r="D627" t="s">
        <v>1050</v>
      </c>
      <c r="E627" t="s">
        <v>1053</v>
      </c>
      <c r="F627" t="s">
        <v>1054</v>
      </c>
      <c r="G627" s="3">
        <v>43.56</v>
      </c>
      <c r="H627" s="3">
        <f>G627*0.4</f>
        <v>17.424000000000003</v>
      </c>
      <c r="I627" s="8">
        <f>G627*0.15</f>
        <v>6.5339999999999998</v>
      </c>
      <c r="J627" s="3">
        <f>G627+H627</f>
        <v>60.984000000000009</v>
      </c>
      <c r="K627" s="3">
        <f>J627*1.13</f>
        <v>68.911920000000009</v>
      </c>
      <c r="L627" s="25">
        <v>0</v>
      </c>
      <c r="O627" s="3">
        <v>99</v>
      </c>
      <c r="P627" s="3">
        <v>87.45</v>
      </c>
      <c r="Q627" s="3">
        <f>P627-G627</f>
        <v>43.89</v>
      </c>
      <c r="R627" s="10">
        <f>Q627/O627</f>
        <v>0.44333333333333336</v>
      </c>
      <c r="S627" s="13">
        <v>45855</v>
      </c>
      <c r="T627" s="7">
        <f ca="1">IF(S627&lt;&gt;"",S627-B627,TODAY()-B627)</f>
        <v>12</v>
      </c>
    </row>
    <row r="628" spans="1:20">
      <c r="A628">
        <v>694</v>
      </c>
      <c r="B628" s="12">
        <v>45843</v>
      </c>
      <c r="D628" t="s">
        <v>1050</v>
      </c>
      <c r="E628" t="s">
        <v>1055</v>
      </c>
      <c r="F628" t="s">
        <v>1054</v>
      </c>
      <c r="G628" s="3">
        <v>11.98</v>
      </c>
      <c r="H628" s="3">
        <f>G628*0.4</f>
        <v>4.7920000000000007</v>
      </c>
      <c r="I628" s="8">
        <f>G628*0.15</f>
        <v>1.7969999999999999</v>
      </c>
      <c r="J628" s="3">
        <f>G628+H628</f>
        <v>16.772000000000002</v>
      </c>
      <c r="K628" s="3">
        <f>J628*1.13</f>
        <v>18.952359999999999</v>
      </c>
      <c r="L628" s="25">
        <v>0</v>
      </c>
      <c r="O628" s="3">
        <v>21</v>
      </c>
      <c r="P628" s="3">
        <v>18.170000000000002</v>
      </c>
      <c r="Q628" s="3">
        <f>P628-G628</f>
        <v>6.1900000000000013</v>
      </c>
      <c r="R628" s="10">
        <f>Q628/O628</f>
        <v>0.29476190476190484</v>
      </c>
      <c r="S628" s="13">
        <v>45865</v>
      </c>
      <c r="T628" s="7">
        <f ca="1">IF(S628&lt;&gt;"",S628-B628,TODAY()-B628)</f>
        <v>22</v>
      </c>
    </row>
    <row r="629" spans="1:20">
      <c r="A629">
        <v>695</v>
      </c>
      <c r="B629" s="12">
        <v>45843</v>
      </c>
      <c r="D629" t="s">
        <v>1050</v>
      </c>
      <c r="E629" t="s">
        <v>1049</v>
      </c>
      <c r="F629" t="s">
        <v>224</v>
      </c>
      <c r="G629" s="3">
        <v>82.76</v>
      </c>
      <c r="H629" s="3">
        <f>G629*0.4</f>
        <v>33.104000000000006</v>
      </c>
      <c r="I629" s="8">
        <f>G629*0.15</f>
        <v>12.414</v>
      </c>
      <c r="J629" s="3">
        <f>G629+H629</f>
        <v>115.864</v>
      </c>
      <c r="K629" s="3">
        <f>J629*1.13</f>
        <v>130.92632</v>
      </c>
      <c r="L629" s="25">
        <v>0</v>
      </c>
      <c r="O629" s="3">
        <v>149</v>
      </c>
      <c r="P629" s="3">
        <v>131.79</v>
      </c>
      <c r="Q629" s="3">
        <f>P629-G629</f>
        <v>49.029999999999987</v>
      </c>
      <c r="R629" s="10">
        <f>Q629/O629</f>
        <v>0.32906040268456366</v>
      </c>
      <c r="S629" s="13">
        <v>45849</v>
      </c>
      <c r="T629" s="7">
        <f ca="1">IF(S629&lt;&gt;"",S629-B629,TODAY()-B629)</f>
        <v>6</v>
      </c>
    </row>
    <row r="630" spans="1:20" hidden="1">
      <c r="A630">
        <v>696</v>
      </c>
      <c r="B630" s="12">
        <v>45844</v>
      </c>
      <c r="D630" t="s">
        <v>48</v>
      </c>
      <c r="E630" t="s">
        <v>1056</v>
      </c>
      <c r="F630" t="s">
        <v>226</v>
      </c>
      <c r="G630" s="3">
        <v>385.21</v>
      </c>
      <c r="H630" s="3">
        <f>G630*0.4</f>
        <v>154.084</v>
      </c>
      <c r="I630" s="8">
        <f>G630*0.15</f>
        <v>57.781499999999994</v>
      </c>
      <c r="J630" s="3">
        <f>G630+H630</f>
        <v>539.29399999999998</v>
      </c>
      <c r="K630" s="3">
        <f>J630*1.13</f>
        <v>609.40221999999994</v>
      </c>
      <c r="L630" s="25">
        <v>1</v>
      </c>
      <c r="Q630" s="3">
        <f>P630-G630</f>
        <v>-385.21</v>
      </c>
      <c r="R630" s="10" t="e">
        <f>Q630/O630</f>
        <v>#DIV/0!</v>
      </c>
      <c r="T630" s="7">
        <f ca="1">IF(S630&lt;&gt;"",S630-B630,TODAY()-B630)</f>
        <v>22</v>
      </c>
    </row>
    <row r="631" spans="1:20" hidden="1">
      <c r="A631">
        <v>697</v>
      </c>
      <c r="B631" s="12">
        <v>45844</v>
      </c>
      <c r="D631" t="s">
        <v>55</v>
      </c>
      <c r="E631" t="s">
        <v>1057</v>
      </c>
      <c r="F631" t="s">
        <v>309</v>
      </c>
      <c r="G631" s="3">
        <v>309.51</v>
      </c>
      <c r="H631" s="3">
        <f>G631*0.4</f>
        <v>123.804</v>
      </c>
      <c r="I631" s="8">
        <f>G631*0.15</f>
        <v>46.426499999999997</v>
      </c>
      <c r="J631" s="3">
        <f>G631+H631</f>
        <v>433.31399999999996</v>
      </c>
      <c r="K631" s="3">
        <f>J631*1.13</f>
        <v>489.64481999999992</v>
      </c>
      <c r="L631" s="25">
        <v>1</v>
      </c>
      <c r="Q631" s="3">
        <f>P631-G631</f>
        <v>-309.51</v>
      </c>
      <c r="R631" s="10" t="e">
        <f>Q631/O631</f>
        <v>#DIV/0!</v>
      </c>
      <c r="T631" s="7">
        <f ca="1">IF(S631&lt;&gt;"",S631-B631,TODAY()-B631)</f>
        <v>22</v>
      </c>
    </row>
    <row r="632" spans="1:20">
      <c r="A632">
        <v>698</v>
      </c>
      <c r="B632" s="12">
        <v>45845</v>
      </c>
      <c r="D632" t="s">
        <v>1058</v>
      </c>
      <c r="E632" t="s">
        <v>1059</v>
      </c>
      <c r="F632" t="s">
        <v>226</v>
      </c>
      <c r="G632" s="3">
        <v>61.7</v>
      </c>
      <c r="H632" s="3">
        <f>G632*0.4</f>
        <v>24.680000000000003</v>
      </c>
      <c r="I632" s="8">
        <f>G632*0.15</f>
        <v>9.2550000000000008</v>
      </c>
      <c r="J632" s="3">
        <f>G632+H632</f>
        <v>86.38000000000001</v>
      </c>
      <c r="K632" s="3">
        <f>J632*1.13</f>
        <v>97.609400000000008</v>
      </c>
      <c r="L632" s="25">
        <v>0</v>
      </c>
      <c r="O632" s="3">
        <v>43</v>
      </c>
      <c r="P632" s="3">
        <v>37.81</v>
      </c>
      <c r="Q632" s="3">
        <f>P632-G632</f>
        <v>-23.89</v>
      </c>
      <c r="R632" s="10">
        <f>Q632/O632</f>
        <v>-0.55558139534883721</v>
      </c>
      <c r="S632" s="13">
        <v>45848</v>
      </c>
      <c r="T632" s="7">
        <f ca="1">IF(S632&lt;&gt;"",S632-B632,TODAY()-B632)</f>
        <v>3</v>
      </c>
    </row>
    <row r="633" spans="1:20">
      <c r="A633">
        <v>699</v>
      </c>
      <c r="B633" s="12">
        <v>45845</v>
      </c>
      <c r="D633" t="s">
        <v>1058</v>
      </c>
      <c r="E633" t="s">
        <v>1060</v>
      </c>
      <c r="F633" t="s">
        <v>226</v>
      </c>
      <c r="G633" s="3">
        <v>70.31</v>
      </c>
      <c r="H633" s="3">
        <f>G633*0.4</f>
        <v>28.124000000000002</v>
      </c>
      <c r="I633" s="8">
        <f>G633*0.15</f>
        <v>10.5465</v>
      </c>
      <c r="J633" s="3">
        <f>G633+H633</f>
        <v>98.433999999999997</v>
      </c>
      <c r="K633" s="3">
        <f>J633*1.13</f>
        <v>111.23041999999998</v>
      </c>
      <c r="L633" s="25">
        <v>0</v>
      </c>
      <c r="O633" s="3">
        <v>50</v>
      </c>
      <c r="P633" s="3">
        <v>43.88</v>
      </c>
      <c r="Q633" s="3">
        <f>P633-G633</f>
        <v>-26.43</v>
      </c>
      <c r="R633" s="10">
        <f>Q633/O633</f>
        <v>-0.52859999999999996</v>
      </c>
      <c r="S633" s="13">
        <v>45848</v>
      </c>
      <c r="T633" s="7">
        <f ca="1">IF(S633&lt;&gt;"",S633-B633,TODAY()-B633)</f>
        <v>3</v>
      </c>
    </row>
    <row r="634" spans="1:20">
      <c r="A634">
        <v>700</v>
      </c>
      <c r="B634" s="12">
        <v>45845</v>
      </c>
      <c r="D634" t="s">
        <v>1058</v>
      </c>
      <c r="E634" t="s">
        <v>1060</v>
      </c>
      <c r="F634" t="s">
        <v>226</v>
      </c>
      <c r="G634" s="3">
        <v>37.03</v>
      </c>
      <c r="H634" s="3">
        <f>G634*0.4</f>
        <v>14.812000000000001</v>
      </c>
      <c r="I634" s="8">
        <f>G634*0.15</f>
        <v>5.5545</v>
      </c>
      <c r="J634" s="3">
        <f>G634+H634</f>
        <v>51.841999999999999</v>
      </c>
      <c r="K634" s="3">
        <f>J634*1.13</f>
        <v>58.581459999999993</v>
      </c>
      <c r="L634" s="25">
        <v>0</v>
      </c>
      <c r="O634" s="3">
        <v>45</v>
      </c>
      <c r="P634" s="3">
        <v>39.49</v>
      </c>
      <c r="Q634" s="3">
        <f>P634-G634</f>
        <v>2.4600000000000009</v>
      </c>
      <c r="R634" s="10">
        <f>Q634/O634</f>
        <v>5.4666666666666683E-2</v>
      </c>
      <c r="S634" s="13">
        <v>45848</v>
      </c>
      <c r="T634" s="7">
        <f ca="1">IF(S634&lt;&gt;"",S634-B634,TODAY()-B634)</f>
        <v>3</v>
      </c>
    </row>
    <row r="635" spans="1:20" hidden="1">
      <c r="A635">
        <v>701</v>
      </c>
      <c r="B635" s="12">
        <v>45845</v>
      </c>
      <c r="D635" t="s">
        <v>774</v>
      </c>
      <c r="E635" t="s">
        <v>1061</v>
      </c>
      <c r="F635" t="s">
        <v>254</v>
      </c>
      <c r="G635" s="3">
        <v>26.77</v>
      </c>
      <c r="H635" s="3">
        <f>G635*0.4</f>
        <v>10.708</v>
      </c>
      <c r="I635" s="8">
        <f>G635*0.15</f>
        <v>4.0154999999999994</v>
      </c>
      <c r="J635" s="3">
        <f>G635+H635</f>
        <v>37.478000000000002</v>
      </c>
      <c r="K635" s="3">
        <f>J635*1.13</f>
        <v>42.350139999999996</v>
      </c>
      <c r="L635" s="25">
        <v>1</v>
      </c>
      <c r="Q635" s="3">
        <f>P635-G635</f>
        <v>-26.77</v>
      </c>
      <c r="R635" s="10" t="e">
        <f>Q635/O635</f>
        <v>#DIV/0!</v>
      </c>
      <c r="T635" s="7">
        <f ca="1">IF(S635&lt;&gt;"",S635-B635,TODAY()-B635)</f>
        <v>21</v>
      </c>
    </row>
    <row r="636" spans="1:20" hidden="1">
      <c r="A636">
        <v>702</v>
      </c>
      <c r="B636" s="12">
        <v>45847</v>
      </c>
      <c r="D636" t="s">
        <v>48</v>
      </c>
      <c r="E636" t="s">
        <v>1065</v>
      </c>
      <c r="F636" t="s">
        <v>226</v>
      </c>
      <c r="G636" s="3">
        <v>141.12</v>
      </c>
      <c r="H636" s="3">
        <f>G636*0.4</f>
        <v>56.448000000000008</v>
      </c>
      <c r="I636" s="8">
        <f>G636*0.15</f>
        <v>21.167999999999999</v>
      </c>
      <c r="J636" s="3">
        <f>G636+H636</f>
        <v>197.56800000000001</v>
      </c>
      <c r="K636" s="3">
        <f>J636*1.13</f>
        <v>223.25183999999999</v>
      </c>
      <c r="L636" s="25">
        <v>1</v>
      </c>
      <c r="Q636" s="3">
        <f>P636-G636</f>
        <v>-141.12</v>
      </c>
      <c r="R636" s="10" t="e">
        <f>Q636/O636</f>
        <v>#DIV/0!</v>
      </c>
      <c r="T636" s="7">
        <f ca="1">IF(S636&lt;&gt;"",S636-B636,TODAY()-B636)</f>
        <v>19</v>
      </c>
    </row>
    <row r="637" spans="1:20" hidden="1">
      <c r="A637">
        <v>703</v>
      </c>
      <c r="B637" s="12">
        <v>45847</v>
      </c>
      <c r="D637" t="s">
        <v>1066</v>
      </c>
      <c r="E637" t="s">
        <v>1067</v>
      </c>
      <c r="F637" t="s">
        <v>226</v>
      </c>
      <c r="G637" s="3">
        <v>298.62</v>
      </c>
      <c r="H637" s="3">
        <f>G637*0.4</f>
        <v>119.44800000000001</v>
      </c>
      <c r="I637" s="8">
        <f>G637*0.15</f>
        <v>44.792999999999999</v>
      </c>
      <c r="J637" s="3">
        <f>G637+H637</f>
        <v>418.06799999999998</v>
      </c>
      <c r="K637" s="3">
        <f>J637*1.13</f>
        <v>472.41683999999992</v>
      </c>
      <c r="L637" s="25">
        <v>1</v>
      </c>
      <c r="Q637" s="3">
        <f>P637-G637</f>
        <v>-298.62</v>
      </c>
      <c r="R637" s="10" t="e">
        <f>Q637/O637</f>
        <v>#DIV/0!</v>
      </c>
      <c r="T637" s="7">
        <f ca="1">IF(S637&lt;&gt;"",S637-B637,TODAY()-B637)</f>
        <v>19</v>
      </c>
    </row>
    <row r="638" spans="1:20" hidden="1">
      <c r="A638">
        <v>704</v>
      </c>
      <c r="B638" s="12">
        <v>45846</v>
      </c>
      <c r="D638" t="s">
        <v>132</v>
      </c>
      <c r="E638" t="s">
        <v>1078</v>
      </c>
      <c r="F638" t="s">
        <v>309</v>
      </c>
      <c r="G638" s="3">
        <v>212.99</v>
      </c>
      <c r="H638" s="3">
        <f>G638*0.4</f>
        <v>85.196000000000012</v>
      </c>
      <c r="I638" s="8">
        <f>G638*0.15</f>
        <v>31.948499999999999</v>
      </c>
      <c r="J638" s="3">
        <f>G638+H638</f>
        <v>298.18600000000004</v>
      </c>
      <c r="K638" s="3">
        <f>J638*1.13</f>
        <v>336.95017999999999</v>
      </c>
      <c r="L638" s="25">
        <v>1</v>
      </c>
      <c r="Q638" s="3">
        <f>P638-G638</f>
        <v>-212.99</v>
      </c>
      <c r="R638" s="10" t="e">
        <f>Q638/O638</f>
        <v>#DIV/0!</v>
      </c>
      <c r="T638" s="7">
        <f ca="1">IF(S638&lt;&gt;"",S638-B638,TODAY()-B638)</f>
        <v>20</v>
      </c>
    </row>
    <row r="639" spans="1:20">
      <c r="A639">
        <v>705</v>
      </c>
      <c r="B639" s="12">
        <v>45846</v>
      </c>
      <c r="D639" t="s">
        <v>132</v>
      </c>
      <c r="E639" t="s">
        <v>1079</v>
      </c>
      <c r="F639" t="s">
        <v>309</v>
      </c>
      <c r="G639" s="3">
        <v>118.31</v>
      </c>
      <c r="H639" s="3">
        <f>G639*0.4</f>
        <v>47.324000000000005</v>
      </c>
      <c r="I639" s="8">
        <f>G639*0.15</f>
        <v>17.746500000000001</v>
      </c>
      <c r="J639" s="3">
        <f>G639+H639</f>
        <v>165.63400000000001</v>
      </c>
      <c r="K639" s="3">
        <f>J639*1.13</f>
        <v>187.16641999999999</v>
      </c>
      <c r="L639" s="25">
        <v>0</v>
      </c>
      <c r="O639" s="3">
        <v>125</v>
      </c>
      <c r="P639" s="3">
        <v>110.55</v>
      </c>
      <c r="Q639" s="3">
        <f>P639-G639</f>
        <v>-7.7600000000000051</v>
      </c>
      <c r="R639" s="10">
        <f>Q639/O639</f>
        <v>-6.2080000000000038E-2</v>
      </c>
      <c r="S639" s="13">
        <v>45863</v>
      </c>
      <c r="T639" s="7">
        <f ca="1">IF(S639&lt;&gt;"",S639-B639,TODAY()-B639)</f>
        <v>17</v>
      </c>
    </row>
    <row r="640" spans="1:20">
      <c r="A640">
        <v>706</v>
      </c>
      <c r="B640" s="12">
        <v>45847</v>
      </c>
      <c r="D640" t="s">
        <v>1068</v>
      </c>
      <c r="E640" t="s">
        <v>1069</v>
      </c>
      <c r="F640" t="s">
        <v>294</v>
      </c>
      <c r="G640" s="3">
        <v>43.66</v>
      </c>
      <c r="H640" s="3">
        <f>G640*0.4</f>
        <v>17.463999999999999</v>
      </c>
      <c r="I640" s="8">
        <f>G640*0.15</f>
        <v>6.5489999999999995</v>
      </c>
      <c r="J640" s="3">
        <f>G640+H640</f>
        <v>61.123999999999995</v>
      </c>
      <c r="K640" s="3">
        <f>J640*1.13</f>
        <v>69.070119999999989</v>
      </c>
      <c r="L640" s="25">
        <v>0</v>
      </c>
      <c r="O640" s="3">
        <v>0</v>
      </c>
      <c r="P640" s="3">
        <v>0</v>
      </c>
      <c r="Q640" s="3">
        <f>P640-G640</f>
        <v>-43.66</v>
      </c>
      <c r="R640" s="10" t="e">
        <f>Q640/O640</f>
        <v>#DIV/0!</v>
      </c>
      <c r="S640" s="13">
        <v>45847</v>
      </c>
      <c r="T640" s="7">
        <f ca="1">IF(S640&lt;&gt;"",S640-B640,TODAY()-B640)</f>
        <v>0</v>
      </c>
    </row>
    <row r="641" spans="1:20">
      <c r="A641">
        <v>707</v>
      </c>
      <c r="B641" s="12">
        <v>45848</v>
      </c>
      <c r="D641" t="s">
        <v>1068</v>
      </c>
      <c r="E641" t="s">
        <v>1070</v>
      </c>
      <c r="F641" t="s">
        <v>294</v>
      </c>
      <c r="G641" s="3">
        <f>49.8+49.8+49.8+75.94+43.27+45.45</f>
        <v>314.05999999999995</v>
      </c>
      <c r="H641" s="3">
        <f>G641*0.4</f>
        <v>125.62399999999998</v>
      </c>
      <c r="I641" s="8">
        <f>G641*0.15</f>
        <v>47.108999999999988</v>
      </c>
      <c r="J641" s="3">
        <f>G641+H641</f>
        <v>439.68399999999991</v>
      </c>
      <c r="K641" s="3">
        <f>J641*1.13</f>
        <v>496.84291999999988</v>
      </c>
      <c r="L641" s="25">
        <v>0</v>
      </c>
      <c r="O641" s="3">
        <v>0</v>
      </c>
      <c r="P641" s="3">
        <v>0</v>
      </c>
      <c r="Q641" s="3">
        <f>P641-G641</f>
        <v>-314.05999999999995</v>
      </c>
      <c r="R641" s="10" t="e">
        <f>Q641/O641</f>
        <v>#DIV/0!</v>
      </c>
      <c r="S641" s="13">
        <v>45847</v>
      </c>
      <c r="T641" s="7">
        <f ca="1">IF(S641&lt;&gt;"",S641-B641,TODAY()-B641)</f>
        <v>-1</v>
      </c>
    </row>
    <row r="642" spans="1:20" hidden="1">
      <c r="A642">
        <v>708</v>
      </c>
      <c r="B642" s="12">
        <v>45847</v>
      </c>
      <c r="D642" t="s">
        <v>1042</v>
      </c>
      <c r="E642" t="s">
        <v>1071</v>
      </c>
      <c r="F642" t="s">
        <v>294</v>
      </c>
      <c r="G642" s="3">
        <v>544.5</v>
      </c>
      <c r="H642" s="3">
        <f>G642*0.4</f>
        <v>217.8</v>
      </c>
      <c r="I642" s="8">
        <f>G642*0.15</f>
        <v>81.674999999999997</v>
      </c>
      <c r="J642" s="3">
        <f>G642+H642</f>
        <v>762.3</v>
      </c>
      <c r="K642" s="3">
        <f>J642*1.13</f>
        <v>861.39899999999989</v>
      </c>
      <c r="L642" s="25">
        <v>1</v>
      </c>
      <c r="Q642" s="3">
        <f>P642-G642</f>
        <v>-544.5</v>
      </c>
      <c r="R642" s="10" t="e">
        <f>Q642/O642</f>
        <v>#DIV/0!</v>
      </c>
      <c r="T642" s="7">
        <f ca="1">IF(S642&lt;&gt;"",S642-B642,TODAY()-B642)</f>
        <v>19</v>
      </c>
    </row>
    <row r="643" spans="1:20">
      <c r="A643">
        <v>709</v>
      </c>
      <c r="B643" s="12">
        <v>45848</v>
      </c>
      <c r="D643" t="s">
        <v>809</v>
      </c>
      <c r="E643" t="s">
        <v>638</v>
      </c>
      <c r="F643" t="s">
        <v>294</v>
      </c>
      <c r="G643" s="3">
        <v>8</v>
      </c>
      <c r="H643" s="3">
        <f>G643*0.4</f>
        <v>3.2</v>
      </c>
      <c r="I643" s="8">
        <f>G643*0.15</f>
        <v>1.2</v>
      </c>
      <c r="J643" s="3">
        <f>G643+H643</f>
        <v>11.2</v>
      </c>
      <c r="K643" s="3">
        <f>J643*1.13</f>
        <v>12.655999999999999</v>
      </c>
      <c r="L643" s="25">
        <v>0</v>
      </c>
      <c r="O643" s="3">
        <v>24</v>
      </c>
      <c r="P643" s="3">
        <f>12.82+7.48</f>
        <v>20.3</v>
      </c>
      <c r="Q643" s="3">
        <f>P643-G643</f>
        <v>12.3</v>
      </c>
      <c r="R643" s="10">
        <f>Q643/O643</f>
        <v>0.51250000000000007</v>
      </c>
      <c r="S643" s="13">
        <v>45848</v>
      </c>
      <c r="T643" s="7">
        <f ca="1">IF(S643&lt;&gt;"",S643-B643,TODAY()-B643)</f>
        <v>0</v>
      </c>
    </row>
    <row r="644" spans="1:20" hidden="1">
      <c r="A644">
        <v>710</v>
      </c>
      <c r="B644" s="12">
        <v>45808</v>
      </c>
      <c r="D644" t="s">
        <v>1042</v>
      </c>
      <c r="E644" t="s">
        <v>1072</v>
      </c>
      <c r="F644" t="s">
        <v>226</v>
      </c>
      <c r="G644" s="3">
        <v>294.02999999999997</v>
      </c>
      <c r="H644" s="3">
        <f>G644*0.4</f>
        <v>117.61199999999999</v>
      </c>
      <c r="I644" s="8">
        <f>G644*0.15</f>
        <v>44.104499999999994</v>
      </c>
      <c r="J644" s="3">
        <f>G644+H644</f>
        <v>411.64199999999994</v>
      </c>
      <c r="K644" s="3">
        <f>J644*1.13</f>
        <v>465.15545999999989</v>
      </c>
      <c r="L644" s="25">
        <v>1</v>
      </c>
      <c r="Q644" s="3">
        <f>P644-G644</f>
        <v>-294.02999999999997</v>
      </c>
      <c r="R644" s="10" t="e">
        <f>Q644/O644</f>
        <v>#DIV/0!</v>
      </c>
      <c r="T644" s="7">
        <f ca="1">IF(S644&lt;&gt;"",S644-B644,TODAY()-B644)</f>
        <v>58</v>
      </c>
    </row>
    <row r="645" spans="1:20">
      <c r="A645">
        <v>711</v>
      </c>
      <c r="B645" s="12">
        <v>45848</v>
      </c>
      <c r="D645" t="s">
        <v>807</v>
      </c>
      <c r="E645" t="s">
        <v>1073</v>
      </c>
      <c r="F645" t="s">
        <v>254</v>
      </c>
      <c r="G645" s="3">
        <v>60.27</v>
      </c>
      <c r="H645" s="3">
        <f>G645*0.4</f>
        <v>24.108000000000004</v>
      </c>
      <c r="I645" s="8">
        <f>G645*0.15</f>
        <v>9.0404999999999998</v>
      </c>
      <c r="J645" s="3">
        <f>G645+H645</f>
        <v>84.378000000000014</v>
      </c>
      <c r="K645" s="3">
        <f>J645*1.13</f>
        <v>95.34714000000001</v>
      </c>
      <c r="L645" s="25">
        <v>1</v>
      </c>
      <c r="O645" s="3">
        <v>95</v>
      </c>
      <c r="P645" s="3">
        <v>84.38</v>
      </c>
      <c r="Q645" s="3">
        <f>P645-G645</f>
        <v>24.109999999999992</v>
      </c>
      <c r="R645" s="10">
        <f>Q645/O645</f>
        <v>0.25378947368421045</v>
      </c>
      <c r="S645" s="13">
        <v>45864</v>
      </c>
      <c r="T645" s="7">
        <f ca="1">IF(S645&lt;&gt;"",S645-B645,TODAY()-B645)</f>
        <v>16</v>
      </c>
    </row>
    <row r="646" spans="1:20">
      <c r="A646">
        <v>712</v>
      </c>
      <c r="B646" s="12">
        <v>45848</v>
      </c>
      <c r="D646" t="s">
        <v>1008</v>
      </c>
      <c r="E646" t="s">
        <v>1074</v>
      </c>
      <c r="F646" t="s">
        <v>254</v>
      </c>
      <c r="G646" s="3">
        <v>160.30000000000001</v>
      </c>
      <c r="H646" s="3">
        <f>G646*0.4</f>
        <v>64.12</v>
      </c>
      <c r="I646" s="8">
        <f>G646*0.15</f>
        <v>24.045000000000002</v>
      </c>
      <c r="J646" s="3">
        <f>G646+H646</f>
        <v>224.42000000000002</v>
      </c>
      <c r="K646" s="3">
        <f>J646*1.13</f>
        <v>253.59459999999999</v>
      </c>
      <c r="L646" s="25">
        <v>0</v>
      </c>
      <c r="O646" s="3">
        <v>249</v>
      </c>
      <c r="P646" s="3">
        <v>220.63</v>
      </c>
      <c r="Q646" s="3">
        <f>P646-G646</f>
        <v>60.329999999999984</v>
      </c>
      <c r="R646" s="10">
        <f>Q646/O646</f>
        <v>0.24228915662650596</v>
      </c>
      <c r="S646" s="13">
        <v>45848</v>
      </c>
      <c r="T646" s="7">
        <f ca="1">IF(S646&lt;&gt;"",S646-B646,TODAY()-B646)</f>
        <v>0</v>
      </c>
    </row>
    <row r="647" spans="1:20">
      <c r="A647">
        <v>713</v>
      </c>
      <c r="B647" s="12">
        <v>45844</v>
      </c>
      <c r="D647" t="s">
        <v>48</v>
      </c>
      <c r="E647" t="s">
        <v>1075</v>
      </c>
      <c r="F647" t="s">
        <v>294</v>
      </c>
      <c r="G647" s="3">
        <v>168.08</v>
      </c>
      <c r="H647" s="3">
        <f>G647*0.4</f>
        <v>67.232000000000014</v>
      </c>
      <c r="I647" s="8">
        <f>G647*0.15</f>
        <v>25.212</v>
      </c>
      <c r="J647" s="3">
        <f>G647+H647</f>
        <v>235.31200000000001</v>
      </c>
      <c r="K647" s="3">
        <f>J647*1.13</f>
        <v>265.90255999999999</v>
      </c>
      <c r="L647" s="25">
        <v>0</v>
      </c>
      <c r="O647" s="3">
        <v>0</v>
      </c>
      <c r="P647" s="3">
        <v>0</v>
      </c>
      <c r="Q647" s="3">
        <f>P647-G647</f>
        <v>-168.08</v>
      </c>
      <c r="R647" s="10" t="e">
        <f>Q647/O647</f>
        <v>#DIV/0!</v>
      </c>
      <c r="S647" s="13">
        <v>45844</v>
      </c>
      <c r="T647" s="7">
        <f ca="1">IF(S647&lt;&gt;"",S647-B647,TODAY()-B647)</f>
        <v>0</v>
      </c>
    </row>
    <row r="648" spans="1:20" hidden="1">
      <c r="A648">
        <v>714</v>
      </c>
      <c r="B648" s="12">
        <v>45845</v>
      </c>
      <c r="D648" t="s">
        <v>53</v>
      </c>
      <c r="E648" t="s">
        <v>1076</v>
      </c>
      <c r="F648" t="s">
        <v>294</v>
      </c>
      <c r="G648" s="3">
        <v>200.06</v>
      </c>
      <c r="H648" s="3">
        <f>G648*0.4</f>
        <v>80.024000000000001</v>
      </c>
      <c r="I648" s="8">
        <f>G648*0.15</f>
        <v>30.009</v>
      </c>
      <c r="J648" s="3">
        <f>G648+H648</f>
        <v>280.084</v>
      </c>
      <c r="K648" s="3">
        <f>J648*1.13</f>
        <v>316.49491999999998</v>
      </c>
      <c r="L648" s="25">
        <v>1</v>
      </c>
      <c r="Q648" s="3">
        <f>P648-G648</f>
        <v>-200.06</v>
      </c>
      <c r="R648" s="10" t="e">
        <f>Q648/O648</f>
        <v>#DIV/0!</v>
      </c>
      <c r="T648" s="7">
        <f ca="1">IF(S648&lt;&gt;"",S648-B648,TODAY()-B648)</f>
        <v>21</v>
      </c>
    </row>
    <row r="649" spans="1:20" hidden="1">
      <c r="A649">
        <v>715</v>
      </c>
      <c r="B649" s="12">
        <v>45845</v>
      </c>
      <c r="D649" t="s">
        <v>1012</v>
      </c>
      <c r="E649" t="s">
        <v>1077</v>
      </c>
      <c r="F649" t="s">
        <v>309</v>
      </c>
      <c r="G649" s="3">
        <v>577.4</v>
      </c>
      <c r="H649" s="3">
        <f>G649*0.4</f>
        <v>230.96</v>
      </c>
      <c r="I649" s="8">
        <f>G649*0.15</f>
        <v>86.61</v>
      </c>
      <c r="J649" s="3">
        <f>G649+H649</f>
        <v>808.36</v>
      </c>
      <c r="K649" s="3">
        <f>J649*1.13</f>
        <v>913.44679999999994</v>
      </c>
      <c r="L649" s="25">
        <v>1</v>
      </c>
      <c r="Q649" s="3">
        <f>P649-G649</f>
        <v>-577.4</v>
      </c>
      <c r="R649" s="10" t="e">
        <f>Q649/O649</f>
        <v>#DIV/0!</v>
      </c>
      <c r="T649" s="7">
        <f ca="1">IF(S649&lt;&gt;"",S649-B649,TODAY()-B649)</f>
        <v>21</v>
      </c>
    </row>
    <row r="650" spans="1:20" hidden="1">
      <c r="A650">
        <v>716</v>
      </c>
      <c r="B650" s="12">
        <v>45848</v>
      </c>
      <c r="D650" t="s">
        <v>1080</v>
      </c>
      <c r="E650" t="s">
        <v>1081</v>
      </c>
      <c r="F650" t="s">
        <v>226</v>
      </c>
      <c r="G650" s="3">
        <v>12.21</v>
      </c>
      <c r="H650" s="3">
        <f>G650*0.4</f>
        <v>4.8840000000000003</v>
      </c>
      <c r="I650" s="8">
        <f>G650*0.15</f>
        <v>1.8315000000000001</v>
      </c>
      <c r="J650" s="3">
        <f>G650+H650</f>
        <v>17.094000000000001</v>
      </c>
      <c r="K650" s="3">
        <f>J650*1.13</f>
        <v>19.316220000000001</v>
      </c>
      <c r="L650" s="25">
        <v>1</v>
      </c>
      <c r="Q650" s="3">
        <f>P650-G650</f>
        <v>-12.21</v>
      </c>
      <c r="R650" s="10" t="e">
        <f>Q650/O650</f>
        <v>#DIV/0!</v>
      </c>
      <c r="T650" s="7">
        <f ca="1">IF(S650&lt;&gt;"",S650-B650,TODAY()-B650)</f>
        <v>18</v>
      </c>
    </row>
    <row r="651" spans="1:20" hidden="1">
      <c r="A651">
        <v>717</v>
      </c>
      <c r="B651" s="12">
        <v>45848</v>
      </c>
      <c r="D651" t="s">
        <v>1082</v>
      </c>
      <c r="E651" t="s">
        <v>1083</v>
      </c>
      <c r="F651" t="s">
        <v>46</v>
      </c>
      <c r="G651" s="3">
        <v>54.28</v>
      </c>
      <c r="H651" s="3">
        <f>G651*0.4</f>
        <v>21.712000000000003</v>
      </c>
      <c r="I651" s="8">
        <f>G651*0.15</f>
        <v>8.1419999999999995</v>
      </c>
      <c r="J651" s="3">
        <f>G651+H651</f>
        <v>75.992000000000004</v>
      </c>
      <c r="K651" s="3">
        <f>J651*1.13</f>
        <v>85.870959999999997</v>
      </c>
      <c r="L651" s="25">
        <v>1</v>
      </c>
      <c r="Q651" s="3">
        <f>P651-G651</f>
        <v>-54.28</v>
      </c>
      <c r="R651" s="10" t="e">
        <f>Q651/O651</f>
        <v>#DIV/0!</v>
      </c>
      <c r="T651" s="7">
        <f ca="1">IF(S651&lt;&gt;"",S651-B651,TODAY()-B651)</f>
        <v>18</v>
      </c>
    </row>
    <row r="652" spans="1:20" hidden="1">
      <c r="A652">
        <v>718</v>
      </c>
      <c r="B652" s="12">
        <v>45848</v>
      </c>
      <c r="D652" t="s">
        <v>1082</v>
      </c>
      <c r="E652" t="s">
        <v>1084</v>
      </c>
      <c r="F652" t="s">
        <v>46</v>
      </c>
      <c r="G652" s="3">
        <v>49.82</v>
      </c>
      <c r="H652" s="3">
        <f>G652*0.4</f>
        <v>19.928000000000001</v>
      </c>
      <c r="I652" s="8">
        <f>G652*0.15</f>
        <v>7.4729999999999999</v>
      </c>
      <c r="J652" s="3">
        <f>G652+H652</f>
        <v>69.748000000000005</v>
      </c>
      <c r="K652" s="3">
        <f>J652*1.13</f>
        <v>78.815240000000003</v>
      </c>
      <c r="L652" s="25">
        <v>1</v>
      </c>
      <c r="Q652" s="3">
        <f>P652-G652</f>
        <v>-49.82</v>
      </c>
      <c r="R652" s="10" t="e">
        <f>Q652/O652</f>
        <v>#DIV/0!</v>
      </c>
      <c r="T652" s="7">
        <f ca="1">IF(S652&lt;&gt;"",S652-B652,TODAY()-B652)</f>
        <v>18</v>
      </c>
    </row>
    <row r="653" spans="1:20">
      <c r="A653">
        <v>719</v>
      </c>
      <c r="B653" s="12">
        <v>45848</v>
      </c>
      <c r="D653" t="s">
        <v>1085</v>
      </c>
      <c r="E653" t="s">
        <v>1069</v>
      </c>
      <c r="F653" t="s">
        <v>294</v>
      </c>
      <c r="G653" s="3">
        <v>59.61</v>
      </c>
      <c r="H653" s="3">
        <f>G653*0.4</f>
        <v>23.844000000000001</v>
      </c>
      <c r="I653" s="8">
        <f>G653*0.15</f>
        <v>8.9414999999999996</v>
      </c>
      <c r="J653" s="3">
        <f>G653+H653</f>
        <v>83.454000000000008</v>
      </c>
      <c r="K653" s="3">
        <f>J653*1.13</f>
        <v>94.303020000000004</v>
      </c>
      <c r="L653" s="25">
        <v>0</v>
      </c>
      <c r="O653" s="3">
        <v>0</v>
      </c>
      <c r="P653" s="3">
        <v>0</v>
      </c>
      <c r="Q653" s="3">
        <f>P653-G653</f>
        <v>-59.61</v>
      </c>
      <c r="R653" s="10" t="e">
        <f>Q653/O653</f>
        <v>#DIV/0!</v>
      </c>
      <c r="S653" s="13">
        <v>45848</v>
      </c>
      <c r="T653" s="7">
        <f ca="1">IF(S653&lt;&gt;"",S653-B653,TODAY()-B653)</f>
        <v>0</v>
      </c>
    </row>
    <row r="654" spans="1:20">
      <c r="A654">
        <v>720</v>
      </c>
      <c r="B654" s="12">
        <v>45848</v>
      </c>
      <c r="D654" t="s">
        <v>809</v>
      </c>
      <c r="E654" t="s">
        <v>821</v>
      </c>
      <c r="F654" t="s">
        <v>294</v>
      </c>
      <c r="G654" s="3">
        <v>118.95</v>
      </c>
      <c r="H654" s="3">
        <f>G654*0.4</f>
        <v>47.580000000000005</v>
      </c>
      <c r="I654" s="8">
        <f>G654*0.15</f>
        <v>17.842500000000001</v>
      </c>
      <c r="J654" s="3">
        <f>G654+H654</f>
        <v>166.53</v>
      </c>
      <c r="K654" s="3">
        <f>J654*1.13</f>
        <v>188.17889999999997</v>
      </c>
      <c r="L654" s="25">
        <v>0</v>
      </c>
      <c r="O654" s="3">
        <v>0</v>
      </c>
      <c r="P654" s="3">
        <v>0</v>
      </c>
      <c r="Q654" s="3">
        <f>P654-G654</f>
        <v>-118.95</v>
      </c>
      <c r="R654" s="10" t="e">
        <f>Q654/O654</f>
        <v>#DIV/0!</v>
      </c>
      <c r="S654" s="13">
        <v>45848</v>
      </c>
      <c r="T654" s="7">
        <f ca="1">IF(S654&lt;&gt;"",S654-B654,TODAY()-B654)</f>
        <v>0</v>
      </c>
    </row>
    <row r="655" spans="1:20">
      <c r="A655">
        <v>721</v>
      </c>
      <c r="B655" s="12">
        <v>45848</v>
      </c>
      <c r="D655" t="s">
        <v>809</v>
      </c>
      <c r="E655" t="s">
        <v>1086</v>
      </c>
      <c r="G655" s="3">
        <v>0.01</v>
      </c>
      <c r="H655" s="3">
        <f>G655*0.4</f>
        <v>4.0000000000000001E-3</v>
      </c>
      <c r="I655" s="8">
        <f>G655*0.15</f>
        <v>1.5E-3</v>
      </c>
      <c r="J655" s="3">
        <f>G655+H655</f>
        <v>1.4E-2</v>
      </c>
      <c r="K655" s="3">
        <f>J655*1.13</f>
        <v>1.5819999999999997E-2</v>
      </c>
      <c r="L655" s="25">
        <v>0</v>
      </c>
      <c r="O655" s="3">
        <v>8</v>
      </c>
      <c r="P655" s="3">
        <v>6.79</v>
      </c>
      <c r="Q655" s="3">
        <f>P655-G655</f>
        <v>6.78</v>
      </c>
      <c r="R655" s="10">
        <f>Q655/O655</f>
        <v>0.84750000000000003</v>
      </c>
      <c r="S655" s="13">
        <v>45849</v>
      </c>
      <c r="T655" s="7">
        <f ca="1">IF(S655&lt;&gt;"",S655-B655,TODAY()-B655)</f>
        <v>1</v>
      </c>
    </row>
    <row r="656" spans="1:20">
      <c r="A656">
        <v>722</v>
      </c>
      <c r="B656" s="12">
        <v>45849</v>
      </c>
      <c r="D656" t="s">
        <v>809</v>
      </c>
      <c r="E656" t="s">
        <v>1087</v>
      </c>
      <c r="F656" t="s">
        <v>294</v>
      </c>
      <c r="G656" s="3">
        <f>8*8.75</f>
        <v>70</v>
      </c>
      <c r="H656" s="3">
        <f>G656*0.4</f>
        <v>28</v>
      </c>
      <c r="I656" s="8">
        <f>G656*0.15</f>
        <v>10.5</v>
      </c>
      <c r="J656" s="3">
        <f>G656+H656</f>
        <v>98</v>
      </c>
      <c r="K656" s="3">
        <f>J656*1.13</f>
        <v>110.74</v>
      </c>
      <c r="L656" s="25">
        <v>0</v>
      </c>
      <c r="O656" s="3">
        <f>14+1+14+15+15+23+25+31</f>
        <v>138</v>
      </c>
      <c r="P656" s="3">
        <f>11.93+0.59+11.93+12.84+12.97+19.9+21.73+27.05</f>
        <v>118.94</v>
      </c>
      <c r="Q656" s="3">
        <f>P656-G656</f>
        <v>48.94</v>
      </c>
      <c r="R656" s="10">
        <f>Q656/O656</f>
        <v>0.35463768115942029</v>
      </c>
      <c r="S656" s="13">
        <v>45849</v>
      </c>
      <c r="T656" s="7">
        <f ca="1">IF(S656&lt;&gt;"",S656-B656,TODAY()-B656)</f>
        <v>0</v>
      </c>
    </row>
    <row r="657" spans="1:20">
      <c r="A657">
        <v>723</v>
      </c>
      <c r="B657" s="12">
        <v>45849</v>
      </c>
      <c r="D657" t="s">
        <v>809</v>
      </c>
      <c r="E657" t="s">
        <v>821</v>
      </c>
      <c r="F657" t="s">
        <v>294</v>
      </c>
      <c r="G657" s="3">
        <v>120.53</v>
      </c>
      <c r="H657" s="3">
        <f>G657*0.4</f>
        <v>48.212000000000003</v>
      </c>
      <c r="I657" s="8">
        <f>G657*0.15</f>
        <v>18.079499999999999</v>
      </c>
      <c r="J657" s="3">
        <f>G657+H657</f>
        <v>168.74200000000002</v>
      </c>
      <c r="K657" s="3">
        <f>J657*1.13</f>
        <v>190.67846</v>
      </c>
      <c r="L657" s="25">
        <v>0</v>
      </c>
      <c r="O657" s="3">
        <v>0</v>
      </c>
      <c r="P657" s="3">
        <v>0</v>
      </c>
      <c r="Q657" s="3">
        <f>P657-G657</f>
        <v>-120.53</v>
      </c>
      <c r="R657" s="10" t="e">
        <f>Q657/O657</f>
        <v>#DIV/0!</v>
      </c>
      <c r="S657" s="13">
        <v>45849</v>
      </c>
      <c r="T657" s="7">
        <f ca="1">IF(S657&lt;&gt;"",S657-B657,TODAY()-B657)</f>
        <v>0</v>
      </c>
    </row>
    <row r="658" spans="1:20">
      <c r="A658">
        <v>724</v>
      </c>
      <c r="B658" s="12">
        <v>45849</v>
      </c>
      <c r="D658" t="s">
        <v>809</v>
      </c>
      <c r="E658" t="s">
        <v>957</v>
      </c>
      <c r="F658" t="s">
        <v>294</v>
      </c>
      <c r="G658" s="3">
        <f>(31*0.4)+24.43</f>
        <v>36.83</v>
      </c>
      <c r="H658" s="3">
        <f>G658*0.4</f>
        <v>14.731999999999999</v>
      </c>
      <c r="I658" s="8">
        <f>G658*0.15</f>
        <v>5.5244999999999997</v>
      </c>
      <c r="J658" s="3">
        <f>G658+H658</f>
        <v>51.561999999999998</v>
      </c>
      <c r="K658" s="3">
        <f>J658*1.13</f>
        <v>58.265059999999991</v>
      </c>
      <c r="L658" s="25">
        <v>0</v>
      </c>
      <c r="O658" s="3">
        <v>0</v>
      </c>
      <c r="P658" s="3">
        <v>0</v>
      </c>
      <c r="Q658" s="3">
        <f>P658-G658</f>
        <v>-36.83</v>
      </c>
      <c r="R658" s="10" t="e">
        <f>Q658/O658</f>
        <v>#DIV/0!</v>
      </c>
      <c r="S658" s="13">
        <v>45849</v>
      </c>
      <c r="T658" s="7">
        <f ca="1">IF(S658&lt;&gt;"",S658-B658,TODAY()-B658)</f>
        <v>0</v>
      </c>
    </row>
    <row r="659" spans="1:20">
      <c r="A659">
        <v>725</v>
      </c>
      <c r="B659" s="12">
        <v>45848</v>
      </c>
      <c r="D659" t="s">
        <v>809</v>
      </c>
      <c r="E659" t="s">
        <v>957</v>
      </c>
      <c r="F659" t="s">
        <v>294</v>
      </c>
      <c r="G659" s="3">
        <v>181</v>
      </c>
      <c r="H659" s="3">
        <f>G659*0.4</f>
        <v>72.400000000000006</v>
      </c>
      <c r="I659" s="8">
        <f>G659*0.15</f>
        <v>27.15</v>
      </c>
      <c r="J659" s="3">
        <f>G659+H659</f>
        <v>253.4</v>
      </c>
      <c r="K659" s="3">
        <f>J659*1.13</f>
        <v>286.34199999999998</v>
      </c>
      <c r="L659" s="25">
        <v>0</v>
      </c>
      <c r="O659" s="3">
        <v>0</v>
      </c>
      <c r="P659" s="3">
        <v>0</v>
      </c>
      <c r="Q659" s="3">
        <f>P659-G659</f>
        <v>-181</v>
      </c>
      <c r="R659" s="10" t="e">
        <f>Q659/O659</f>
        <v>#DIV/0!</v>
      </c>
      <c r="S659" s="13">
        <v>45848</v>
      </c>
      <c r="T659" s="7">
        <f ca="1">IF(S659&lt;&gt;"",S659-B659,TODAY()-B659)</f>
        <v>0</v>
      </c>
    </row>
    <row r="660" spans="1:20">
      <c r="A660">
        <v>726</v>
      </c>
      <c r="B660" s="12">
        <v>45851</v>
      </c>
      <c r="D660" t="s">
        <v>809</v>
      </c>
      <c r="E660" t="s">
        <v>1087</v>
      </c>
      <c r="F660" t="s">
        <v>294</v>
      </c>
      <c r="G660" s="3">
        <f>8.75*2</f>
        <v>17.5</v>
      </c>
      <c r="H660" s="3">
        <f>G660*0.4</f>
        <v>7</v>
      </c>
      <c r="I660" s="8">
        <f>G660*0.15</f>
        <v>2.625</v>
      </c>
      <c r="J660" s="3">
        <f>G660+H660</f>
        <v>24.5</v>
      </c>
      <c r="K660" s="3">
        <f>J660*1.13</f>
        <v>27.684999999999999</v>
      </c>
      <c r="L660" s="25">
        <v>0</v>
      </c>
      <c r="O660" s="3">
        <f>34+19</f>
        <v>53</v>
      </c>
      <c r="P660" s="3">
        <f>16.34+29.78</f>
        <v>46.120000000000005</v>
      </c>
      <c r="Q660" s="3">
        <f>P660-G660</f>
        <v>28.620000000000005</v>
      </c>
      <c r="R660" s="10">
        <f>Q660/O660</f>
        <v>0.54</v>
      </c>
      <c r="S660" s="13">
        <v>45851</v>
      </c>
      <c r="T660" s="7">
        <f ca="1">IF(S660&lt;&gt;"",S660-B660,TODAY()-B660)</f>
        <v>0</v>
      </c>
    </row>
    <row r="661" spans="1:20">
      <c r="A661">
        <v>727</v>
      </c>
      <c r="B661" s="12">
        <v>45851</v>
      </c>
      <c r="D661" t="s">
        <v>809</v>
      </c>
      <c r="E661" t="s">
        <v>968</v>
      </c>
      <c r="F661" t="s">
        <v>294</v>
      </c>
      <c r="G661" s="3">
        <v>0.01</v>
      </c>
      <c r="H661" s="3">
        <f>G661*0.4</f>
        <v>4.0000000000000001E-3</v>
      </c>
      <c r="I661" s="8">
        <f>G661*0.15</f>
        <v>1.5E-3</v>
      </c>
      <c r="J661" s="3">
        <f>G661+H661</f>
        <v>1.4E-2</v>
      </c>
      <c r="K661" s="3">
        <f>J661*1.13</f>
        <v>1.5819999999999997E-2</v>
      </c>
      <c r="L661" s="25">
        <v>0</v>
      </c>
      <c r="O661" s="3">
        <v>32</v>
      </c>
      <c r="P661" s="3">
        <v>32</v>
      </c>
      <c r="Q661" s="3">
        <f>P661-G661</f>
        <v>31.99</v>
      </c>
      <c r="R661" s="10">
        <f>Q661/O661</f>
        <v>0.99968749999999995</v>
      </c>
      <c r="S661" s="13">
        <v>45851</v>
      </c>
      <c r="T661" s="7">
        <f ca="1">IF(S661&lt;&gt;"",S661-B661,TODAY()-B661)</f>
        <v>0</v>
      </c>
    </row>
    <row r="662" spans="1:20">
      <c r="A662">
        <v>728</v>
      </c>
      <c r="B662" s="12">
        <v>45851</v>
      </c>
      <c r="D662" t="s">
        <v>809</v>
      </c>
      <c r="E662" t="s">
        <v>957</v>
      </c>
      <c r="F662" t="s">
        <v>294</v>
      </c>
      <c r="G662" s="3">
        <f>31.38+(31*0.4)</f>
        <v>43.78</v>
      </c>
      <c r="H662" s="3">
        <f>G662*0.4</f>
        <v>17.512</v>
      </c>
      <c r="I662" s="8">
        <f>G662*0.15</f>
        <v>6.5670000000000002</v>
      </c>
      <c r="J662" s="3">
        <f>G662+H662</f>
        <v>61.292000000000002</v>
      </c>
      <c r="K662" s="3">
        <f>J662*1.13</f>
        <v>69.259959999999992</v>
      </c>
      <c r="L662" s="25">
        <v>0</v>
      </c>
      <c r="O662" s="3">
        <v>0</v>
      </c>
      <c r="P662" s="3">
        <v>0</v>
      </c>
      <c r="Q662" s="3">
        <f>P662-G662</f>
        <v>-43.78</v>
      </c>
      <c r="R662" s="10" t="e">
        <f>Q662/O662</f>
        <v>#DIV/0!</v>
      </c>
      <c r="S662" s="13">
        <v>45851</v>
      </c>
      <c r="T662" s="7">
        <f ca="1">IF(S662&lt;&gt;"",S662-B662,TODAY()-B662)</f>
        <v>0</v>
      </c>
    </row>
    <row r="663" spans="1:20">
      <c r="A663">
        <v>729</v>
      </c>
      <c r="B663" s="12">
        <v>45851</v>
      </c>
      <c r="D663" t="s">
        <v>809</v>
      </c>
      <c r="E663" t="s">
        <v>821</v>
      </c>
      <c r="F663" t="s">
        <v>294</v>
      </c>
      <c r="G663" s="3">
        <v>116.98</v>
      </c>
      <c r="H663" s="3">
        <f>G663*0.4</f>
        <v>46.792000000000002</v>
      </c>
      <c r="I663" s="8">
        <f>G663*0.15</f>
        <v>17.547000000000001</v>
      </c>
      <c r="J663" s="3">
        <f>G663+H663</f>
        <v>163.77199999999999</v>
      </c>
      <c r="K663" s="3">
        <f>J663*1.13</f>
        <v>185.06235999999998</v>
      </c>
      <c r="L663" s="25">
        <v>0</v>
      </c>
      <c r="O663" s="3">
        <v>0</v>
      </c>
      <c r="P663" s="3">
        <v>0</v>
      </c>
      <c r="Q663" s="3">
        <f>P663-G663</f>
        <v>-116.98</v>
      </c>
      <c r="R663" s="10" t="e">
        <f>Q663/O663</f>
        <v>#DIV/0!</v>
      </c>
      <c r="S663" s="13">
        <v>45851</v>
      </c>
      <c r="T663" s="7">
        <f ca="1">IF(S663&lt;&gt;"",S663-B663,TODAY()-B663)</f>
        <v>0</v>
      </c>
    </row>
    <row r="664" spans="1:20">
      <c r="A664">
        <v>730</v>
      </c>
      <c r="B664" s="12">
        <v>45852</v>
      </c>
      <c r="D664" t="s">
        <v>809</v>
      </c>
      <c r="E664" t="s">
        <v>1087</v>
      </c>
      <c r="F664" t="s">
        <v>294</v>
      </c>
      <c r="G664" s="3">
        <f>2*8.75</f>
        <v>17.5</v>
      </c>
      <c r="H664" s="3">
        <f>G664*0.4</f>
        <v>7</v>
      </c>
      <c r="I664" s="8">
        <f>G664*0.15</f>
        <v>2.625</v>
      </c>
      <c r="J664" s="3">
        <f>G664+H664</f>
        <v>24.5</v>
      </c>
      <c r="K664" s="3">
        <f>J664*1.13</f>
        <v>27.684999999999999</v>
      </c>
      <c r="L664" s="25">
        <v>0</v>
      </c>
      <c r="O664" s="3">
        <v>19</v>
      </c>
      <c r="P664" s="3">
        <v>16.29</v>
      </c>
      <c r="Q664" s="3">
        <f>P664-G664</f>
        <v>-1.2100000000000009</v>
      </c>
      <c r="R664" s="10">
        <f>Q664/O664</f>
        <v>-6.3684210526315829E-2</v>
      </c>
      <c r="S664" s="13">
        <v>45852</v>
      </c>
      <c r="T664" s="7">
        <f ca="1">IF(S664&lt;&gt;"",S664-B664,TODAY()-B664)</f>
        <v>0</v>
      </c>
    </row>
    <row r="665" spans="1:20">
      <c r="A665">
        <v>731</v>
      </c>
      <c r="B665" s="12">
        <v>45852</v>
      </c>
      <c r="D665" t="s">
        <v>809</v>
      </c>
      <c r="E665" t="s">
        <v>1088</v>
      </c>
      <c r="F665" t="s">
        <v>294</v>
      </c>
      <c r="G665" s="3">
        <v>16.04</v>
      </c>
      <c r="H665" s="3">
        <f>G665*0.4</f>
        <v>6.4160000000000004</v>
      </c>
      <c r="I665" s="8">
        <f>G665*0.15</f>
        <v>2.4059999999999997</v>
      </c>
      <c r="J665" s="3">
        <f>G665+H665</f>
        <v>22.456</v>
      </c>
      <c r="K665" s="3">
        <f>J665*1.13</f>
        <v>25.375279999999997</v>
      </c>
      <c r="L665" s="25">
        <v>0</v>
      </c>
      <c r="O665" s="3">
        <v>20</v>
      </c>
      <c r="P665" s="3">
        <v>17.39</v>
      </c>
      <c r="Q665" s="3">
        <f>P665-G665</f>
        <v>1.3500000000000014</v>
      </c>
      <c r="R665" s="10">
        <f>Q665/O665</f>
        <v>6.7500000000000074E-2</v>
      </c>
      <c r="S665" s="13">
        <v>45852</v>
      </c>
      <c r="T665" s="7">
        <f ca="1">IF(S665&lt;&gt;"",S665-B665,TODAY()-B665)</f>
        <v>0</v>
      </c>
    </row>
    <row r="666" spans="1:20">
      <c r="A666">
        <v>732</v>
      </c>
      <c r="B666" s="12">
        <v>45852</v>
      </c>
      <c r="D666" t="s">
        <v>809</v>
      </c>
      <c r="E666" t="s">
        <v>957</v>
      </c>
      <c r="F666" t="s">
        <v>294</v>
      </c>
      <c r="G666" s="3">
        <v>28.8</v>
      </c>
      <c r="H666" s="3">
        <f>G666*0.4</f>
        <v>11.520000000000001</v>
      </c>
      <c r="I666" s="8">
        <f>G666*0.15</f>
        <v>4.32</v>
      </c>
      <c r="J666" s="3">
        <f>G666+H666</f>
        <v>40.32</v>
      </c>
      <c r="K666" s="3">
        <f>J666*1.13</f>
        <v>45.561599999999999</v>
      </c>
      <c r="L666" s="25">
        <v>0</v>
      </c>
      <c r="O666" s="3">
        <v>0</v>
      </c>
      <c r="P666" s="3">
        <v>0</v>
      </c>
      <c r="Q666" s="3">
        <f>P666-G666</f>
        <v>-28.8</v>
      </c>
      <c r="R666" s="10" t="e">
        <f>Q666/O666</f>
        <v>#DIV/0!</v>
      </c>
      <c r="S666" s="13">
        <v>45852</v>
      </c>
      <c r="T666" s="7">
        <f ca="1">IF(S666&lt;&gt;"",S666-B666,TODAY()-B666)</f>
        <v>0</v>
      </c>
    </row>
    <row r="667" spans="1:20">
      <c r="A667">
        <v>733</v>
      </c>
      <c r="B667" s="12">
        <v>45852</v>
      </c>
      <c r="D667" t="s">
        <v>809</v>
      </c>
      <c r="E667" t="s">
        <v>1089</v>
      </c>
      <c r="F667" t="s">
        <v>294</v>
      </c>
      <c r="G667" s="3">
        <v>83.45</v>
      </c>
      <c r="H667" s="3">
        <f>G667*0.4</f>
        <v>33.380000000000003</v>
      </c>
      <c r="I667" s="8">
        <f>G667*0.15</f>
        <v>12.5175</v>
      </c>
      <c r="J667" s="3">
        <f>G667+H667</f>
        <v>116.83000000000001</v>
      </c>
      <c r="K667" s="3">
        <f>J667*1.13</f>
        <v>132.0179</v>
      </c>
      <c r="L667" s="25">
        <v>0</v>
      </c>
      <c r="O667" s="3">
        <v>0</v>
      </c>
      <c r="P667" s="3">
        <v>0</v>
      </c>
      <c r="Q667" s="3">
        <f>P667-G667</f>
        <v>-83.45</v>
      </c>
      <c r="R667" s="10" t="e">
        <f>Q667/O667</f>
        <v>#DIV/0!</v>
      </c>
      <c r="S667" s="13">
        <v>45852</v>
      </c>
      <c r="T667" s="7">
        <f ca="1">IF(S667&lt;&gt;"",S667-B667,TODAY()-B667)</f>
        <v>0</v>
      </c>
    </row>
    <row r="668" spans="1:20" hidden="1">
      <c r="A668">
        <v>734</v>
      </c>
      <c r="B668" s="12">
        <v>45848</v>
      </c>
      <c r="D668" t="s">
        <v>1094</v>
      </c>
      <c r="E668" t="s">
        <v>1090</v>
      </c>
      <c r="F668" t="s">
        <v>224</v>
      </c>
      <c r="G668" s="3">
        <v>140</v>
      </c>
      <c r="H668" s="3">
        <f>G668*0.4</f>
        <v>56</v>
      </c>
      <c r="I668" s="8">
        <f>G668*0.15</f>
        <v>21</v>
      </c>
      <c r="J668" s="3">
        <f>G668+H668</f>
        <v>196</v>
      </c>
      <c r="K668" s="3">
        <f>J668*1.13</f>
        <v>221.48</v>
      </c>
      <c r="L668" s="25">
        <v>1</v>
      </c>
      <c r="Q668" s="3">
        <f>P668-G668</f>
        <v>-140</v>
      </c>
      <c r="R668" s="10" t="e">
        <f>Q668/O668</f>
        <v>#DIV/0!</v>
      </c>
      <c r="T668" s="7">
        <f ca="1">IF(S668&lt;&gt;"",S668-B668,TODAY()-B668)</f>
        <v>18</v>
      </c>
    </row>
    <row r="669" spans="1:20" hidden="1">
      <c r="A669">
        <v>735</v>
      </c>
      <c r="B669" s="12">
        <v>45848</v>
      </c>
      <c r="D669" t="s">
        <v>1094</v>
      </c>
      <c r="E669" t="s">
        <v>1091</v>
      </c>
      <c r="F669" t="s">
        <v>309</v>
      </c>
      <c r="G669" s="3">
        <v>22.49</v>
      </c>
      <c r="H669" s="3">
        <f>G669*0.4</f>
        <v>8.9960000000000004</v>
      </c>
      <c r="I669" s="8">
        <f>G669*0.15</f>
        <v>3.3734999999999995</v>
      </c>
      <c r="J669" s="3">
        <f>G669+H669</f>
        <v>31.485999999999997</v>
      </c>
      <c r="K669" s="3">
        <f>J669*1.13</f>
        <v>35.579179999999994</v>
      </c>
      <c r="L669" s="25">
        <v>1</v>
      </c>
      <c r="Q669" s="3">
        <f>P669-G669</f>
        <v>-22.49</v>
      </c>
      <c r="R669" s="10" t="e">
        <f>Q669/O669</f>
        <v>#DIV/0!</v>
      </c>
      <c r="T669" s="7">
        <f ca="1">IF(S669&lt;&gt;"",S669-B669,TODAY()-B669)</f>
        <v>18</v>
      </c>
    </row>
    <row r="670" spans="1:20" hidden="1">
      <c r="A670">
        <v>736</v>
      </c>
      <c r="B670" s="12">
        <v>45848</v>
      </c>
      <c r="D670" t="s">
        <v>1094</v>
      </c>
      <c r="E670" t="s">
        <v>1092</v>
      </c>
      <c r="F670" t="s">
        <v>443</v>
      </c>
      <c r="G670" s="3">
        <v>120</v>
      </c>
      <c r="H670" s="3">
        <f>G670*0.4</f>
        <v>48</v>
      </c>
      <c r="I670" s="8">
        <f>G670*0.15</f>
        <v>18</v>
      </c>
      <c r="J670" s="3">
        <f>G670+H670</f>
        <v>168</v>
      </c>
      <c r="K670" s="3">
        <f>J670*1.13</f>
        <v>189.83999999999997</v>
      </c>
      <c r="L670" s="25">
        <v>1</v>
      </c>
      <c r="Q670" s="3">
        <f>P670-G670</f>
        <v>-120</v>
      </c>
      <c r="R670" s="10" t="e">
        <f>Q670/O670</f>
        <v>#DIV/0!</v>
      </c>
      <c r="T670" s="7">
        <f ca="1">IF(S670&lt;&gt;"",S670-B670,TODAY()-B670)</f>
        <v>18</v>
      </c>
    </row>
    <row r="671" spans="1:20" hidden="1">
      <c r="A671">
        <v>737</v>
      </c>
      <c r="B671" s="12">
        <v>45848</v>
      </c>
      <c r="D671" t="s">
        <v>1094</v>
      </c>
      <c r="E671" t="s">
        <v>1093</v>
      </c>
      <c r="F671" t="s">
        <v>739</v>
      </c>
      <c r="G671" s="3">
        <v>16.920000000000002</v>
      </c>
      <c r="H671" s="3">
        <f>G671*0.4</f>
        <v>6.7680000000000007</v>
      </c>
      <c r="I671" s="8">
        <f>G671*0.15</f>
        <v>2.5380000000000003</v>
      </c>
      <c r="J671" s="3">
        <f>G671+H671</f>
        <v>23.688000000000002</v>
      </c>
      <c r="K671" s="3">
        <f>J671*1.13</f>
        <v>26.767440000000001</v>
      </c>
      <c r="L671" s="25">
        <v>1</v>
      </c>
      <c r="Q671" s="3">
        <f>P671-G671</f>
        <v>-16.920000000000002</v>
      </c>
      <c r="R671" s="10" t="e">
        <f>Q671/O671</f>
        <v>#DIV/0!</v>
      </c>
      <c r="T671" s="7">
        <f ca="1">IF(S671&lt;&gt;"",S671-B671,TODAY()-B671)</f>
        <v>18</v>
      </c>
    </row>
    <row r="672" spans="1:20">
      <c r="A672">
        <v>738</v>
      </c>
      <c r="B672" s="12">
        <v>45851</v>
      </c>
      <c r="D672" t="s">
        <v>1094</v>
      </c>
      <c r="E672" t="s">
        <v>1095</v>
      </c>
      <c r="F672" t="s">
        <v>224</v>
      </c>
      <c r="G672" s="3">
        <v>102.6</v>
      </c>
      <c r="H672" s="3">
        <f>G672*0.4</f>
        <v>41.04</v>
      </c>
      <c r="I672" s="8">
        <f>G672*0.15</f>
        <v>15.389999999999999</v>
      </c>
      <c r="J672" s="3">
        <f>G672+H672</f>
        <v>143.63999999999999</v>
      </c>
      <c r="K672" s="3">
        <f>J672*1.13</f>
        <v>162.31319999999997</v>
      </c>
      <c r="L672" s="25">
        <v>0</v>
      </c>
      <c r="O672" s="3">
        <v>160</v>
      </c>
      <c r="P672" s="3">
        <v>141.87</v>
      </c>
      <c r="Q672" s="3">
        <f>P672-G672</f>
        <v>39.27000000000001</v>
      </c>
      <c r="R672" s="10">
        <f>Q672/O672</f>
        <v>0.24543750000000006</v>
      </c>
      <c r="S672" s="13">
        <v>45865</v>
      </c>
      <c r="T672" s="7">
        <f ca="1">IF(S672&lt;&gt;"",S672-B672,TODAY()-B672)</f>
        <v>14</v>
      </c>
    </row>
    <row r="673" spans="1:23">
      <c r="A673">
        <v>739</v>
      </c>
      <c r="B673" s="12">
        <v>45851</v>
      </c>
      <c r="D673" t="s">
        <v>1094</v>
      </c>
      <c r="E673" t="s">
        <v>1096</v>
      </c>
      <c r="F673" t="s">
        <v>1097</v>
      </c>
      <c r="G673" s="3">
        <v>44.65</v>
      </c>
      <c r="H673" s="3">
        <f>G673*0.4</f>
        <v>17.86</v>
      </c>
      <c r="I673" s="8">
        <f>G673*0.15</f>
        <v>6.6974999999999998</v>
      </c>
      <c r="J673" s="3">
        <f>G673+H673</f>
        <v>62.51</v>
      </c>
      <c r="K673" s="3">
        <f>J673*1.13</f>
        <v>70.636299999999991</v>
      </c>
      <c r="L673" s="25">
        <v>0</v>
      </c>
      <c r="O673" s="3">
        <v>99</v>
      </c>
      <c r="P673" s="3">
        <v>87.42</v>
      </c>
      <c r="Q673" s="3">
        <f>P673-G673</f>
        <v>42.77</v>
      </c>
      <c r="R673" s="10">
        <f>Q673/O673</f>
        <v>0.43202020202020203</v>
      </c>
      <c r="S673" s="13">
        <v>45855</v>
      </c>
      <c r="T673" s="7">
        <f ca="1">IF(S673&lt;&gt;"",S673-B673,TODAY()-B673)</f>
        <v>4</v>
      </c>
    </row>
    <row r="674" spans="1:23">
      <c r="A674">
        <v>740</v>
      </c>
      <c r="B674" s="12">
        <v>45851</v>
      </c>
      <c r="D674" t="s">
        <v>1094</v>
      </c>
      <c r="E674" t="s">
        <v>1098</v>
      </c>
      <c r="F674" t="s">
        <v>1099</v>
      </c>
      <c r="G674" s="3">
        <v>28.67</v>
      </c>
      <c r="H674" s="3">
        <f>G674*0.4</f>
        <v>11.468000000000002</v>
      </c>
      <c r="I674" s="8">
        <f>G674*0.15</f>
        <v>4.3005000000000004</v>
      </c>
      <c r="J674" s="3">
        <f>G674+H674</f>
        <v>40.138000000000005</v>
      </c>
      <c r="K674" s="3">
        <f>J674*1.13</f>
        <v>45.355940000000004</v>
      </c>
      <c r="L674" s="25">
        <v>0</v>
      </c>
      <c r="O674" s="3">
        <v>0</v>
      </c>
      <c r="P674" s="3">
        <v>0</v>
      </c>
      <c r="Q674" s="3">
        <f>P674-G674</f>
        <v>-28.67</v>
      </c>
      <c r="R674" s="10" t="e">
        <f>Q674/O674</f>
        <v>#DIV/0!</v>
      </c>
      <c r="S674" s="13">
        <v>45852</v>
      </c>
      <c r="T674" s="7">
        <f ca="1">IF(S674&lt;&gt;"",S674-B674,TODAY()-B674)</f>
        <v>1</v>
      </c>
    </row>
    <row r="675" spans="1:23" s="15" customFormat="1" hidden="1">
      <c r="A675" s="15">
        <v>741</v>
      </c>
      <c r="B675" s="28">
        <v>45851</v>
      </c>
      <c r="D675" s="15" t="s">
        <v>1094</v>
      </c>
      <c r="E675" s="15" t="s">
        <v>1100</v>
      </c>
      <c r="F675" s="15" t="s">
        <v>224</v>
      </c>
      <c r="G675" s="29">
        <v>31.62</v>
      </c>
      <c r="H675" s="29">
        <f>G675*0.4</f>
        <v>12.648000000000001</v>
      </c>
      <c r="I675" s="30">
        <f>G675*0.15</f>
        <v>4.7430000000000003</v>
      </c>
      <c r="J675" s="29">
        <f>G675+H675</f>
        <v>44.268000000000001</v>
      </c>
      <c r="K675" s="29">
        <f>J675*1.13</f>
        <v>50.022839999999995</v>
      </c>
      <c r="L675" s="27">
        <v>1</v>
      </c>
      <c r="M675" s="31"/>
      <c r="N675" s="29"/>
      <c r="O675" s="29"/>
      <c r="P675" s="29"/>
      <c r="Q675" s="29">
        <f>P675-G675</f>
        <v>-31.62</v>
      </c>
      <c r="R675" s="32" t="e">
        <f>Q675/O675</f>
        <v>#DIV/0!</v>
      </c>
      <c r="S675" s="33"/>
      <c r="T675" s="7">
        <f ca="1">IF(S675&lt;&gt;"",S675-B675,TODAY()-B675)</f>
        <v>15</v>
      </c>
      <c r="U675" s="33"/>
      <c r="V675" s="33"/>
      <c r="W675" s="29"/>
    </row>
    <row r="676" spans="1:23" hidden="1">
      <c r="A676">
        <v>742</v>
      </c>
      <c r="B676" s="12">
        <v>45852</v>
      </c>
      <c r="D676" t="s">
        <v>19</v>
      </c>
      <c r="E676" t="s">
        <v>1101</v>
      </c>
      <c r="F676" t="s">
        <v>309</v>
      </c>
      <c r="G676" s="3">
        <v>200.61</v>
      </c>
      <c r="H676" s="3">
        <f>G676*0.4</f>
        <v>80.244000000000014</v>
      </c>
      <c r="I676" s="8">
        <f>G676*0.15</f>
        <v>30.0915</v>
      </c>
      <c r="J676" s="3">
        <f>G676+H676</f>
        <v>280.85400000000004</v>
      </c>
      <c r="K676" s="3">
        <f>J676*1.13</f>
        <v>317.36502000000002</v>
      </c>
      <c r="L676" s="25">
        <v>1</v>
      </c>
      <c r="Q676" s="3">
        <f>P676-G676</f>
        <v>-200.61</v>
      </c>
      <c r="R676" s="10" t="e">
        <f>Q676/O676</f>
        <v>#DIV/0!</v>
      </c>
      <c r="T676" s="7">
        <f ca="1">IF(S676&lt;&gt;"",S676-B676,TODAY()-B676)</f>
        <v>14</v>
      </c>
    </row>
    <row r="677" spans="1:23">
      <c r="A677">
        <v>743</v>
      </c>
      <c r="B677" s="12">
        <v>45852</v>
      </c>
      <c r="D677" t="s">
        <v>19</v>
      </c>
      <c r="E677" t="s">
        <v>1102</v>
      </c>
      <c r="F677" t="s">
        <v>309</v>
      </c>
      <c r="G677" s="3">
        <v>147.02000000000001</v>
      </c>
      <c r="H677" s="3">
        <f>G677*0.4</f>
        <v>58.808000000000007</v>
      </c>
      <c r="I677" s="8">
        <f>G677*0.15</f>
        <v>22.053000000000001</v>
      </c>
      <c r="J677" s="3">
        <f>G677+H677</f>
        <v>205.82800000000003</v>
      </c>
      <c r="K677" s="3">
        <f>J677*1.13</f>
        <v>232.58564000000001</v>
      </c>
      <c r="L677" s="25">
        <v>0</v>
      </c>
      <c r="O677" s="3">
        <v>235</v>
      </c>
      <c r="P677" s="3">
        <v>208.21</v>
      </c>
      <c r="Q677" s="3">
        <f>P677-G677</f>
        <v>61.19</v>
      </c>
      <c r="R677" s="10">
        <f>Q677/O677</f>
        <v>0.26038297872340427</v>
      </c>
      <c r="S677" s="13">
        <v>45865</v>
      </c>
      <c r="T677" s="7">
        <f ca="1">IF(S677&lt;&gt;"",S677-B677,TODAY()-B677)</f>
        <v>13</v>
      </c>
    </row>
    <row r="678" spans="1:23" hidden="1">
      <c r="A678">
        <v>744</v>
      </c>
      <c r="B678" s="12">
        <v>45852</v>
      </c>
      <c r="D678" t="s">
        <v>19</v>
      </c>
      <c r="E678" t="s">
        <v>1103</v>
      </c>
      <c r="F678" t="s">
        <v>309</v>
      </c>
      <c r="G678" s="3">
        <v>293.17</v>
      </c>
      <c r="H678" s="3">
        <f>G678*0.4</f>
        <v>117.26800000000001</v>
      </c>
      <c r="I678" s="8">
        <f>G678*0.15</f>
        <v>43.975500000000004</v>
      </c>
      <c r="J678" s="3">
        <f>G678+H678</f>
        <v>410.43800000000005</v>
      </c>
      <c r="K678" s="3">
        <f>J678*1.13</f>
        <v>463.79494</v>
      </c>
      <c r="L678" s="25">
        <v>1</v>
      </c>
      <c r="Q678" s="3">
        <f>P678-G678</f>
        <v>-293.17</v>
      </c>
      <c r="R678" s="10" t="e">
        <f>Q678/O678</f>
        <v>#DIV/0!</v>
      </c>
      <c r="T678" s="7">
        <f ca="1">IF(S678&lt;&gt;"",S678-B678,TODAY()-B678)</f>
        <v>14</v>
      </c>
    </row>
    <row r="679" spans="1:23">
      <c r="A679">
        <v>745</v>
      </c>
      <c r="B679" s="12">
        <v>45852</v>
      </c>
      <c r="D679" t="s">
        <v>1104</v>
      </c>
      <c r="E679" t="s">
        <v>1105</v>
      </c>
      <c r="F679" t="s">
        <v>226</v>
      </c>
      <c r="G679" s="3">
        <v>239.58</v>
      </c>
      <c r="H679" s="3">
        <f>G679*0.4</f>
        <v>95.832000000000008</v>
      </c>
      <c r="I679" s="8">
        <f>G679*0.15</f>
        <v>35.936999999999998</v>
      </c>
      <c r="J679" s="3">
        <f>G679+H679</f>
        <v>335.41200000000003</v>
      </c>
      <c r="K679" s="3">
        <f>J679*1.13</f>
        <v>379.01555999999999</v>
      </c>
      <c r="L679" s="25">
        <v>0</v>
      </c>
      <c r="O679" s="3">
        <v>349</v>
      </c>
      <c r="P679" s="3">
        <v>309.64</v>
      </c>
      <c r="Q679" s="3">
        <f>P679-G679</f>
        <v>70.059999999999974</v>
      </c>
      <c r="R679" s="10">
        <f>Q679/O679</f>
        <v>0.20074498567335236</v>
      </c>
      <c r="S679" s="13">
        <v>45859</v>
      </c>
      <c r="T679" s="7">
        <f ca="1">IF(S679&lt;&gt;"",S679-B679,TODAY()-B679)</f>
        <v>7</v>
      </c>
    </row>
    <row r="680" spans="1:23" hidden="1">
      <c r="A680">
        <v>746</v>
      </c>
      <c r="B680" s="12">
        <v>45853</v>
      </c>
      <c r="D680" t="s">
        <v>1068</v>
      </c>
      <c r="E680" t="s">
        <v>1106</v>
      </c>
      <c r="F680" t="s">
        <v>294</v>
      </c>
      <c r="G680" s="3">
        <v>58.9</v>
      </c>
      <c r="H680" s="3">
        <f>G680*0.4</f>
        <v>23.560000000000002</v>
      </c>
      <c r="I680" s="8">
        <f>G680*0.15</f>
        <v>8.8349999999999991</v>
      </c>
      <c r="J680" s="3">
        <f>G680+H680</f>
        <v>82.460000000000008</v>
      </c>
      <c r="K680" s="3">
        <f>J680*1.13</f>
        <v>93.1798</v>
      </c>
      <c r="L680" s="25">
        <v>1</v>
      </c>
      <c r="Q680" s="3">
        <f>P680-G680</f>
        <v>-58.9</v>
      </c>
      <c r="R680" s="10" t="e">
        <f>Q680/O680</f>
        <v>#DIV/0!</v>
      </c>
      <c r="T680" s="7">
        <f ca="1">IF(S680&lt;&gt;"",S680-B680,TODAY()-B680)</f>
        <v>13</v>
      </c>
    </row>
    <row r="681" spans="1:23">
      <c r="A681">
        <v>747</v>
      </c>
      <c r="B681" s="12">
        <v>45854</v>
      </c>
      <c r="D681" t="s">
        <v>19</v>
      </c>
      <c r="E681" t="s">
        <v>1107</v>
      </c>
      <c r="F681" t="s">
        <v>226</v>
      </c>
      <c r="G681" s="3">
        <v>85.21</v>
      </c>
      <c r="H681" s="3">
        <f>G681*0.4</f>
        <v>34.083999999999996</v>
      </c>
      <c r="I681" s="8">
        <f>G681*0.15</f>
        <v>12.781499999999999</v>
      </c>
      <c r="J681" s="3">
        <f>G681+H681</f>
        <v>119.29399999999998</v>
      </c>
      <c r="K681" s="3">
        <f>J681*1.13</f>
        <v>134.80221999999998</v>
      </c>
      <c r="L681" s="25">
        <v>0</v>
      </c>
      <c r="O681" s="3">
        <v>135</v>
      </c>
      <c r="P681" s="3">
        <v>119.31</v>
      </c>
      <c r="Q681" s="3">
        <f>P681-G681</f>
        <v>34.100000000000009</v>
      </c>
      <c r="R681" s="10">
        <f>Q681/O681</f>
        <v>0.25259259259259265</v>
      </c>
      <c r="S681" s="13">
        <v>45859</v>
      </c>
      <c r="T681" s="7">
        <f ca="1">IF(S681&lt;&gt;"",S681-B681,TODAY()-B681)</f>
        <v>5</v>
      </c>
    </row>
    <row r="682" spans="1:23">
      <c r="A682">
        <v>748</v>
      </c>
      <c r="B682" s="12">
        <v>45854</v>
      </c>
      <c r="D682" t="s">
        <v>19</v>
      </c>
      <c r="E682" t="s">
        <v>1108</v>
      </c>
      <c r="F682" t="s">
        <v>1109</v>
      </c>
      <c r="G682" s="3">
        <v>34</v>
      </c>
      <c r="H682" s="3">
        <f>G682*0.4</f>
        <v>13.600000000000001</v>
      </c>
      <c r="I682" s="8">
        <f>G682*0.15</f>
        <v>5.0999999999999996</v>
      </c>
      <c r="J682" s="3">
        <f>G682+H682</f>
        <v>47.6</v>
      </c>
      <c r="K682" s="3">
        <f>J682*1.13</f>
        <v>53.787999999999997</v>
      </c>
      <c r="L682" s="25">
        <v>0</v>
      </c>
      <c r="O682" s="3">
        <v>32</v>
      </c>
      <c r="P682" s="3">
        <v>27.93</v>
      </c>
      <c r="Q682" s="3">
        <f>P682-G682</f>
        <v>-6.07</v>
      </c>
      <c r="R682" s="10">
        <f>Q682/O682</f>
        <v>-0.18968750000000001</v>
      </c>
      <c r="S682" s="13">
        <v>45859</v>
      </c>
      <c r="T682" s="7">
        <f ca="1">IF(S682&lt;&gt;"",S682-B682,TODAY()-B682)</f>
        <v>5</v>
      </c>
    </row>
    <row r="683" spans="1:23" hidden="1">
      <c r="A683">
        <v>750</v>
      </c>
      <c r="B683" s="12">
        <v>45853</v>
      </c>
      <c r="D683" t="s">
        <v>1040</v>
      </c>
      <c r="E683" t="s">
        <v>1110</v>
      </c>
      <c r="F683" t="s">
        <v>226</v>
      </c>
      <c r="G683" s="3">
        <v>208.72</v>
      </c>
      <c r="H683" s="3">
        <f>G683*0.4</f>
        <v>83.488</v>
      </c>
      <c r="I683" s="8">
        <f>G683*0.15</f>
        <v>31.308</v>
      </c>
      <c r="J683" s="3">
        <f>G683+H683</f>
        <v>292.20799999999997</v>
      </c>
      <c r="K683" s="3">
        <f>J683*1.13</f>
        <v>330.19503999999995</v>
      </c>
      <c r="L683" s="25">
        <v>1</v>
      </c>
      <c r="Q683" s="3">
        <f>P683-G683</f>
        <v>-208.72</v>
      </c>
      <c r="R683" s="10" t="e">
        <f>Q683/O683</f>
        <v>#DIV/0!</v>
      </c>
      <c r="T683" s="7">
        <f ca="1">IF(S683&lt;&gt;"",S683-B683,TODAY()-B683)</f>
        <v>13</v>
      </c>
    </row>
    <row r="684" spans="1:23" hidden="1">
      <c r="A684">
        <v>751</v>
      </c>
      <c r="B684" s="12">
        <v>45853</v>
      </c>
      <c r="D684" t="s">
        <v>1112</v>
      </c>
      <c r="E684" t="s">
        <v>1111</v>
      </c>
      <c r="F684" t="s">
        <v>226</v>
      </c>
      <c r="G684" s="3">
        <v>238.15</v>
      </c>
      <c r="H684" s="3">
        <f>G684*0.4</f>
        <v>95.26</v>
      </c>
      <c r="I684" s="8">
        <f>G684*0.15</f>
        <v>35.722499999999997</v>
      </c>
      <c r="J684" s="3">
        <f>G684+H684</f>
        <v>333.41</v>
      </c>
      <c r="K684" s="3">
        <f>J684*1.13</f>
        <v>376.75329999999997</v>
      </c>
      <c r="L684" s="25">
        <v>1</v>
      </c>
      <c r="Q684" s="3">
        <f>P684-G684</f>
        <v>-238.15</v>
      </c>
      <c r="R684" s="10" t="e">
        <f>Q684/O684</f>
        <v>#DIV/0!</v>
      </c>
      <c r="T684" s="7">
        <f ca="1">IF(S684&lt;&gt;"",S684-B684,TODAY()-B684)</f>
        <v>13</v>
      </c>
    </row>
    <row r="685" spans="1:23">
      <c r="A685">
        <v>752</v>
      </c>
      <c r="B685" s="12">
        <v>45854</v>
      </c>
      <c r="D685" t="s">
        <v>1112</v>
      </c>
      <c r="E685" t="s">
        <v>1113</v>
      </c>
      <c r="F685" t="s">
        <v>309</v>
      </c>
      <c r="G685" s="3">
        <v>375.37</v>
      </c>
      <c r="H685" s="3">
        <f>G685*0.4</f>
        <v>150.148</v>
      </c>
      <c r="I685" s="8">
        <f>G685*0.15</f>
        <v>56.305500000000002</v>
      </c>
      <c r="J685" s="3">
        <f>G685+H685</f>
        <v>525.51800000000003</v>
      </c>
      <c r="K685" s="3">
        <f>J685*1.13</f>
        <v>593.83533999999997</v>
      </c>
      <c r="L685" s="25">
        <v>0</v>
      </c>
      <c r="O685" s="3">
        <v>599</v>
      </c>
      <c r="P685" s="3">
        <v>531.46</v>
      </c>
      <c r="Q685" s="3">
        <f>P685-G685</f>
        <v>156.09000000000003</v>
      </c>
      <c r="R685" s="10">
        <f>Q685/O685</f>
        <v>0.26058430717863112</v>
      </c>
      <c r="S685" s="13">
        <v>45864</v>
      </c>
      <c r="T685" s="7">
        <f ca="1">IF(S685&lt;&gt;"",S685-B685,TODAY()-B685)</f>
        <v>10</v>
      </c>
    </row>
    <row r="686" spans="1:23" hidden="1">
      <c r="A686">
        <v>753</v>
      </c>
      <c r="B686" s="12">
        <v>45855</v>
      </c>
      <c r="D686" t="s">
        <v>814</v>
      </c>
      <c r="E686" t="s">
        <v>1114</v>
      </c>
      <c r="F686" t="s">
        <v>309</v>
      </c>
      <c r="G686" s="3">
        <v>125.24</v>
      </c>
      <c r="H686" s="3">
        <f>G686*0.4</f>
        <v>50.096000000000004</v>
      </c>
      <c r="I686" s="8">
        <f>G686*0.15</f>
        <v>18.785999999999998</v>
      </c>
      <c r="J686" s="3">
        <f>G686+H686</f>
        <v>175.33600000000001</v>
      </c>
      <c r="K686" s="3">
        <f>J686*1.13</f>
        <v>198.12968000000001</v>
      </c>
      <c r="L686" s="25">
        <v>1</v>
      </c>
      <c r="Q686" s="3">
        <f>P686-G686</f>
        <v>-125.24</v>
      </c>
      <c r="R686" s="10" t="e">
        <f>Q686/O686</f>
        <v>#DIV/0!</v>
      </c>
      <c r="T686" s="7">
        <f ca="1">IF(S686&lt;&gt;"",S686-B686,TODAY()-B686)</f>
        <v>11</v>
      </c>
    </row>
    <row r="687" spans="1:23" hidden="1">
      <c r="A687">
        <v>754</v>
      </c>
      <c r="B687" s="12">
        <v>45855</v>
      </c>
      <c r="D687" t="s">
        <v>1040</v>
      </c>
      <c r="E687" t="s">
        <v>1115</v>
      </c>
      <c r="F687" t="s">
        <v>309</v>
      </c>
      <c r="G687" s="3">
        <v>173.68</v>
      </c>
      <c r="H687" s="3">
        <f>G687*0.4</f>
        <v>69.472000000000008</v>
      </c>
      <c r="I687" s="8">
        <f>G687*0.15</f>
        <v>26.052</v>
      </c>
      <c r="J687" s="3">
        <f>G687+H687</f>
        <v>243.15200000000002</v>
      </c>
      <c r="K687" s="3">
        <f>J687*1.13</f>
        <v>274.76175999999998</v>
      </c>
      <c r="L687" s="25">
        <v>1</v>
      </c>
      <c r="Q687" s="3">
        <f>P687-G687</f>
        <v>-173.68</v>
      </c>
      <c r="R687" s="10" t="e">
        <f>Q687/O687</f>
        <v>#DIV/0!</v>
      </c>
      <c r="T687" s="7">
        <f ca="1">IF(S687&lt;&gt;"",S687-B687,TODAY()-B687)</f>
        <v>11</v>
      </c>
    </row>
    <row r="688" spans="1:23" hidden="1">
      <c r="A688">
        <v>755</v>
      </c>
      <c r="B688" s="12">
        <v>45854</v>
      </c>
      <c r="D688" t="s">
        <v>1116</v>
      </c>
      <c r="E688" t="s">
        <v>1117</v>
      </c>
      <c r="F688" t="s">
        <v>309</v>
      </c>
      <c r="G688" s="3">
        <v>440</v>
      </c>
      <c r="H688" s="3">
        <f>G688*0.4</f>
        <v>176</v>
      </c>
      <c r="I688" s="8">
        <f>G688*0.15</f>
        <v>66</v>
      </c>
      <c r="J688" s="3">
        <f>G688+H688</f>
        <v>616</v>
      </c>
      <c r="K688" s="3">
        <f>J688*1.13</f>
        <v>696.07999999999993</v>
      </c>
      <c r="L688" s="25">
        <v>1</v>
      </c>
      <c r="Q688" s="3">
        <f>P688-G688</f>
        <v>-440</v>
      </c>
      <c r="R688" s="10" t="e">
        <f>Q688/O688</f>
        <v>#DIV/0!</v>
      </c>
      <c r="T688" s="7">
        <f ca="1">IF(S688&lt;&gt;"",S688-B688,TODAY()-B688)</f>
        <v>12</v>
      </c>
    </row>
    <row r="689" spans="1:20" hidden="1">
      <c r="A689">
        <v>756</v>
      </c>
      <c r="B689" s="12">
        <v>45854</v>
      </c>
      <c r="D689" t="s">
        <v>1116</v>
      </c>
      <c r="E689" t="s">
        <v>1117</v>
      </c>
      <c r="F689" t="s">
        <v>226</v>
      </c>
      <c r="G689" s="3">
        <v>360</v>
      </c>
      <c r="H689" s="3">
        <f>G689*0.4</f>
        <v>144</v>
      </c>
      <c r="I689" s="8">
        <f>G689*0.15</f>
        <v>54</v>
      </c>
      <c r="J689" s="3">
        <f>G689+H689</f>
        <v>504</v>
      </c>
      <c r="K689" s="3">
        <f>J689*1.13</f>
        <v>569.52</v>
      </c>
      <c r="L689" s="25">
        <v>1</v>
      </c>
      <c r="Q689" s="3">
        <f>P689-G689</f>
        <v>-360</v>
      </c>
      <c r="R689" s="10" t="e">
        <f>Q689/O689</f>
        <v>#DIV/0!</v>
      </c>
      <c r="T689" s="7">
        <f ca="1">IF(S689&lt;&gt;"",S689-B689,TODAY()-B689)</f>
        <v>12</v>
      </c>
    </row>
    <row r="690" spans="1:20" hidden="1">
      <c r="A690">
        <v>757</v>
      </c>
      <c r="B690" s="12">
        <v>45855</v>
      </c>
      <c r="D690" t="s">
        <v>1116</v>
      </c>
      <c r="E690" t="s">
        <v>1118</v>
      </c>
      <c r="F690" t="s">
        <v>1119</v>
      </c>
      <c r="G690" s="3">
        <f>306.25+49</f>
        <v>355.25</v>
      </c>
      <c r="H690" s="3">
        <f>G690*0.4</f>
        <v>142.1</v>
      </c>
      <c r="I690" s="8">
        <f>G690*0.15</f>
        <v>53.287500000000001</v>
      </c>
      <c r="J690" s="3">
        <f>G690+H690</f>
        <v>497.35</v>
      </c>
      <c r="K690" s="3">
        <f>J690*1.13</f>
        <v>562.00549999999998</v>
      </c>
      <c r="L690" s="25">
        <v>1</v>
      </c>
      <c r="Q690" s="3">
        <f>P690-G690</f>
        <v>-355.25</v>
      </c>
      <c r="R690" s="10" t="e">
        <f>Q690/O690</f>
        <v>#DIV/0!</v>
      </c>
      <c r="T690" s="7">
        <f ca="1">IF(S690&lt;&gt;"",S690-B690,TODAY()-B690)</f>
        <v>11</v>
      </c>
    </row>
    <row r="691" spans="1:20" hidden="1">
      <c r="A691">
        <v>758</v>
      </c>
      <c r="B691" s="12">
        <v>45855</v>
      </c>
      <c r="D691" t="s">
        <v>1116</v>
      </c>
      <c r="E691" t="s">
        <v>1120</v>
      </c>
      <c r="F691" t="s">
        <v>1119</v>
      </c>
      <c r="G691" s="3">
        <f>243.65+49</f>
        <v>292.64999999999998</v>
      </c>
      <c r="H691" s="3">
        <f>G691*0.4</f>
        <v>117.06</v>
      </c>
      <c r="I691" s="8">
        <f>G691*0.15</f>
        <v>43.897499999999994</v>
      </c>
      <c r="J691" s="3">
        <f>G691+H691</f>
        <v>409.71</v>
      </c>
      <c r="K691" s="3">
        <f>J691*1.13</f>
        <v>462.97229999999996</v>
      </c>
      <c r="L691" s="25">
        <v>1</v>
      </c>
      <c r="Q691" s="3">
        <f>P691-G691</f>
        <v>-292.64999999999998</v>
      </c>
      <c r="R691" s="10" t="e">
        <f>Q691/O691</f>
        <v>#DIV/0!</v>
      </c>
      <c r="T691" s="7">
        <f ca="1">IF(S691&lt;&gt;"",S691-B691,TODAY()-B691)</f>
        <v>11</v>
      </c>
    </row>
    <row r="692" spans="1:20" hidden="1">
      <c r="A692">
        <v>759</v>
      </c>
      <c r="B692" s="12">
        <v>45855</v>
      </c>
      <c r="D692" t="s">
        <v>1116</v>
      </c>
      <c r="E692" t="s">
        <v>1121</v>
      </c>
      <c r="F692" t="s">
        <v>1119</v>
      </c>
      <c r="G692" s="3">
        <f>232.1+49</f>
        <v>281.10000000000002</v>
      </c>
      <c r="H692" s="3">
        <f>G692*0.4</f>
        <v>112.44000000000001</v>
      </c>
      <c r="I692" s="8">
        <f>G692*0.15</f>
        <v>42.164999999999999</v>
      </c>
      <c r="J692" s="3">
        <f>G692+H692</f>
        <v>393.54</v>
      </c>
      <c r="K692" s="3">
        <f>J692*1.13</f>
        <v>444.7002</v>
      </c>
      <c r="L692" s="25">
        <v>1</v>
      </c>
      <c r="Q692" s="3">
        <f>P692-G692</f>
        <v>-281.10000000000002</v>
      </c>
      <c r="R692" s="10" t="e">
        <f>Q692/O692</f>
        <v>#DIV/0!</v>
      </c>
      <c r="T692" s="7">
        <f ca="1">IF(S692&lt;&gt;"",S692-B692,TODAY()-B692)</f>
        <v>11</v>
      </c>
    </row>
    <row r="693" spans="1:20" hidden="1">
      <c r="A693">
        <v>760</v>
      </c>
      <c r="B693" s="12">
        <v>45855</v>
      </c>
      <c r="D693" t="s">
        <v>1123</v>
      </c>
      <c r="E693" t="s">
        <v>1122</v>
      </c>
      <c r="F693" t="s">
        <v>309</v>
      </c>
      <c r="G693" s="3">
        <v>308.20999999999998</v>
      </c>
      <c r="H693" s="3">
        <f>G693*0.4</f>
        <v>123.28399999999999</v>
      </c>
      <c r="I693" s="8">
        <f>G693*0.15</f>
        <v>46.231499999999997</v>
      </c>
      <c r="J693" s="3">
        <f>G693+H693</f>
        <v>431.49399999999997</v>
      </c>
      <c r="K693" s="3">
        <f>J693*1.13</f>
        <v>487.58821999999992</v>
      </c>
      <c r="L693" s="25">
        <v>1</v>
      </c>
      <c r="Q693" s="3">
        <f>P693-G693</f>
        <v>-308.20999999999998</v>
      </c>
      <c r="R693" s="10" t="e">
        <f>Q693/O693</f>
        <v>#DIV/0!</v>
      </c>
      <c r="T693" s="7">
        <f ca="1">IF(S693&lt;&gt;"",S693-B693,TODAY()-B693)</f>
        <v>11</v>
      </c>
    </row>
    <row r="694" spans="1:20" hidden="1">
      <c r="A694">
        <v>761</v>
      </c>
      <c r="B694" s="12">
        <v>45854</v>
      </c>
      <c r="D694" t="s">
        <v>1066</v>
      </c>
      <c r="E694" t="s">
        <v>1125</v>
      </c>
      <c r="F694" t="s">
        <v>309</v>
      </c>
      <c r="G694" s="3">
        <v>308.20999999999998</v>
      </c>
      <c r="H694" s="3">
        <f>G694*0.4</f>
        <v>123.28399999999999</v>
      </c>
      <c r="I694" s="8">
        <f>G694*0.15</f>
        <v>46.231499999999997</v>
      </c>
      <c r="J694" s="3">
        <f>G694+H694</f>
        <v>431.49399999999997</v>
      </c>
      <c r="K694" s="3">
        <f>J694*1.13</f>
        <v>487.58821999999992</v>
      </c>
      <c r="L694" s="25">
        <v>1</v>
      </c>
      <c r="Q694" s="3">
        <f>P694-G694</f>
        <v>-308.20999999999998</v>
      </c>
      <c r="R694" s="10" t="e">
        <f>Q694/O694</f>
        <v>#DIV/0!</v>
      </c>
      <c r="T694" s="7">
        <f ca="1">IF(S694&lt;&gt;"",S694-B694,TODAY()-B694)</f>
        <v>12</v>
      </c>
    </row>
    <row r="695" spans="1:20" hidden="1">
      <c r="A695">
        <v>762</v>
      </c>
      <c r="B695" s="12">
        <v>45854</v>
      </c>
      <c r="D695" t="s">
        <v>1066</v>
      </c>
      <c r="E695" t="s">
        <v>1126</v>
      </c>
      <c r="F695" t="s">
        <v>309</v>
      </c>
      <c r="G695" s="3">
        <v>217.76</v>
      </c>
      <c r="H695" s="3">
        <f>G695*0.4</f>
        <v>87.103999999999999</v>
      </c>
      <c r="I695" s="8">
        <f>G695*0.15</f>
        <v>32.663999999999994</v>
      </c>
      <c r="J695" s="3">
        <f>G695+H695</f>
        <v>304.86399999999998</v>
      </c>
      <c r="K695" s="3">
        <f>J695*1.13</f>
        <v>344.49631999999991</v>
      </c>
      <c r="L695" s="25">
        <v>1</v>
      </c>
      <c r="Q695" s="3">
        <f>P695-G695</f>
        <v>-217.76</v>
      </c>
      <c r="R695" s="10" t="e">
        <f>Q695/O695</f>
        <v>#DIV/0!</v>
      </c>
      <c r="T695" s="7">
        <f ca="1">IF(S695&lt;&gt;"",S695-B695,TODAY()-B695)</f>
        <v>12</v>
      </c>
    </row>
    <row r="696" spans="1:20" hidden="1">
      <c r="A696">
        <v>763</v>
      </c>
      <c r="B696" s="12">
        <v>45855</v>
      </c>
      <c r="D696" t="s">
        <v>1123</v>
      </c>
      <c r="E696" t="s">
        <v>1124</v>
      </c>
      <c r="F696" t="s">
        <v>309</v>
      </c>
      <c r="G696" s="3">
        <v>260</v>
      </c>
      <c r="H696" s="3">
        <f>G696*0.4</f>
        <v>104</v>
      </c>
      <c r="I696" s="8">
        <f>G696*0.15</f>
        <v>39</v>
      </c>
      <c r="J696" s="3">
        <f>G696+H696</f>
        <v>364</v>
      </c>
      <c r="K696" s="3">
        <f>J696*1.13</f>
        <v>411.31999999999994</v>
      </c>
      <c r="L696" s="25">
        <v>1</v>
      </c>
      <c r="Q696" s="3">
        <f>P696-G696</f>
        <v>-260</v>
      </c>
      <c r="R696" s="10" t="e">
        <f>Q696/O696</f>
        <v>#DIV/0!</v>
      </c>
      <c r="T696" s="7">
        <f ca="1">IF(S696&lt;&gt;"",S696-B696,TODAY()-B696)</f>
        <v>11</v>
      </c>
    </row>
    <row r="697" spans="1:20" hidden="1">
      <c r="A697">
        <v>764</v>
      </c>
      <c r="B697" s="12">
        <v>45855</v>
      </c>
      <c r="D697" t="s">
        <v>1112</v>
      </c>
      <c r="E697" t="s">
        <v>308</v>
      </c>
      <c r="F697" t="s">
        <v>224</v>
      </c>
      <c r="G697" s="3">
        <v>466.84</v>
      </c>
      <c r="H697" s="3">
        <f>G697*0.4</f>
        <v>186.73599999999999</v>
      </c>
      <c r="I697" s="8">
        <f>G697*0.15</f>
        <v>70.025999999999996</v>
      </c>
      <c r="J697" s="3">
        <f>G697+H697</f>
        <v>653.57600000000002</v>
      </c>
      <c r="K697" s="3">
        <f>J697*1.13</f>
        <v>738.5408799999999</v>
      </c>
      <c r="L697" s="25">
        <v>1</v>
      </c>
      <c r="Q697" s="3">
        <f>P697-G697</f>
        <v>-466.84</v>
      </c>
      <c r="R697" s="10" t="e">
        <f>Q697/O697</f>
        <v>#DIV/0!</v>
      </c>
      <c r="T697" s="7">
        <f ca="1">IF(S697&lt;&gt;"",S697-B697,TODAY()-B697)</f>
        <v>11</v>
      </c>
    </row>
    <row r="698" spans="1:20" hidden="1">
      <c r="A698">
        <v>765</v>
      </c>
      <c r="B698" s="12">
        <v>45855</v>
      </c>
      <c r="D698" t="s">
        <v>1094</v>
      </c>
      <c r="E698" t="s">
        <v>1127</v>
      </c>
      <c r="F698" t="s">
        <v>226</v>
      </c>
      <c r="G698" s="3">
        <v>0.01</v>
      </c>
      <c r="H698" s="3">
        <f>G698*0.4</f>
        <v>4.0000000000000001E-3</v>
      </c>
      <c r="I698" s="8">
        <f>G698*0.15</f>
        <v>1.5E-3</v>
      </c>
      <c r="J698" s="3">
        <f>G698+H698</f>
        <v>1.4E-2</v>
      </c>
      <c r="K698" s="3">
        <f>J698*1.13</f>
        <v>1.5819999999999997E-2</v>
      </c>
      <c r="L698" s="25">
        <v>1</v>
      </c>
      <c r="Q698" s="3">
        <f>P698-G698</f>
        <v>-0.01</v>
      </c>
      <c r="R698" s="10" t="e">
        <f>Q698/O698</f>
        <v>#DIV/0!</v>
      </c>
      <c r="T698" s="7">
        <f ca="1">IF(S698&lt;&gt;"",S698-B698,TODAY()-B698)</f>
        <v>11</v>
      </c>
    </row>
    <row r="699" spans="1:20" hidden="1">
      <c r="A699">
        <v>767</v>
      </c>
      <c r="B699" s="12">
        <v>45855</v>
      </c>
      <c r="D699" t="s">
        <v>787</v>
      </c>
      <c r="E699" t="s">
        <v>1128</v>
      </c>
      <c r="F699" t="s">
        <v>226</v>
      </c>
      <c r="G699" s="3">
        <v>664.3</v>
      </c>
      <c r="H699" s="3">
        <f>G699*0.4</f>
        <v>265.71999999999997</v>
      </c>
      <c r="I699" s="8">
        <f>G699*0.15</f>
        <v>99.644999999999996</v>
      </c>
      <c r="J699" s="3">
        <f>G699+H699</f>
        <v>930.02</v>
      </c>
      <c r="K699" s="3">
        <f>J699*1.13</f>
        <v>1050.9225999999999</v>
      </c>
      <c r="L699" s="25">
        <v>1</v>
      </c>
      <c r="Q699" s="3">
        <f>P699-G699</f>
        <v>-664.3</v>
      </c>
      <c r="R699" s="10" t="e">
        <f>Q699/O699</f>
        <v>#DIV/0!</v>
      </c>
      <c r="T699" s="7">
        <f ca="1">IF(S699&lt;&gt;"",S699-B699,TODAY()-B699)</f>
        <v>11</v>
      </c>
    </row>
    <row r="700" spans="1:20">
      <c r="A700">
        <v>768</v>
      </c>
      <c r="B700" s="12">
        <v>45848</v>
      </c>
      <c r="D700" t="s">
        <v>1129</v>
      </c>
      <c r="E700" t="s">
        <v>1130</v>
      </c>
      <c r="F700" t="s">
        <v>443</v>
      </c>
      <c r="G700" s="3">
        <v>46.54</v>
      </c>
      <c r="H700" s="3">
        <f>G700*0.4</f>
        <v>18.616</v>
      </c>
      <c r="I700" s="8">
        <f>G700*0.15</f>
        <v>6.9809999999999999</v>
      </c>
      <c r="J700" s="3">
        <f>G700+H700</f>
        <v>65.156000000000006</v>
      </c>
      <c r="K700" s="3">
        <f>J700*1.13</f>
        <v>73.626279999999994</v>
      </c>
      <c r="L700" s="25">
        <v>0</v>
      </c>
      <c r="O700" s="3">
        <v>99</v>
      </c>
      <c r="P700" s="3">
        <v>87.33</v>
      </c>
      <c r="Q700" s="3">
        <f>P700-G700</f>
        <v>40.79</v>
      </c>
      <c r="R700" s="10">
        <f>Q700/O700</f>
        <v>0.41202020202020201</v>
      </c>
      <c r="S700" s="13">
        <v>45855</v>
      </c>
      <c r="T700" s="7">
        <f ca="1">IF(S700&lt;&gt;"",S700-B700,TODAY()-B700)</f>
        <v>7</v>
      </c>
    </row>
    <row r="701" spans="1:20">
      <c r="A701">
        <v>769</v>
      </c>
      <c r="B701" s="12">
        <v>45855</v>
      </c>
      <c r="D701" t="s">
        <v>809</v>
      </c>
      <c r="E701" t="s">
        <v>1086</v>
      </c>
      <c r="F701" t="s">
        <v>294</v>
      </c>
      <c r="G701" s="3">
        <v>0.01</v>
      </c>
      <c r="H701" s="3">
        <f>G701*0.4</f>
        <v>4.0000000000000001E-3</v>
      </c>
      <c r="I701" s="8">
        <f>G701*0.15</f>
        <v>1.5E-3</v>
      </c>
      <c r="J701" s="3">
        <f>G701+H701</f>
        <v>1.4E-2</v>
      </c>
      <c r="K701" s="3">
        <f>J701*1.13</f>
        <v>1.5819999999999997E-2</v>
      </c>
      <c r="L701" s="25">
        <v>0</v>
      </c>
      <c r="O701" s="3">
        <v>8</v>
      </c>
      <c r="P701" s="3">
        <v>6.79</v>
      </c>
      <c r="Q701" s="3">
        <f>P701-G701</f>
        <v>6.78</v>
      </c>
      <c r="R701" s="10">
        <f>Q701/O701</f>
        <v>0.84750000000000003</v>
      </c>
      <c r="S701" s="13">
        <v>45855</v>
      </c>
      <c r="T701" s="7">
        <f ca="1">IF(S701&lt;&gt;"",S701-B701,TODAY()-B701)</f>
        <v>0</v>
      </c>
    </row>
    <row r="702" spans="1:20">
      <c r="A702">
        <v>770</v>
      </c>
      <c r="B702" s="12">
        <v>45855</v>
      </c>
      <c r="D702" t="s">
        <v>809</v>
      </c>
      <c r="E702" t="s">
        <v>1131</v>
      </c>
      <c r="F702" t="s">
        <v>1132</v>
      </c>
      <c r="G702" s="3">
        <v>20</v>
      </c>
      <c r="H702" s="3">
        <f>G702*0.4</f>
        <v>8</v>
      </c>
      <c r="I702" s="8">
        <f>G702*0.15</f>
        <v>3</v>
      </c>
      <c r="J702" s="3">
        <f>G702+H702</f>
        <v>28</v>
      </c>
      <c r="K702" s="3">
        <f>J702*1.13</f>
        <v>31.639999999999997</v>
      </c>
      <c r="L702" s="25">
        <v>0</v>
      </c>
      <c r="O702" s="3">
        <v>34</v>
      </c>
      <c r="P702" s="3">
        <v>29.99</v>
      </c>
      <c r="Q702" s="3">
        <f>P702-G702</f>
        <v>9.9899999999999984</v>
      </c>
      <c r="R702" s="10">
        <f>Q702/O702</f>
        <v>0.29382352941176465</v>
      </c>
      <c r="S702" s="13">
        <v>45855</v>
      </c>
      <c r="T702" s="7">
        <f ca="1">IF(S702&lt;&gt;"",S702-B702,TODAY()-B702)</f>
        <v>0</v>
      </c>
    </row>
    <row r="703" spans="1:20">
      <c r="A703">
        <v>771</v>
      </c>
      <c r="B703" s="12">
        <v>45855</v>
      </c>
      <c r="D703" t="s">
        <v>809</v>
      </c>
      <c r="E703" t="s">
        <v>1133</v>
      </c>
      <c r="F703" t="s">
        <v>1132</v>
      </c>
      <c r="G703" s="3">
        <f>16.04+14.66</f>
        <v>30.7</v>
      </c>
      <c r="H703" s="3">
        <f>G703*0.4</f>
        <v>12.280000000000001</v>
      </c>
      <c r="I703" s="8">
        <f>G703*0.15</f>
        <v>4.6049999999999995</v>
      </c>
      <c r="J703" s="3">
        <f>G703+H703</f>
        <v>42.980000000000004</v>
      </c>
      <c r="K703" s="3">
        <f>J703*1.13</f>
        <v>48.567399999999999</v>
      </c>
      <c r="L703" s="25">
        <v>0</v>
      </c>
      <c r="O703" s="3">
        <f>17+12</f>
        <v>29</v>
      </c>
      <c r="P703" s="3">
        <f>14.61+10.28</f>
        <v>24.89</v>
      </c>
      <c r="Q703" s="3">
        <f>P703-G703</f>
        <v>-5.8099999999999987</v>
      </c>
      <c r="R703" s="10">
        <f>Q703/O703</f>
        <v>-0.20034482758620686</v>
      </c>
      <c r="S703" s="13">
        <v>45855</v>
      </c>
      <c r="T703" s="7">
        <f ca="1">IF(S703&lt;&gt;"",S703-B703,TODAY()-B703)</f>
        <v>0</v>
      </c>
    </row>
    <row r="704" spans="1:20">
      <c r="A704">
        <v>772</v>
      </c>
      <c r="B704" s="12">
        <v>45855</v>
      </c>
      <c r="D704" t="s">
        <v>809</v>
      </c>
      <c r="E704" t="s">
        <v>638</v>
      </c>
      <c r="F704" t="s">
        <v>294</v>
      </c>
      <c r="G704" s="3">
        <f>(7*4)</f>
        <v>28</v>
      </c>
      <c r="H704" s="3">
        <f>G704*0.4</f>
        <v>11.200000000000001</v>
      </c>
      <c r="I704" s="8">
        <f>G704*0.15</f>
        <v>4.2</v>
      </c>
      <c r="J704" s="3">
        <f>G704+H704</f>
        <v>39.200000000000003</v>
      </c>
      <c r="K704" s="3">
        <f>J704*1.13</f>
        <v>44.295999999999999</v>
      </c>
      <c r="L704" s="25">
        <v>0</v>
      </c>
      <c r="O704" s="3">
        <f>15+10+15+12+16+9</f>
        <v>77</v>
      </c>
      <c r="P704" s="3">
        <f>12.82+8.52+13.02+10.17+13.71+7.5</f>
        <v>65.740000000000009</v>
      </c>
      <c r="Q704" s="3">
        <f>P704-G704</f>
        <v>37.740000000000009</v>
      </c>
      <c r="R704" s="10">
        <f>Q704/O704</f>
        <v>0.49012987012987025</v>
      </c>
      <c r="S704" s="13">
        <v>45855</v>
      </c>
      <c r="T704" s="7">
        <f ca="1">IF(S704&lt;&gt;"",S704-B704,TODAY()-B704)</f>
        <v>0</v>
      </c>
    </row>
    <row r="705" spans="1:20">
      <c r="A705">
        <v>773</v>
      </c>
      <c r="B705" s="12">
        <v>45855</v>
      </c>
      <c r="D705" t="s">
        <v>809</v>
      </c>
      <c r="E705" t="s">
        <v>1134</v>
      </c>
      <c r="F705" t="s">
        <v>294</v>
      </c>
      <c r="G705" s="3">
        <v>0.01</v>
      </c>
      <c r="H705" s="3">
        <f>G705*0.4</f>
        <v>4.0000000000000001E-3</v>
      </c>
      <c r="I705" s="8">
        <f>G705*0.15</f>
        <v>1.5E-3</v>
      </c>
      <c r="J705" s="3">
        <f>G705+H705</f>
        <v>1.4E-2</v>
      </c>
      <c r="K705" s="3">
        <f>J705*1.13</f>
        <v>1.5819999999999997E-2</v>
      </c>
      <c r="L705" s="25">
        <v>0</v>
      </c>
      <c r="O705" s="3">
        <v>38</v>
      </c>
      <c r="P705" s="3">
        <v>33.17</v>
      </c>
      <c r="Q705" s="3">
        <f>P705-G705</f>
        <v>33.160000000000004</v>
      </c>
      <c r="R705" s="10">
        <f>Q705/O705</f>
        <v>0.87263157894736854</v>
      </c>
      <c r="S705" s="13">
        <v>45855</v>
      </c>
      <c r="T705" s="7">
        <f ca="1">IF(S705&lt;&gt;"",S705-B705,TODAY()-B705)</f>
        <v>0</v>
      </c>
    </row>
    <row r="706" spans="1:20">
      <c r="A706">
        <v>774</v>
      </c>
      <c r="B706" s="12">
        <v>45855</v>
      </c>
      <c r="D706" t="s">
        <v>809</v>
      </c>
      <c r="E706" t="s">
        <v>1135</v>
      </c>
      <c r="F706" t="s">
        <v>294</v>
      </c>
      <c r="G706" s="3">
        <f>4*8.75</f>
        <v>35</v>
      </c>
      <c r="H706" s="3">
        <f>G706*0.4</f>
        <v>14</v>
      </c>
      <c r="I706" s="8">
        <f>G706*0.15</f>
        <v>5.25</v>
      </c>
      <c r="J706" s="3">
        <f>G706+H706</f>
        <v>49</v>
      </c>
      <c r="K706" s="3">
        <f>J706*1.13</f>
        <v>55.37</v>
      </c>
      <c r="L706" s="25">
        <v>0</v>
      </c>
      <c r="O706" s="3">
        <f>14+17+23</f>
        <v>54</v>
      </c>
      <c r="P706" s="3">
        <f>11.96+14.58+20.14</f>
        <v>46.68</v>
      </c>
      <c r="Q706" s="3">
        <f>P706-G706</f>
        <v>11.68</v>
      </c>
      <c r="R706" s="10">
        <f>Q706/O706</f>
        <v>0.21629629629629629</v>
      </c>
      <c r="S706" s="13">
        <v>45855</v>
      </c>
      <c r="T706" s="7">
        <f ca="1">IF(S706&lt;&gt;"",S706-B706,TODAY()-B706)</f>
        <v>0</v>
      </c>
    </row>
    <row r="707" spans="1:20">
      <c r="A707">
        <v>775</v>
      </c>
      <c r="B707" s="12">
        <v>45855</v>
      </c>
      <c r="D707" t="s">
        <v>809</v>
      </c>
      <c r="E707" t="s">
        <v>957</v>
      </c>
      <c r="F707" t="s">
        <v>294</v>
      </c>
      <c r="G707" s="3">
        <f>31.46+(40*0.4)</f>
        <v>47.46</v>
      </c>
      <c r="H707" s="3">
        <f>G707*0.4</f>
        <v>18.984000000000002</v>
      </c>
      <c r="I707" s="8">
        <f>G707*0.15</f>
        <v>7.1189999999999998</v>
      </c>
      <c r="J707" s="3">
        <f>G707+H707</f>
        <v>66.444000000000003</v>
      </c>
      <c r="K707" s="3">
        <f>J707*1.13</f>
        <v>75.08171999999999</v>
      </c>
      <c r="L707" s="25">
        <v>0</v>
      </c>
      <c r="O707" s="3">
        <v>0</v>
      </c>
      <c r="P707" s="3">
        <v>0</v>
      </c>
      <c r="Q707" s="3">
        <f>P707-G707</f>
        <v>-47.46</v>
      </c>
      <c r="R707" s="10" t="e">
        <f>Q707/O707</f>
        <v>#DIV/0!</v>
      </c>
      <c r="S707" s="13">
        <v>45855</v>
      </c>
      <c r="T707" s="7">
        <f ca="1">IF(S707&lt;&gt;"",S707-B707,TODAY()-B707)</f>
        <v>0</v>
      </c>
    </row>
    <row r="708" spans="1:20">
      <c r="A708">
        <v>776</v>
      </c>
      <c r="B708" s="12">
        <v>45855</v>
      </c>
      <c r="D708" t="s">
        <v>809</v>
      </c>
      <c r="E708" t="s">
        <v>821</v>
      </c>
      <c r="F708" t="s">
        <v>294</v>
      </c>
      <c r="G708" s="3">
        <v>159.88999999999999</v>
      </c>
      <c r="H708" s="3">
        <f>G708*0.4</f>
        <v>63.955999999999996</v>
      </c>
      <c r="I708" s="8">
        <f>G708*0.15</f>
        <v>23.983499999999996</v>
      </c>
      <c r="J708" s="3">
        <f>G708+H708</f>
        <v>223.84599999999998</v>
      </c>
      <c r="K708" s="3">
        <f>J708*1.13</f>
        <v>252.94597999999993</v>
      </c>
      <c r="L708" s="25">
        <v>0</v>
      </c>
      <c r="O708" s="3">
        <v>0</v>
      </c>
      <c r="P708" s="3">
        <v>0</v>
      </c>
      <c r="Q708" s="3">
        <f>P708-G708</f>
        <v>-159.88999999999999</v>
      </c>
      <c r="R708" s="10" t="e">
        <f>Q708/O708</f>
        <v>#DIV/0!</v>
      </c>
      <c r="S708" s="13">
        <v>45855</v>
      </c>
      <c r="T708" s="7">
        <f ca="1">IF(S708&lt;&gt;"",S708-B708,TODAY()-B708)</f>
        <v>0</v>
      </c>
    </row>
    <row r="709" spans="1:20" hidden="1">
      <c r="A709">
        <v>777</v>
      </c>
      <c r="B709" s="12">
        <v>45856</v>
      </c>
      <c r="D709" t="s">
        <v>809</v>
      </c>
      <c r="E709" t="s">
        <v>1137</v>
      </c>
      <c r="F709" t="s">
        <v>309</v>
      </c>
      <c r="G709" s="3">
        <v>257.55</v>
      </c>
      <c r="H709" s="3">
        <f>G709*0.4</f>
        <v>103.02000000000001</v>
      </c>
      <c r="I709" s="8">
        <f>G709*0.15</f>
        <v>38.6325</v>
      </c>
      <c r="J709" s="3">
        <f>G709+H709</f>
        <v>360.57000000000005</v>
      </c>
      <c r="K709" s="3">
        <f>J709*1.13</f>
        <v>407.44409999999999</v>
      </c>
      <c r="L709" s="25">
        <v>1</v>
      </c>
      <c r="Q709" s="3">
        <f>P709-G709</f>
        <v>-257.55</v>
      </c>
      <c r="R709" s="10" t="e">
        <f>Q709/O709</f>
        <v>#DIV/0!</v>
      </c>
      <c r="T709" s="7">
        <f ca="1">IF(S709&lt;&gt;"",S709-B709,TODAY()-B709)</f>
        <v>10</v>
      </c>
    </row>
    <row r="710" spans="1:20">
      <c r="A710">
        <v>778</v>
      </c>
      <c r="B710" s="12">
        <v>45856</v>
      </c>
      <c r="D710" t="s">
        <v>809</v>
      </c>
      <c r="E710" t="s">
        <v>1136</v>
      </c>
      <c r="F710" t="s">
        <v>294</v>
      </c>
      <c r="G710" s="3">
        <v>20</v>
      </c>
      <c r="H710" s="3">
        <f>G710*0.4</f>
        <v>8</v>
      </c>
      <c r="I710" s="8">
        <f>G710*0.15</f>
        <v>3</v>
      </c>
      <c r="J710" s="3">
        <f>G710+H710</f>
        <v>28</v>
      </c>
      <c r="K710" s="3">
        <f>J710*1.13</f>
        <v>31.639999999999997</v>
      </c>
      <c r="L710" s="25">
        <v>0</v>
      </c>
      <c r="O710" s="3">
        <v>25</v>
      </c>
      <c r="P710" s="3">
        <v>21.69</v>
      </c>
      <c r="Q710" s="3">
        <f>P710-G710</f>
        <v>1.6900000000000013</v>
      </c>
      <c r="R710" s="10">
        <f>Q710/O710</f>
        <v>6.7600000000000049E-2</v>
      </c>
      <c r="S710" s="13">
        <v>45856</v>
      </c>
      <c r="T710" s="7">
        <f ca="1">IF(S710&lt;&gt;"",S710-B710,TODAY()-B710)</f>
        <v>0</v>
      </c>
    </row>
    <row r="711" spans="1:20">
      <c r="A711">
        <v>779</v>
      </c>
      <c r="B711" s="12">
        <v>45856</v>
      </c>
      <c r="D711" t="s">
        <v>809</v>
      </c>
      <c r="E711" t="s">
        <v>1133</v>
      </c>
      <c r="F711" t="s">
        <v>294</v>
      </c>
      <c r="G711" s="3">
        <v>16.04</v>
      </c>
      <c r="H711" s="3">
        <f>G711*0.4</f>
        <v>6.4160000000000004</v>
      </c>
      <c r="I711" s="8">
        <f>G711*0.15</f>
        <v>2.4059999999999997</v>
      </c>
      <c r="J711" s="3">
        <f>G711+H711</f>
        <v>22.456</v>
      </c>
      <c r="K711" s="3">
        <f>J711*1.13</f>
        <v>25.375279999999997</v>
      </c>
      <c r="L711" s="25">
        <v>0</v>
      </c>
      <c r="O711" s="3">
        <v>21</v>
      </c>
      <c r="P711" s="3">
        <v>18.37</v>
      </c>
      <c r="Q711" s="3">
        <f>P711-G711</f>
        <v>2.3300000000000018</v>
      </c>
      <c r="R711" s="10">
        <f>Q711/O711</f>
        <v>0.11095238095238104</v>
      </c>
      <c r="S711" s="13">
        <v>45856</v>
      </c>
      <c r="T711" s="7">
        <f ca="1">IF(S711&lt;&gt;"",S711-B711,TODAY()-B711)</f>
        <v>0</v>
      </c>
    </row>
    <row r="712" spans="1:20">
      <c r="A712">
        <v>780</v>
      </c>
      <c r="B712" s="12">
        <v>45856</v>
      </c>
      <c r="D712" t="s">
        <v>809</v>
      </c>
      <c r="E712" t="s">
        <v>638</v>
      </c>
      <c r="F712" t="s">
        <v>294</v>
      </c>
      <c r="G712" s="3">
        <f>4*13</f>
        <v>52</v>
      </c>
      <c r="H712" s="3">
        <f>G712*0.4</f>
        <v>20.8</v>
      </c>
      <c r="I712" s="8">
        <f>G712*0.15</f>
        <v>7.8</v>
      </c>
      <c r="J712" s="3">
        <f>G712+H712</f>
        <v>72.8</v>
      </c>
      <c r="K712" s="3">
        <f>J712*1.13</f>
        <v>82.263999999999996</v>
      </c>
      <c r="L712" s="25">
        <v>0</v>
      </c>
      <c r="O712" s="3">
        <v>106</v>
      </c>
      <c r="P712" s="3">
        <f>6.59+5.92+6.62+5.03+8.37+21.45+12.79+6.72+6.81</f>
        <v>80.300000000000011</v>
      </c>
      <c r="Q712" s="3">
        <f>P712-G712</f>
        <v>28.300000000000011</v>
      </c>
      <c r="R712" s="10">
        <f>Q712/O712</f>
        <v>0.26698113207547181</v>
      </c>
      <c r="S712" s="13">
        <v>45856</v>
      </c>
      <c r="T712" s="7">
        <f ca="1">IF(S712&lt;&gt;"",S712-B712,TODAY()-B712)</f>
        <v>0</v>
      </c>
    </row>
    <row r="713" spans="1:20">
      <c r="A713">
        <v>781</v>
      </c>
      <c r="B713" s="12">
        <v>45856</v>
      </c>
      <c r="D713" t="s">
        <v>809</v>
      </c>
      <c r="E713" t="s">
        <v>957</v>
      </c>
      <c r="F713" t="s">
        <v>294</v>
      </c>
      <c r="G713" s="3">
        <f>(36*0.4)+26.88</f>
        <v>41.28</v>
      </c>
      <c r="H713" s="3">
        <f>G713*0.4</f>
        <v>16.512</v>
      </c>
      <c r="I713" s="8">
        <f>G713*0.15</f>
        <v>6.1920000000000002</v>
      </c>
      <c r="J713" s="3">
        <f>G713+H713</f>
        <v>57.792000000000002</v>
      </c>
      <c r="K713" s="3">
        <f>J713*1.13</f>
        <v>65.304959999999994</v>
      </c>
      <c r="L713" s="25">
        <v>0</v>
      </c>
      <c r="O713" s="3">
        <v>0</v>
      </c>
      <c r="P713" s="3">
        <v>0</v>
      </c>
      <c r="Q713" s="3">
        <f>P713-G713</f>
        <v>-41.28</v>
      </c>
      <c r="R713" s="10" t="e">
        <f>Q713/O713</f>
        <v>#DIV/0!</v>
      </c>
      <c r="S713" s="13">
        <v>45856</v>
      </c>
      <c r="T713" s="7">
        <f ca="1">IF(S713&lt;&gt;"",S713-B713,TODAY()-B713)</f>
        <v>0</v>
      </c>
    </row>
    <row r="714" spans="1:20">
      <c r="A714">
        <v>782</v>
      </c>
      <c r="B714" s="12">
        <v>45856</v>
      </c>
      <c r="D714" t="s">
        <v>809</v>
      </c>
      <c r="E714" t="s">
        <v>821</v>
      </c>
      <c r="F714" t="s">
        <v>294</v>
      </c>
      <c r="G714" s="3">
        <v>144.04</v>
      </c>
      <c r="H714" s="3">
        <f>G714*0.4</f>
        <v>57.616</v>
      </c>
      <c r="I714" s="8">
        <f>G714*0.15</f>
        <v>21.605999999999998</v>
      </c>
      <c r="J714" s="3">
        <f>G714+H714</f>
        <v>201.65600000000001</v>
      </c>
      <c r="K714" s="3">
        <f>J714*1.13</f>
        <v>227.87127999999998</v>
      </c>
      <c r="L714" s="25">
        <v>0</v>
      </c>
      <c r="O714" s="3">
        <v>0</v>
      </c>
      <c r="P714" s="3">
        <v>0</v>
      </c>
      <c r="Q714" s="3">
        <f>P714-G714</f>
        <v>-144.04</v>
      </c>
      <c r="R714" s="10" t="e">
        <f>Q714/O714</f>
        <v>#DIV/0!</v>
      </c>
      <c r="S714" s="13">
        <v>45856</v>
      </c>
      <c r="T714" s="7">
        <f ca="1">IF(S714&lt;&gt;"",S714-B714,TODAY()-B714)</f>
        <v>0</v>
      </c>
    </row>
    <row r="715" spans="1:20">
      <c r="A715">
        <v>783</v>
      </c>
      <c r="B715" s="12">
        <v>45858</v>
      </c>
      <c r="D715" t="s">
        <v>809</v>
      </c>
      <c r="E715" t="s">
        <v>1086</v>
      </c>
      <c r="F715" t="s">
        <v>294</v>
      </c>
      <c r="G715" s="3">
        <v>0.01</v>
      </c>
      <c r="H715" s="3">
        <f>G715*0.4</f>
        <v>4.0000000000000001E-3</v>
      </c>
      <c r="I715" s="8">
        <f>G715*0.15</f>
        <v>1.5E-3</v>
      </c>
      <c r="J715" s="3">
        <f>G715+H715</f>
        <v>1.4E-2</v>
      </c>
      <c r="K715" s="3">
        <f>J715*1.13</f>
        <v>1.5819999999999997E-2</v>
      </c>
      <c r="L715" s="25">
        <v>0</v>
      </c>
      <c r="O715" s="3">
        <v>8</v>
      </c>
      <c r="P715" s="3">
        <v>6.8</v>
      </c>
      <c r="Q715" s="3">
        <f>P715-G715</f>
        <v>6.79</v>
      </c>
      <c r="R715" s="10">
        <f>Q715/O715</f>
        <v>0.84875</v>
      </c>
      <c r="S715" s="13">
        <v>45858</v>
      </c>
      <c r="T715" s="7">
        <f ca="1">IF(S715&lt;&gt;"",S715-B715,TODAY()-B715)</f>
        <v>0</v>
      </c>
    </row>
    <row r="716" spans="1:20">
      <c r="A716">
        <v>784</v>
      </c>
      <c r="B716" s="12">
        <v>45858</v>
      </c>
      <c r="D716" t="s">
        <v>809</v>
      </c>
      <c r="E716" t="s">
        <v>638</v>
      </c>
      <c r="F716" t="s">
        <v>294</v>
      </c>
      <c r="G716" s="3">
        <f>12*4</f>
        <v>48</v>
      </c>
      <c r="H716" s="3">
        <f>G716*0.4</f>
        <v>19.200000000000003</v>
      </c>
      <c r="I716" s="8">
        <f>G716*0.15</f>
        <v>7.1999999999999993</v>
      </c>
      <c r="J716" s="3">
        <f>G716+H716</f>
        <v>67.2</v>
      </c>
      <c r="K716" s="3">
        <f>J716*1.13</f>
        <v>75.935999999999993</v>
      </c>
      <c r="L716" s="25">
        <v>0</v>
      </c>
      <c r="O716" s="3">
        <f>8+17+32+17+18+7</f>
        <v>99</v>
      </c>
      <c r="P716" s="3">
        <f>6.59+14.61+27.96+14.81+15.45+5.92</f>
        <v>85.34</v>
      </c>
      <c r="Q716" s="3">
        <f>P716-G716</f>
        <v>37.340000000000003</v>
      </c>
      <c r="R716" s="10">
        <f>Q716/O716</f>
        <v>0.37717171717171721</v>
      </c>
      <c r="S716" s="13">
        <v>45858</v>
      </c>
      <c r="T716" s="7">
        <f ca="1">IF(S716&lt;&gt;"",S716-B716,TODAY()-B716)</f>
        <v>0</v>
      </c>
    </row>
    <row r="717" spans="1:20">
      <c r="A717">
        <v>785</v>
      </c>
      <c r="B717" s="12">
        <v>45858</v>
      </c>
      <c r="D717" t="s">
        <v>809</v>
      </c>
      <c r="E717" t="s">
        <v>1136</v>
      </c>
      <c r="F717" t="s">
        <v>294</v>
      </c>
      <c r="G717" s="3">
        <v>40</v>
      </c>
      <c r="H717" s="3">
        <f>G717*0.4</f>
        <v>16</v>
      </c>
      <c r="I717" s="8">
        <f>G717*0.15</f>
        <v>6</v>
      </c>
      <c r="J717" s="3">
        <f>G717+H717</f>
        <v>56</v>
      </c>
      <c r="K717" s="3">
        <f>J717*1.13</f>
        <v>63.279999999999994</v>
      </c>
      <c r="L717" s="25">
        <v>0</v>
      </c>
      <c r="O717" s="3">
        <f>15+23</f>
        <v>38</v>
      </c>
      <c r="P717" s="3">
        <f>12.83+20.08</f>
        <v>32.909999999999997</v>
      </c>
      <c r="Q717" s="3">
        <f>P717-G717</f>
        <v>-7.0900000000000034</v>
      </c>
      <c r="R717" s="10">
        <f>Q717/O717</f>
        <v>-0.18657894736842115</v>
      </c>
      <c r="S717" s="13">
        <v>45858</v>
      </c>
      <c r="T717" s="7">
        <f ca="1">IF(S717&lt;&gt;"",S717-B717,TODAY()-B717)</f>
        <v>0</v>
      </c>
    </row>
    <row r="718" spans="1:20">
      <c r="A718">
        <v>786</v>
      </c>
      <c r="B718" s="12">
        <v>45858</v>
      </c>
      <c r="D718" t="s">
        <v>809</v>
      </c>
      <c r="E718" t="s">
        <v>957</v>
      </c>
      <c r="F718" t="s">
        <v>294</v>
      </c>
      <c r="G718" s="3">
        <f>(30*0.4)+23.51</f>
        <v>35.510000000000005</v>
      </c>
      <c r="H718" s="3">
        <f>G718*0.4</f>
        <v>14.204000000000002</v>
      </c>
      <c r="I718" s="8">
        <f>G718*0.15</f>
        <v>5.3265000000000002</v>
      </c>
      <c r="J718" s="3">
        <f>G718+H718</f>
        <v>49.714000000000006</v>
      </c>
      <c r="K718" s="3">
        <f>J718*1.13</f>
        <v>56.176819999999999</v>
      </c>
      <c r="L718" s="25">
        <v>0</v>
      </c>
      <c r="O718" s="3">
        <v>0</v>
      </c>
      <c r="P718" s="3">
        <v>0</v>
      </c>
      <c r="Q718" s="3">
        <f>P718-G718</f>
        <v>-35.510000000000005</v>
      </c>
      <c r="R718" s="10" t="e">
        <f>Q718/O718</f>
        <v>#DIV/0!</v>
      </c>
      <c r="S718" s="13">
        <v>45858</v>
      </c>
      <c r="T718" s="7">
        <f ca="1">IF(S718&lt;&gt;"",S718-B718,TODAY()-B718)</f>
        <v>0</v>
      </c>
    </row>
    <row r="719" spans="1:20">
      <c r="A719">
        <v>787</v>
      </c>
      <c r="B719" s="12">
        <v>45858</v>
      </c>
      <c r="D719" t="s">
        <v>809</v>
      </c>
      <c r="E719" t="s">
        <v>821</v>
      </c>
      <c r="F719" t="s">
        <v>294</v>
      </c>
      <c r="G719" s="3">
        <v>135.66</v>
      </c>
      <c r="H719" s="3">
        <f>G719*0.4</f>
        <v>54.264000000000003</v>
      </c>
      <c r="I719" s="8">
        <f>G719*0.15</f>
        <v>20.349</v>
      </c>
      <c r="J719" s="3">
        <f>G719+H719</f>
        <v>189.92400000000001</v>
      </c>
      <c r="K719" s="3">
        <f>J719*1.13</f>
        <v>214.61411999999999</v>
      </c>
      <c r="L719" s="25">
        <v>0</v>
      </c>
      <c r="O719" s="3">
        <v>0</v>
      </c>
      <c r="P719" s="3">
        <v>0</v>
      </c>
      <c r="Q719" s="3">
        <f>P719-G719</f>
        <v>-135.66</v>
      </c>
      <c r="R719" s="10" t="e">
        <f>Q719/O719</f>
        <v>#DIV/0!</v>
      </c>
      <c r="S719" s="13">
        <v>45858</v>
      </c>
      <c r="T719" s="7">
        <f ca="1">IF(S719&lt;&gt;"",S719-B719,TODAY()-B719)</f>
        <v>0</v>
      </c>
    </row>
    <row r="720" spans="1:20" hidden="1">
      <c r="A720">
        <v>788</v>
      </c>
      <c r="B720" s="12">
        <v>45855</v>
      </c>
      <c r="D720" t="s">
        <v>1123</v>
      </c>
      <c r="E720" t="s">
        <v>1138</v>
      </c>
      <c r="F720" t="s">
        <v>353</v>
      </c>
      <c r="G720" s="3">
        <v>189</v>
      </c>
      <c r="H720" s="3">
        <f>G720*0.4</f>
        <v>75.600000000000009</v>
      </c>
      <c r="I720" s="8">
        <f>G720*0.15</f>
        <v>28.349999999999998</v>
      </c>
      <c r="J720" s="3">
        <f>G720+H720</f>
        <v>264.60000000000002</v>
      </c>
      <c r="K720" s="3">
        <f>J720*1.13</f>
        <v>298.99799999999999</v>
      </c>
      <c r="L720" s="25">
        <v>1</v>
      </c>
      <c r="Q720" s="3">
        <f>P720-G720</f>
        <v>-189</v>
      </c>
      <c r="R720" s="10" t="e">
        <f>Q720/O720</f>
        <v>#DIV/0!</v>
      </c>
      <c r="T720" s="7">
        <f ca="1">IF(S720&lt;&gt;"",S720-B720,TODAY()-B720)</f>
        <v>11</v>
      </c>
    </row>
    <row r="721" spans="1:20">
      <c r="A721">
        <v>789</v>
      </c>
      <c r="B721" s="12">
        <v>45855</v>
      </c>
      <c r="D721" t="s">
        <v>1094</v>
      </c>
      <c r="E721" t="s">
        <v>1139</v>
      </c>
      <c r="F721" t="s">
        <v>353</v>
      </c>
      <c r="G721" s="3">
        <v>26.21</v>
      </c>
      <c r="H721" s="3">
        <f>G721*0.4</f>
        <v>10.484000000000002</v>
      </c>
      <c r="I721" s="8">
        <f>G721*0.15</f>
        <v>3.9314999999999998</v>
      </c>
      <c r="J721" s="3">
        <f>G721+H721</f>
        <v>36.694000000000003</v>
      </c>
      <c r="K721" s="3">
        <f>J721*1.13</f>
        <v>41.464219999999997</v>
      </c>
      <c r="L721" s="25">
        <v>0</v>
      </c>
      <c r="O721" s="3">
        <v>35</v>
      </c>
      <c r="P721" s="3">
        <v>30.53</v>
      </c>
      <c r="Q721" s="3">
        <f>P721-G721</f>
        <v>4.32</v>
      </c>
      <c r="R721" s="10">
        <f>Q721/O721</f>
        <v>0.12342857142857144</v>
      </c>
      <c r="S721" s="13">
        <v>45864</v>
      </c>
      <c r="T721" s="7">
        <f ca="1">IF(S721&lt;&gt;"",S721-B721,TODAY()-B721)</f>
        <v>9</v>
      </c>
    </row>
    <row r="722" spans="1:20">
      <c r="A722">
        <v>790</v>
      </c>
      <c r="B722" s="12">
        <v>45855</v>
      </c>
      <c r="D722" t="s">
        <v>1094</v>
      </c>
      <c r="E722" t="s">
        <v>1140</v>
      </c>
      <c r="F722" t="s">
        <v>309</v>
      </c>
      <c r="G722" s="3">
        <v>27.34</v>
      </c>
      <c r="H722" s="3">
        <f>G722*0.4</f>
        <v>10.936</v>
      </c>
      <c r="I722" s="8">
        <f>G722*0.15</f>
        <v>4.101</v>
      </c>
      <c r="J722" s="3">
        <f>G722+H722</f>
        <v>38.275999999999996</v>
      </c>
      <c r="K722" s="3">
        <f>J722*1.13</f>
        <v>43.251879999999993</v>
      </c>
      <c r="L722" s="25">
        <v>0</v>
      </c>
      <c r="O722" s="3">
        <v>15</v>
      </c>
      <c r="P722" s="3">
        <v>12.78</v>
      </c>
      <c r="Q722" s="3">
        <f>P722-G722</f>
        <v>-14.56</v>
      </c>
      <c r="R722" s="10">
        <f>Q722/O722</f>
        <v>-0.97066666666666668</v>
      </c>
      <c r="S722" s="13">
        <v>45864</v>
      </c>
      <c r="T722" s="7">
        <f ca="1">IF(S722&lt;&gt;"",S722-B722,TODAY()-B722)</f>
        <v>9</v>
      </c>
    </row>
    <row r="723" spans="1:20" hidden="1">
      <c r="A723">
        <v>791</v>
      </c>
      <c r="B723" s="12">
        <v>45855</v>
      </c>
      <c r="D723" t="s">
        <v>1094</v>
      </c>
      <c r="E723" t="s">
        <v>1141</v>
      </c>
      <c r="F723" t="s">
        <v>1132</v>
      </c>
      <c r="G723" s="3">
        <v>29</v>
      </c>
      <c r="H723" s="3">
        <f>G723*0.4</f>
        <v>11.600000000000001</v>
      </c>
      <c r="I723" s="8">
        <f>G723*0.15</f>
        <v>4.3499999999999996</v>
      </c>
      <c r="J723" s="3">
        <f>G723+H723</f>
        <v>40.6</v>
      </c>
      <c r="K723" s="3">
        <f>J723*1.13</f>
        <v>45.878</v>
      </c>
      <c r="L723" s="25">
        <v>1</v>
      </c>
      <c r="Q723" s="3">
        <f>P723-G723</f>
        <v>-29</v>
      </c>
      <c r="R723" s="10" t="e">
        <f>Q723/O723</f>
        <v>#DIV/0!</v>
      </c>
      <c r="T723" s="7">
        <f ca="1">IF(S723&lt;&gt;"",S723-B723,TODAY()-B723)</f>
        <v>11</v>
      </c>
    </row>
    <row r="724" spans="1:20" hidden="1">
      <c r="A724">
        <v>792</v>
      </c>
      <c r="B724" s="12">
        <v>45856</v>
      </c>
      <c r="D724" t="s">
        <v>973</v>
      </c>
      <c r="E724" t="s">
        <v>1142</v>
      </c>
      <c r="F724" t="s">
        <v>309</v>
      </c>
      <c r="G724" s="3">
        <v>428.21</v>
      </c>
      <c r="H724" s="3">
        <f>G724*0.4</f>
        <v>171.28399999999999</v>
      </c>
      <c r="I724" s="8">
        <f>G724*0.15</f>
        <v>64.231499999999997</v>
      </c>
      <c r="J724" s="3">
        <f>G724+H724</f>
        <v>599.49399999999991</v>
      </c>
      <c r="K724" s="3">
        <f>J724*1.13</f>
        <v>677.42821999999978</v>
      </c>
      <c r="L724" s="25">
        <v>1</v>
      </c>
      <c r="Q724" s="3">
        <f>P724-G724</f>
        <v>-428.21</v>
      </c>
      <c r="R724" s="10" t="e">
        <f>Q724/O724</f>
        <v>#DIV/0!</v>
      </c>
      <c r="T724" s="7">
        <f ca="1">IF(S724&lt;&gt;"",S724-B724,TODAY()-B724)</f>
        <v>10</v>
      </c>
    </row>
    <row r="725" spans="1:20" hidden="1">
      <c r="A725">
        <v>793</v>
      </c>
      <c r="B725" s="12">
        <v>45856</v>
      </c>
      <c r="D725" t="s">
        <v>19</v>
      </c>
      <c r="E725" t="s">
        <v>1143</v>
      </c>
      <c r="F725" t="s">
        <v>309</v>
      </c>
      <c r="G725" s="3">
        <v>64.209999999999994</v>
      </c>
      <c r="H725" s="3">
        <f>G725*0.4</f>
        <v>25.683999999999997</v>
      </c>
      <c r="I725" s="8">
        <f>G725*0.15</f>
        <v>9.6314999999999991</v>
      </c>
      <c r="J725" s="3">
        <f>G725+H725</f>
        <v>89.893999999999991</v>
      </c>
      <c r="K725" s="3">
        <f>J725*1.13</f>
        <v>101.58021999999998</v>
      </c>
      <c r="L725" s="25">
        <v>1</v>
      </c>
      <c r="Q725" s="3">
        <f>P725-G725</f>
        <v>-64.209999999999994</v>
      </c>
      <c r="R725" s="10" t="e">
        <f>Q725/O725</f>
        <v>#DIV/0!</v>
      </c>
      <c r="T725" s="7">
        <f ca="1">IF(S725&lt;&gt;"",S725-B725,TODAY()-B725)</f>
        <v>10</v>
      </c>
    </row>
    <row r="726" spans="1:20" hidden="1">
      <c r="A726">
        <v>794</v>
      </c>
      <c r="B726" s="12">
        <v>45857</v>
      </c>
      <c r="D726" t="s">
        <v>39</v>
      </c>
      <c r="E726" t="s">
        <v>958</v>
      </c>
      <c r="F726" t="s">
        <v>46</v>
      </c>
      <c r="G726" s="3">
        <v>27.04</v>
      </c>
      <c r="H726" s="3">
        <f>G726*0.4</f>
        <v>10.816000000000001</v>
      </c>
      <c r="I726" s="8">
        <f>G726*0.15</f>
        <v>4.056</v>
      </c>
      <c r="J726" s="3">
        <f>G726+H726</f>
        <v>37.856000000000002</v>
      </c>
      <c r="K726" s="3">
        <f>J726*1.13</f>
        <v>42.777279999999998</v>
      </c>
      <c r="L726" s="25">
        <v>1</v>
      </c>
      <c r="Q726" s="3">
        <f>P726-G726</f>
        <v>-27.04</v>
      </c>
      <c r="R726" s="10" t="e">
        <f>Q726/O726</f>
        <v>#DIV/0!</v>
      </c>
      <c r="T726" s="7">
        <f ca="1">IF(S726&lt;&gt;"",S726-B726,TODAY()-B726)</f>
        <v>9</v>
      </c>
    </row>
    <row r="727" spans="1:20" hidden="1">
      <c r="A727">
        <v>795</v>
      </c>
      <c r="B727" s="12">
        <v>45857</v>
      </c>
      <c r="D727" t="s">
        <v>39</v>
      </c>
      <c r="E727" t="s">
        <v>958</v>
      </c>
      <c r="F727" t="s">
        <v>46</v>
      </c>
      <c r="G727" s="3">
        <v>27.04</v>
      </c>
      <c r="H727" s="3">
        <f>G727*0.4</f>
        <v>10.816000000000001</v>
      </c>
      <c r="I727" s="8">
        <f>G727*0.15</f>
        <v>4.056</v>
      </c>
      <c r="J727" s="3">
        <f>G727+H727</f>
        <v>37.856000000000002</v>
      </c>
      <c r="K727" s="3">
        <f>J727*1.13</f>
        <v>42.777279999999998</v>
      </c>
      <c r="L727" s="25">
        <v>1</v>
      </c>
      <c r="Q727" s="3">
        <f>P727-G727</f>
        <v>-27.04</v>
      </c>
      <c r="R727" s="10" t="e">
        <f>Q727/O727</f>
        <v>#DIV/0!</v>
      </c>
      <c r="T727" s="7">
        <f ca="1">IF(S727&lt;&gt;"",S727-B727,TODAY()-B727)</f>
        <v>9</v>
      </c>
    </row>
    <row r="728" spans="1:20" hidden="1">
      <c r="A728">
        <v>796</v>
      </c>
      <c r="B728" s="12">
        <v>45857</v>
      </c>
      <c r="D728" t="s">
        <v>39</v>
      </c>
      <c r="E728" t="s">
        <v>958</v>
      </c>
      <c r="F728" t="s">
        <v>46</v>
      </c>
      <c r="G728" s="3">
        <v>27.04</v>
      </c>
      <c r="H728" s="3">
        <f>G728*0.4</f>
        <v>10.816000000000001</v>
      </c>
      <c r="I728" s="8">
        <f>G728*0.15</f>
        <v>4.056</v>
      </c>
      <c r="J728" s="3">
        <f>G728+H728</f>
        <v>37.856000000000002</v>
      </c>
      <c r="K728" s="3">
        <f>J728*1.13</f>
        <v>42.777279999999998</v>
      </c>
      <c r="L728" s="25">
        <v>1</v>
      </c>
      <c r="Q728" s="3">
        <f>P728-G728</f>
        <v>-27.04</v>
      </c>
      <c r="R728" s="10" t="e">
        <f>Q728/O728</f>
        <v>#DIV/0!</v>
      </c>
      <c r="T728" s="7">
        <f ca="1">IF(S728&lt;&gt;"",S728-B728,TODAY()-B728)</f>
        <v>9</v>
      </c>
    </row>
    <row r="729" spans="1:20" hidden="1">
      <c r="A729">
        <v>797</v>
      </c>
      <c r="B729" s="12">
        <v>45857</v>
      </c>
      <c r="D729" t="s">
        <v>39</v>
      </c>
      <c r="E729" t="s">
        <v>958</v>
      </c>
      <c r="F729" t="s">
        <v>46</v>
      </c>
      <c r="G729" s="3">
        <v>27.04</v>
      </c>
      <c r="H729" s="3">
        <f>G729*0.4</f>
        <v>10.816000000000001</v>
      </c>
      <c r="I729" s="8">
        <f>G729*0.15</f>
        <v>4.056</v>
      </c>
      <c r="J729" s="3">
        <f>G729+H729</f>
        <v>37.856000000000002</v>
      </c>
      <c r="K729" s="3">
        <f>J729*1.13</f>
        <v>42.777279999999998</v>
      </c>
      <c r="L729" s="25">
        <v>1</v>
      </c>
      <c r="Q729" s="3">
        <f>P729-G729</f>
        <v>-27.04</v>
      </c>
      <c r="R729" s="10" t="e">
        <f>Q729/O729</f>
        <v>#DIV/0!</v>
      </c>
      <c r="T729" s="7">
        <f ca="1">IF(S729&lt;&gt;"",S729-B729,TODAY()-B729)</f>
        <v>9</v>
      </c>
    </row>
    <row r="730" spans="1:20" hidden="1">
      <c r="A730">
        <v>798</v>
      </c>
      <c r="B730" s="12">
        <v>45857</v>
      </c>
      <c r="D730" t="s">
        <v>39</v>
      </c>
      <c r="E730" t="s">
        <v>958</v>
      </c>
      <c r="F730" t="s">
        <v>46</v>
      </c>
      <c r="G730" s="3">
        <v>27.04</v>
      </c>
      <c r="H730" s="3">
        <f>G730*0.4</f>
        <v>10.816000000000001</v>
      </c>
      <c r="I730" s="8">
        <f>G730*0.15</f>
        <v>4.056</v>
      </c>
      <c r="J730" s="3">
        <f>G730+H730</f>
        <v>37.856000000000002</v>
      </c>
      <c r="K730" s="3">
        <f>J730*1.13</f>
        <v>42.777279999999998</v>
      </c>
      <c r="L730" s="25">
        <v>1</v>
      </c>
      <c r="Q730" s="3">
        <f>P730-G730</f>
        <v>-27.04</v>
      </c>
      <c r="R730" s="10" t="e">
        <f>Q730/O730</f>
        <v>#DIV/0!</v>
      </c>
      <c r="T730" s="7">
        <f ca="1">IF(S730&lt;&gt;"",S730-B730,TODAY()-B730)</f>
        <v>9</v>
      </c>
    </row>
    <row r="731" spans="1:20" hidden="1">
      <c r="A731">
        <v>799</v>
      </c>
      <c r="B731" s="12">
        <v>45857</v>
      </c>
      <c r="D731" t="s">
        <v>39</v>
      </c>
      <c r="E731" t="s">
        <v>1031</v>
      </c>
      <c r="F731" t="s">
        <v>46</v>
      </c>
      <c r="G731" s="3">
        <v>28</v>
      </c>
      <c r="H731" s="3">
        <f>G731*0.4</f>
        <v>11.200000000000001</v>
      </c>
      <c r="I731" s="8">
        <f>G731*0.15</f>
        <v>4.2</v>
      </c>
      <c r="J731" s="3">
        <f>G731+H731</f>
        <v>39.200000000000003</v>
      </c>
      <c r="K731" s="3">
        <f>J731*1.13</f>
        <v>44.295999999999999</v>
      </c>
      <c r="L731" s="25">
        <v>1</v>
      </c>
      <c r="Q731" s="3">
        <f>P731-G731</f>
        <v>-28</v>
      </c>
      <c r="R731" s="10" t="e">
        <f>Q731/O731</f>
        <v>#DIV/0!</v>
      </c>
      <c r="T731" s="7">
        <f ca="1">IF(S731&lt;&gt;"",S731-B731,TODAY()-B731)</f>
        <v>9</v>
      </c>
    </row>
    <row r="732" spans="1:20">
      <c r="A732">
        <v>800</v>
      </c>
      <c r="B732" s="12">
        <v>45857</v>
      </c>
      <c r="D732" t="s">
        <v>1144</v>
      </c>
      <c r="E732" t="s">
        <v>1145</v>
      </c>
      <c r="F732" t="s">
        <v>309</v>
      </c>
      <c r="G732" s="3">
        <v>219.21</v>
      </c>
      <c r="H732" s="3">
        <f>G732*0.4</f>
        <v>87.684000000000012</v>
      </c>
      <c r="I732" s="8">
        <f>G732*0.15</f>
        <v>32.881500000000003</v>
      </c>
      <c r="J732" s="3">
        <f>G732+H732</f>
        <v>306.89400000000001</v>
      </c>
      <c r="K732" s="3">
        <f>J732*1.13</f>
        <v>346.79021999999998</v>
      </c>
      <c r="L732" s="25">
        <v>0</v>
      </c>
      <c r="O732" s="3">
        <v>449</v>
      </c>
      <c r="P732" s="3">
        <v>409.98</v>
      </c>
      <c r="Q732" s="3">
        <f>P732-G732</f>
        <v>190.77</v>
      </c>
      <c r="R732" s="10">
        <f>Q732/O732</f>
        <v>0.42487750556792875</v>
      </c>
      <c r="S732" s="13">
        <v>45863</v>
      </c>
      <c r="T732" s="7">
        <f ca="1">IF(S732&lt;&gt;"",S732-B732,TODAY()-B732)</f>
        <v>6</v>
      </c>
    </row>
    <row r="733" spans="1:20">
      <c r="A733">
        <v>801</v>
      </c>
      <c r="B733" s="12">
        <v>45857</v>
      </c>
      <c r="D733" t="s">
        <v>1146</v>
      </c>
      <c r="E733" t="s">
        <v>1147</v>
      </c>
      <c r="F733" t="s">
        <v>309</v>
      </c>
      <c r="G733" s="3">
        <v>10.35</v>
      </c>
      <c r="H733" s="3">
        <f>G733*0.4</f>
        <v>4.1399999999999997</v>
      </c>
      <c r="I733" s="8">
        <f>G733*0.15</f>
        <v>1.5525</v>
      </c>
      <c r="J733" s="3">
        <f>G733+H733</f>
        <v>14.489999999999998</v>
      </c>
      <c r="K733" s="3">
        <f>J733*1.13</f>
        <v>16.373699999999996</v>
      </c>
      <c r="L733" s="25">
        <v>0</v>
      </c>
      <c r="O733" s="3">
        <v>4</v>
      </c>
      <c r="P733" s="3">
        <v>3.12</v>
      </c>
      <c r="Q733" s="3">
        <f>P733-G733</f>
        <v>-7.2299999999999995</v>
      </c>
      <c r="R733" s="10">
        <f>Q733/O733</f>
        <v>-1.8074999999999999</v>
      </c>
      <c r="S733" s="13">
        <v>45865</v>
      </c>
      <c r="T733" s="7">
        <f ca="1">IF(S733&lt;&gt;"",S733-B733,TODAY()-B733)</f>
        <v>8</v>
      </c>
    </row>
    <row r="734" spans="1:20" hidden="1">
      <c r="A734">
        <v>802</v>
      </c>
      <c r="B734" s="12">
        <v>45857</v>
      </c>
      <c r="D734" t="s">
        <v>1148</v>
      </c>
      <c r="E734" t="s">
        <v>1149</v>
      </c>
      <c r="F734" t="s">
        <v>309</v>
      </c>
      <c r="G734" s="3">
        <v>70.72</v>
      </c>
      <c r="H734" s="3">
        <f>G734*0.4</f>
        <v>28.288</v>
      </c>
      <c r="I734" s="8">
        <f>G734*0.15</f>
        <v>10.607999999999999</v>
      </c>
      <c r="J734" s="3">
        <f>G734+H734</f>
        <v>99.007999999999996</v>
      </c>
      <c r="K734" s="3">
        <f>J734*1.13</f>
        <v>111.87903999999999</v>
      </c>
      <c r="L734" s="25">
        <v>1</v>
      </c>
      <c r="Q734" s="3">
        <f>P734-G734</f>
        <v>-70.72</v>
      </c>
      <c r="R734" s="10" t="e">
        <f>Q734/O734</f>
        <v>#DIV/0!</v>
      </c>
      <c r="T734" s="7">
        <f ca="1">IF(S734&lt;&gt;"",S734-B734,TODAY()-B734)</f>
        <v>9</v>
      </c>
    </row>
    <row r="735" spans="1:20">
      <c r="A735">
        <v>803</v>
      </c>
      <c r="B735" s="12">
        <v>45859</v>
      </c>
      <c r="D735" t="s">
        <v>1015</v>
      </c>
      <c r="E735" t="s">
        <v>1150</v>
      </c>
      <c r="F735" t="s">
        <v>1151</v>
      </c>
      <c r="G735" s="3">
        <v>94.21</v>
      </c>
      <c r="H735" s="3">
        <f>G735*0.4</f>
        <v>37.683999999999997</v>
      </c>
      <c r="I735" s="8">
        <f>G735*0.15</f>
        <v>14.131499999999999</v>
      </c>
      <c r="J735" s="3">
        <f>G735+H735</f>
        <v>131.89400000000001</v>
      </c>
      <c r="K735" s="3">
        <f>J735*1.13</f>
        <v>149.04022000000001</v>
      </c>
      <c r="L735" s="25">
        <v>0</v>
      </c>
      <c r="O735" s="3">
        <f>17+13+64</f>
        <v>94</v>
      </c>
      <c r="P735" s="3">
        <f>14.64+11.04+56.29</f>
        <v>81.97</v>
      </c>
      <c r="Q735" s="3">
        <f>P735-G735</f>
        <v>-12.239999999999995</v>
      </c>
      <c r="R735" s="10">
        <f>Q735/O735</f>
        <v>-0.13021276595744674</v>
      </c>
      <c r="S735" s="13">
        <v>45865</v>
      </c>
      <c r="T735" s="7">
        <f ca="1">IF(S735&lt;&gt;"",S735-B735,TODAY()-B735)</f>
        <v>6</v>
      </c>
    </row>
    <row r="736" spans="1:20">
      <c r="A736">
        <v>804</v>
      </c>
      <c r="B736" s="12">
        <v>45858</v>
      </c>
      <c r="D736" t="s">
        <v>809</v>
      </c>
      <c r="E736" t="s">
        <v>1152</v>
      </c>
      <c r="F736" t="s">
        <v>1153</v>
      </c>
      <c r="G736" s="3">
        <v>35</v>
      </c>
      <c r="H736" s="3">
        <f>G736*0.4</f>
        <v>14</v>
      </c>
      <c r="I736" s="8">
        <f>G736*0.15</f>
        <v>5.25</v>
      </c>
      <c r="J736" s="3">
        <f>G736+H736</f>
        <v>49</v>
      </c>
      <c r="K736" s="3">
        <f>J736*1.13</f>
        <v>55.37</v>
      </c>
      <c r="L736" s="25">
        <v>0</v>
      </c>
      <c r="O736" s="3">
        <v>21</v>
      </c>
      <c r="P736" s="3">
        <v>18.14</v>
      </c>
      <c r="Q736" s="3">
        <f>P736-G736</f>
        <v>-16.86</v>
      </c>
      <c r="R736" s="10">
        <f>Q736/O736</f>
        <v>-0.80285714285714282</v>
      </c>
      <c r="S736" s="13">
        <v>45859</v>
      </c>
      <c r="T736" s="7">
        <f ca="1">IF(S736&lt;&gt;"",S736-B736,TODAY()-B736)</f>
        <v>1</v>
      </c>
    </row>
    <row r="737" spans="1:20">
      <c r="A737">
        <v>805</v>
      </c>
      <c r="B737" s="12">
        <v>45859</v>
      </c>
      <c r="D737" t="s">
        <v>809</v>
      </c>
      <c r="E737" t="s">
        <v>1136</v>
      </c>
      <c r="F737" t="s">
        <v>294</v>
      </c>
      <c r="G737" s="3">
        <f>5*20</f>
        <v>100</v>
      </c>
      <c r="H737" s="3">
        <f>G737*0.4</f>
        <v>40</v>
      </c>
      <c r="I737" s="8">
        <f>G737*0.15</f>
        <v>15</v>
      </c>
      <c r="J737" s="3">
        <f>G737+H737</f>
        <v>140</v>
      </c>
      <c r="K737" s="3">
        <f>J737*1.13</f>
        <v>158.19999999999999</v>
      </c>
      <c r="L737" s="25">
        <v>0</v>
      </c>
      <c r="O737" s="3">
        <f>33+24+31+31+31</f>
        <v>150</v>
      </c>
      <c r="P737" s="3">
        <f>28.78+20.83+27.05+27.02+26.97</f>
        <v>130.64999999999998</v>
      </c>
      <c r="Q737" s="3">
        <f>P737-G737</f>
        <v>30.649999999999977</v>
      </c>
      <c r="R737" s="10">
        <f>Q737/O737</f>
        <v>0.20433333333333317</v>
      </c>
      <c r="S737" s="13">
        <v>45859</v>
      </c>
      <c r="T737" s="7">
        <f ca="1">IF(S737&lt;&gt;"",S737-B737,TODAY()-B737)</f>
        <v>0</v>
      </c>
    </row>
    <row r="738" spans="1:20">
      <c r="A738">
        <v>806</v>
      </c>
      <c r="B738" s="12">
        <v>45859</v>
      </c>
      <c r="D738" t="s">
        <v>809</v>
      </c>
      <c r="E738" t="s">
        <v>638</v>
      </c>
      <c r="F738" t="s">
        <v>294</v>
      </c>
      <c r="G738" s="3">
        <f>5*4</f>
        <v>20</v>
      </c>
      <c r="H738" s="3">
        <f>G738*0.4</f>
        <v>8</v>
      </c>
      <c r="I738" s="8">
        <f>G738*0.15</f>
        <v>3</v>
      </c>
      <c r="J738" s="3">
        <f>G738+H738</f>
        <v>28</v>
      </c>
      <c r="K738" s="3">
        <f>J738*1.13</f>
        <v>31.639999999999997</v>
      </c>
      <c r="L738" s="25">
        <v>0</v>
      </c>
      <c r="O738" s="3">
        <f>19+25</f>
        <v>44</v>
      </c>
      <c r="P738" s="3">
        <f>16.52+21.9</f>
        <v>38.42</v>
      </c>
      <c r="Q738" s="3">
        <f>P738-G738</f>
        <v>18.420000000000002</v>
      </c>
      <c r="R738" s="10">
        <f>Q738/O738</f>
        <v>0.4186363636363637</v>
      </c>
      <c r="S738" s="13">
        <v>45859</v>
      </c>
      <c r="T738" s="7">
        <f ca="1">IF(S738&lt;&gt;"",S738-B738,TODAY()-B738)</f>
        <v>0</v>
      </c>
    </row>
    <row r="739" spans="1:20">
      <c r="A739">
        <v>807</v>
      </c>
      <c r="B739" s="12">
        <v>45859</v>
      </c>
      <c r="D739" t="s">
        <v>809</v>
      </c>
      <c r="E739" t="s">
        <v>957</v>
      </c>
      <c r="F739" t="s">
        <v>294</v>
      </c>
      <c r="G739" s="3">
        <f>16.96+(26*0.4)</f>
        <v>27.36</v>
      </c>
      <c r="H739" s="3">
        <f>G739*0.4</f>
        <v>10.944000000000001</v>
      </c>
      <c r="I739" s="8">
        <f>G739*0.15</f>
        <v>4.1040000000000001</v>
      </c>
      <c r="J739" s="3">
        <f>G739+H739</f>
        <v>38.304000000000002</v>
      </c>
      <c r="K739" s="3">
        <f>J739*1.13</f>
        <v>43.283519999999996</v>
      </c>
      <c r="L739" s="25">
        <v>0</v>
      </c>
      <c r="O739" s="3">
        <v>0</v>
      </c>
      <c r="P739" s="3">
        <v>0</v>
      </c>
      <c r="Q739" s="3">
        <f>P739-G739</f>
        <v>-27.36</v>
      </c>
      <c r="R739" s="10" t="e">
        <f>Q739/O739</f>
        <v>#DIV/0!</v>
      </c>
      <c r="S739" s="13">
        <v>45859</v>
      </c>
      <c r="T739" s="7">
        <f ca="1">IF(S739&lt;&gt;"",S739-B739,TODAY()-B739)</f>
        <v>0</v>
      </c>
    </row>
    <row r="740" spans="1:20">
      <c r="A740">
        <v>808</v>
      </c>
      <c r="B740" s="12">
        <v>45859</v>
      </c>
      <c r="D740" t="s">
        <v>809</v>
      </c>
      <c r="E740" t="s">
        <v>821</v>
      </c>
      <c r="F740" t="s">
        <v>294</v>
      </c>
      <c r="G740" s="3">
        <v>107.14</v>
      </c>
      <c r="H740" s="3">
        <f>G740*0.4</f>
        <v>42.856000000000002</v>
      </c>
      <c r="I740" s="8">
        <f>G740*0.15</f>
        <v>16.070999999999998</v>
      </c>
      <c r="J740" s="3">
        <f>G740+H740</f>
        <v>149.99600000000001</v>
      </c>
      <c r="K740" s="3">
        <f>J740*1.13</f>
        <v>169.49547999999999</v>
      </c>
      <c r="L740" s="25">
        <v>0</v>
      </c>
      <c r="O740" s="3">
        <v>0</v>
      </c>
      <c r="P740" s="3">
        <v>0</v>
      </c>
      <c r="Q740" s="3">
        <f>P740-G740</f>
        <v>-107.14</v>
      </c>
      <c r="R740" s="10" t="e">
        <f>Q740/O740</f>
        <v>#DIV/0!</v>
      </c>
      <c r="S740" s="13">
        <v>45859</v>
      </c>
      <c r="T740" s="7">
        <f ca="1">IF(S740&lt;&gt;"",S740-B740,TODAY()-B740)</f>
        <v>0</v>
      </c>
    </row>
    <row r="741" spans="1:20">
      <c r="A741">
        <v>809</v>
      </c>
      <c r="B741" s="12">
        <v>45861</v>
      </c>
      <c r="D741" t="s">
        <v>982</v>
      </c>
      <c r="E741" t="s">
        <v>1154</v>
      </c>
      <c r="F741" t="s">
        <v>254</v>
      </c>
      <c r="G741" s="3">
        <v>35</v>
      </c>
      <c r="H741" s="3">
        <f>G741*0.4</f>
        <v>14</v>
      </c>
      <c r="I741" s="8">
        <f>G741*0.15</f>
        <v>5.25</v>
      </c>
      <c r="J741" s="3">
        <f>G741+H741</f>
        <v>49</v>
      </c>
      <c r="K741" s="3">
        <f>J741*1.13</f>
        <v>55.37</v>
      </c>
      <c r="L741" s="25">
        <v>0</v>
      </c>
      <c r="O741" s="3">
        <v>31</v>
      </c>
      <c r="P741" s="3">
        <v>27</v>
      </c>
      <c r="Q741" s="3">
        <f>P741-G741</f>
        <v>-8</v>
      </c>
      <c r="R741" s="10">
        <f>Q741/O741</f>
        <v>-0.25806451612903225</v>
      </c>
      <c r="S741" s="13">
        <v>45861</v>
      </c>
      <c r="T741" s="7">
        <f ca="1">IF(S741&lt;&gt;"",S741-B741,TODAY()-B741)</f>
        <v>0</v>
      </c>
    </row>
    <row r="742" spans="1:20">
      <c r="A742">
        <v>810</v>
      </c>
      <c r="B742" s="12">
        <v>45861</v>
      </c>
      <c r="D742" t="s">
        <v>1094</v>
      </c>
      <c r="E742" t="s">
        <v>1155</v>
      </c>
      <c r="F742" t="s">
        <v>46</v>
      </c>
      <c r="G742" s="3">
        <v>0.01</v>
      </c>
      <c r="H742" s="3">
        <f>G742*0.4</f>
        <v>4.0000000000000001E-3</v>
      </c>
      <c r="I742" s="8">
        <f>G742*0.15</f>
        <v>1.5E-3</v>
      </c>
      <c r="J742" s="3">
        <f>G742+H742</f>
        <v>1.4E-2</v>
      </c>
      <c r="K742" s="3">
        <f>J742*1.13</f>
        <v>1.5819999999999997E-2</v>
      </c>
      <c r="L742" s="25">
        <v>0</v>
      </c>
      <c r="O742" s="3">
        <v>50</v>
      </c>
      <c r="P742" s="3">
        <v>43.97</v>
      </c>
      <c r="Q742" s="3">
        <f>P742-G742</f>
        <v>43.96</v>
      </c>
      <c r="R742" s="10">
        <f>Q742/O742</f>
        <v>0.87919999999999998</v>
      </c>
      <c r="S742" s="13">
        <v>45861</v>
      </c>
      <c r="T742" s="7">
        <f ca="1">IF(S742&lt;&gt;"",S742-B742,TODAY()-B742)</f>
        <v>0</v>
      </c>
    </row>
    <row r="743" spans="1:20">
      <c r="A743">
        <v>811</v>
      </c>
      <c r="B743" s="12">
        <v>45861</v>
      </c>
      <c r="D743" t="s">
        <v>1156</v>
      </c>
      <c r="E743" t="s">
        <v>1157</v>
      </c>
      <c r="F743" t="s">
        <v>294</v>
      </c>
      <c r="G743" s="3">
        <v>140</v>
      </c>
      <c r="H743" s="3">
        <f>G743*0.4</f>
        <v>56</v>
      </c>
      <c r="I743" s="8">
        <f>G743*0.15</f>
        <v>21</v>
      </c>
      <c r="J743" s="3">
        <f>G743+H743</f>
        <v>196</v>
      </c>
      <c r="K743" s="3">
        <f>J743*1.13</f>
        <v>221.48</v>
      </c>
      <c r="L743" s="25">
        <v>0</v>
      </c>
      <c r="O743" s="3">
        <f>27+27+23+25+65+11+33</f>
        <v>211</v>
      </c>
      <c r="P743" s="3">
        <f>23.49+23.43+19.91+21.89+57.48+9.41+28.81</f>
        <v>184.42</v>
      </c>
      <c r="Q743" s="3">
        <f>P743-G743</f>
        <v>44.419999999999987</v>
      </c>
      <c r="R743" s="10">
        <f>Q743/O743</f>
        <v>0.21052132701421794</v>
      </c>
      <c r="S743" s="13">
        <v>45861</v>
      </c>
      <c r="T743" s="7">
        <f ca="1">IF(S743&lt;&gt;"",S743-B743,TODAY()-B743)</f>
        <v>0</v>
      </c>
    </row>
    <row r="744" spans="1:20">
      <c r="A744">
        <v>812</v>
      </c>
      <c r="B744" s="12">
        <v>45861</v>
      </c>
      <c r="D744" t="s">
        <v>809</v>
      </c>
      <c r="E744" t="s">
        <v>1136</v>
      </c>
      <c r="F744" t="s">
        <v>294</v>
      </c>
      <c r="G744" s="3">
        <f>4*19.85</f>
        <v>79.400000000000006</v>
      </c>
      <c r="H744" s="3">
        <f>G744*0.4</f>
        <v>31.760000000000005</v>
      </c>
      <c r="I744" s="8">
        <f>G744*0.15</f>
        <v>11.91</v>
      </c>
      <c r="J744" s="3">
        <f>G744+H744</f>
        <v>111.16000000000001</v>
      </c>
      <c r="K744" s="3">
        <f>J744*1.13</f>
        <v>125.6108</v>
      </c>
      <c r="L744" s="25">
        <v>0</v>
      </c>
      <c r="O744" s="3">
        <f>23+20+18+22</f>
        <v>83</v>
      </c>
      <c r="P744" s="3">
        <f>19.91+17.49+15.51+19.05</f>
        <v>71.959999999999994</v>
      </c>
      <c r="Q744" s="3">
        <f>P744-G744</f>
        <v>-7.4400000000000119</v>
      </c>
      <c r="R744" s="10">
        <f>Q744/O744</f>
        <v>-8.9638554216867616E-2</v>
      </c>
      <c r="S744" s="13">
        <v>45861</v>
      </c>
      <c r="T744" s="7">
        <f ca="1">IF(S744&lt;&gt;"",S744-B744,TODAY()-B744)</f>
        <v>0</v>
      </c>
    </row>
    <row r="745" spans="1:20">
      <c r="A745">
        <v>813</v>
      </c>
      <c r="B745" s="12">
        <v>45861</v>
      </c>
      <c r="D745" t="s">
        <v>809</v>
      </c>
      <c r="E745" t="s">
        <v>638</v>
      </c>
      <c r="F745" t="s">
        <v>294</v>
      </c>
      <c r="G745" s="3">
        <f>8*4</f>
        <v>32</v>
      </c>
      <c r="H745" s="3">
        <f>G745*0.4</f>
        <v>12.8</v>
      </c>
      <c r="I745" s="8">
        <f>G745*0.15</f>
        <v>4.8</v>
      </c>
      <c r="J745" s="3">
        <f>G745+H745</f>
        <v>44.8</v>
      </c>
      <c r="K745" s="3">
        <f>J745*1.13</f>
        <v>50.623999999999995</v>
      </c>
      <c r="L745" s="25">
        <v>0</v>
      </c>
      <c r="O745" s="3">
        <f>7+4+19+20</f>
        <v>50</v>
      </c>
      <c r="P745" s="3">
        <f>5.67+3.05+16.58+17.25</f>
        <v>42.55</v>
      </c>
      <c r="Q745" s="3">
        <f>P745-G745</f>
        <v>10.549999999999997</v>
      </c>
      <c r="R745" s="10">
        <f>Q745/O745</f>
        <v>0.21099999999999994</v>
      </c>
      <c r="S745" s="13">
        <v>45861</v>
      </c>
      <c r="T745" s="7">
        <f ca="1">IF(S745&lt;&gt;"",S745-B745,TODAY()-B745)</f>
        <v>0</v>
      </c>
    </row>
    <row r="746" spans="1:20">
      <c r="A746">
        <v>814</v>
      </c>
      <c r="B746" s="12">
        <v>45861</v>
      </c>
      <c r="D746" t="s">
        <v>809</v>
      </c>
      <c r="E746" t="s">
        <v>957</v>
      </c>
      <c r="F746" t="s">
        <v>294</v>
      </c>
      <c r="G746" s="3">
        <f>24.51+(32*0.4)</f>
        <v>37.31</v>
      </c>
      <c r="H746" s="3">
        <f>G746*0.4</f>
        <v>14.924000000000001</v>
      </c>
      <c r="I746" s="8">
        <f>G746*0.15</f>
        <v>5.5964999999999998</v>
      </c>
      <c r="J746" s="3">
        <f>G746+H746</f>
        <v>52.234000000000002</v>
      </c>
      <c r="K746" s="3">
        <f>J746*1.13</f>
        <v>59.024419999999999</v>
      </c>
      <c r="L746" s="25">
        <v>0</v>
      </c>
      <c r="O746" s="3">
        <v>0</v>
      </c>
      <c r="P746" s="3">
        <v>0</v>
      </c>
      <c r="Q746" s="3">
        <f>P746-G746</f>
        <v>-37.31</v>
      </c>
      <c r="R746" s="10" t="e">
        <f>Q746/O746</f>
        <v>#DIV/0!</v>
      </c>
      <c r="S746" s="13">
        <v>45861</v>
      </c>
      <c r="T746" s="7">
        <f ca="1">IF(S746&lt;&gt;"",S746-B746,TODAY()-B746)</f>
        <v>0</v>
      </c>
    </row>
    <row r="747" spans="1:20">
      <c r="A747">
        <v>815</v>
      </c>
      <c r="B747" s="12">
        <v>45861</v>
      </c>
      <c r="D747" t="s">
        <v>809</v>
      </c>
      <c r="E747" t="s">
        <v>821</v>
      </c>
      <c r="F747" t="s">
        <v>294</v>
      </c>
      <c r="G747" s="3">
        <v>120.02</v>
      </c>
      <c r="H747" s="3">
        <f>G747*0.4</f>
        <v>48.008000000000003</v>
      </c>
      <c r="I747" s="8">
        <f>G747*0.15</f>
        <v>18.003</v>
      </c>
      <c r="J747" s="3">
        <f>G747+H747</f>
        <v>168.02799999999999</v>
      </c>
      <c r="K747" s="3">
        <f>J747*1.13</f>
        <v>189.87163999999999</v>
      </c>
      <c r="L747" s="25">
        <v>0</v>
      </c>
      <c r="O747" s="3">
        <v>0</v>
      </c>
      <c r="P747" s="3">
        <v>0</v>
      </c>
      <c r="Q747" s="3">
        <f>P747-G747</f>
        <v>-120.02</v>
      </c>
      <c r="R747" s="10" t="e">
        <f>Q747/O747</f>
        <v>#DIV/0!</v>
      </c>
      <c r="S747" s="13">
        <v>45861</v>
      </c>
      <c r="T747" s="7">
        <f ca="1">IF(S747&lt;&gt;"",S747-B747,TODAY()-B747)</f>
        <v>0</v>
      </c>
    </row>
    <row r="748" spans="1:20">
      <c r="A748">
        <v>816</v>
      </c>
      <c r="B748" s="12">
        <v>45863</v>
      </c>
      <c r="D748" t="s">
        <v>809</v>
      </c>
      <c r="E748" t="s">
        <v>1086</v>
      </c>
      <c r="F748" t="s">
        <v>294</v>
      </c>
      <c r="G748" s="3">
        <v>0.01</v>
      </c>
      <c r="H748" s="3">
        <f>G748*0.4</f>
        <v>4.0000000000000001E-3</v>
      </c>
      <c r="I748" s="8">
        <f>G748*0.15</f>
        <v>1.5E-3</v>
      </c>
      <c r="J748" s="3">
        <f>G748+H748</f>
        <v>1.4E-2</v>
      </c>
      <c r="K748" s="3">
        <f>J748*1.13</f>
        <v>1.5819999999999997E-2</v>
      </c>
      <c r="L748" s="25">
        <v>0</v>
      </c>
      <c r="O748" s="3">
        <v>8</v>
      </c>
      <c r="P748" s="3">
        <v>6.8</v>
      </c>
      <c r="Q748" s="3">
        <f>P748-G748</f>
        <v>6.79</v>
      </c>
      <c r="R748" s="10">
        <f>Q748/O748</f>
        <v>0.84875</v>
      </c>
      <c r="S748" s="13">
        <v>45863</v>
      </c>
      <c r="T748" s="7">
        <f ca="1">IF(S748&lt;&gt;"",S748-B748,TODAY()-B748)</f>
        <v>0</v>
      </c>
    </row>
    <row r="749" spans="1:20">
      <c r="A749">
        <v>817</v>
      </c>
      <c r="B749" s="12">
        <v>45863</v>
      </c>
      <c r="D749" t="s">
        <v>809</v>
      </c>
      <c r="E749" t="s">
        <v>638</v>
      </c>
      <c r="F749" t="s">
        <v>294</v>
      </c>
      <c r="G749" s="3">
        <f>4*4</f>
        <v>16</v>
      </c>
      <c r="H749" s="3">
        <f>G749*0.4</f>
        <v>6.4</v>
      </c>
      <c r="I749" s="8">
        <f>G749*0.15</f>
        <v>2.4</v>
      </c>
      <c r="J749" s="3">
        <f>G749+H749</f>
        <v>22.4</v>
      </c>
      <c r="K749" s="3">
        <f>J749*1.13</f>
        <v>25.311999999999998</v>
      </c>
      <c r="L749" s="25">
        <v>0</v>
      </c>
      <c r="O749" s="3">
        <f>21+19</f>
        <v>40</v>
      </c>
      <c r="P749" s="3">
        <f>18.15+16.36</f>
        <v>34.51</v>
      </c>
      <c r="Q749" s="3">
        <f>P749-G749</f>
        <v>18.509999999999998</v>
      </c>
      <c r="R749" s="10">
        <f>Q749/O749</f>
        <v>0.46274999999999994</v>
      </c>
      <c r="S749" s="13">
        <v>45863</v>
      </c>
      <c r="T749" s="7">
        <f ca="1">IF(S749&lt;&gt;"",S749-B749,TODAY()-B749)</f>
        <v>0</v>
      </c>
    </row>
    <row r="750" spans="1:20">
      <c r="A750">
        <v>818</v>
      </c>
      <c r="B750" s="12">
        <v>45863</v>
      </c>
      <c r="D750" t="s">
        <v>809</v>
      </c>
      <c r="E750" t="s">
        <v>1136</v>
      </c>
      <c r="F750" t="s">
        <v>294</v>
      </c>
      <c r="G750" s="3">
        <f>4*19.81</f>
        <v>79.239999999999995</v>
      </c>
      <c r="H750" s="3">
        <f>G750*0.4</f>
        <v>31.695999999999998</v>
      </c>
      <c r="I750" s="8">
        <f>G750*0.15</f>
        <v>11.885999999999999</v>
      </c>
      <c r="J750" s="3">
        <f>G750+H750</f>
        <v>110.93599999999999</v>
      </c>
      <c r="K750" s="3">
        <f>J750*1.13</f>
        <v>125.35767999999997</v>
      </c>
      <c r="L750" s="25">
        <v>0</v>
      </c>
      <c r="O750" s="3">
        <f>30+25+24+22</f>
        <v>101</v>
      </c>
      <c r="P750" s="3">
        <f>26.14+21.67+20.79+19.03</f>
        <v>87.63</v>
      </c>
      <c r="Q750" s="3">
        <f>P750-G750</f>
        <v>8.39</v>
      </c>
      <c r="R750" s="10">
        <f>Q750/O750</f>
        <v>8.3069306930693074E-2</v>
      </c>
      <c r="S750" s="13">
        <v>45863</v>
      </c>
      <c r="T750" s="7">
        <f ca="1">IF(S750&lt;&gt;"",S750-B750,TODAY()-B750)</f>
        <v>0</v>
      </c>
    </row>
    <row r="751" spans="1:20">
      <c r="A751">
        <v>819</v>
      </c>
      <c r="B751" s="12">
        <v>45863</v>
      </c>
      <c r="D751" t="s">
        <v>809</v>
      </c>
      <c r="E751" t="s">
        <v>957</v>
      </c>
      <c r="F751" t="s">
        <v>294</v>
      </c>
      <c r="G751" s="3">
        <f>18.68+(23*0.4)</f>
        <v>27.880000000000003</v>
      </c>
      <c r="H751" s="3">
        <f>G751*0.4</f>
        <v>11.152000000000001</v>
      </c>
      <c r="I751" s="8">
        <f>G751*0.15</f>
        <v>4.1820000000000004</v>
      </c>
      <c r="J751" s="3">
        <f>G751+H751</f>
        <v>39.032000000000004</v>
      </c>
      <c r="K751" s="3">
        <f>J751*1.13</f>
        <v>44.106160000000003</v>
      </c>
      <c r="L751" s="25">
        <v>0</v>
      </c>
      <c r="O751" s="3">
        <v>0</v>
      </c>
      <c r="P751" s="3">
        <v>0</v>
      </c>
      <c r="Q751" s="3">
        <f>P751-G751</f>
        <v>-27.880000000000003</v>
      </c>
      <c r="R751" s="10" t="e">
        <f>Q751/O751</f>
        <v>#DIV/0!</v>
      </c>
      <c r="S751" s="13">
        <v>45863</v>
      </c>
      <c r="T751" s="7">
        <f ca="1">IF(S751&lt;&gt;"",S751-B751,TODAY()-B751)</f>
        <v>0</v>
      </c>
    </row>
    <row r="752" spans="1:20">
      <c r="A752">
        <v>820</v>
      </c>
      <c r="B752" s="12">
        <v>45863</v>
      </c>
      <c r="D752" t="s">
        <v>809</v>
      </c>
      <c r="E752" t="s">
        <v>821</v>
      </c>
      <c r="F752" t="s">
        <v>294</v>
      </c>
      <c r="G752" s="3">
        <v>80.33</v>
      </c>
      <c r="H752" s="3">
        <f>G752*0.4</f>
        <v>32.131999999999998</v>
      </c>
      <c r="I752" s="8">
        <f>G752*0.15</f>
        <v>12.0495</v>
      </c>
      <c r="J752" s="3">
        <f>G752+H752</f>
        <v>112.46199999999999</v>
      </c>
      <c r="K752" s="3">
        <f>J752*1.13</f>
        <v>127.08205999999997</v>
      </c>
      <c r="L752" s="25">
        <v>0</v>
      </c>
      <c r="O752" s="3">
        <v>0</v>
      </c>
      <c r="P752" s="3">
        <v>0</v>
      </c>
      <c r="Q752" s="3">
        <f>P752-G752</f>
        <v>-80.33</v>
      </c>
      <c r="R752" s="10" t="e">
        <f>Q752/O752</f>
        <v>#DIV/0!</v>
      </c>
      <c r="S752" s="13">
        <v>45863</v>
      </c>
      <c r="T752" s="7">
        <f ca="1">IF(S752&lt;&gt;"",S752-B752,TODAY()-B752)</f>
        <v>0</v>
      </c>
    </row>
    <row r="753" spans="1:20" hidden="1">
      <c r="A753">
        <v>821</v>
      </c>
      <c r="B753" s="12">
        <v>45856</v>
      </c>
      <c r="D753" t="s">
        <v>1094</v>
      </c>
      <c r="E753" t="s">
        <v>1158</v>
      </c>
      <c r="F753" t="s">
        <v>294</v>
      </c>
      <c r="G753" s="3">
        <v>65</v>
      </c>
      <c r="H753" s="3">
        <f>G753*0.4</f>
        <v>26</v>
      </c>
      <c r="I753" s="8">
        <f>G753*0.15</f>
        <v>9.75</v>
      </c>
      <c r="J753" s="3">
        <f>G753+H753</f>
        <v>91</v>
      </c>
      <c r="K753" s="3">
        <f>J753*1.13</f>
        <v>102.82999999999998</v>
      </c>
      <c r="L753" s="25">
        <v>1</v>
      </c>
      <c r="Q753" s="3">
        <f>P753-G753</f>
        <v>-65</v>
      </c>
      <c r="R753" s="10" t="e">
        <f>Q753/O753</f>
        <v>#DIV/0!</v>
      </c>
      <c r="T753" s="7">
        <f ca="1">IF(S753&lt;&gt;"",S753-B753,TODAY()-B753)</f>
        <v>10</v>
      </c>
    </row>
    <row r="754" spans="1:20">
      <c r="A754">
        <v>822</v>
      </c>
      <c r="B754" s="12">
        <v>45856</v>
      </c>
      <c r="D754" t="s">
        <v>1094</v>
      </c>
      <c r="E754" t="s">
        <v>1160</v>
      </c>
      <c r="F754" t="s">
        <v>1159</v>
      </c>
      <c r="G754" s="3">
        <v>125</v>
      </c>
      <c r="H754" s="3">
        <f>G754*0.4</f>
        <v>50</v>
      </c>
      <c r="I754" s="8">
        <f>G754*0.15</f>
        <v>18.75</v>
      </c>
      <c r="J754" s="3">
        <f>G754+H754</f>
        <v>175</v>
      </c>
      <c r="K754" s="3">
        <f>J754*1.13</f>
        <v>197.74999999999997</v>
      </c>
      <c r="L754" s="25">
        <v>0</v>
      </c>
      <c r="O754" s="3">
        <v>199</v>
      </c>
      <c r="P754" s="3">
        <v>176.4</v>
      </c>
      <c r="Q754" s="3">
        <f>P754-G754</f>
        <v>51.400000000000006</v>
      </c>
      <c r="R754" s="10">
        <f>Q754/O754</f>
        <v>0.25829145728643221</v>
      </c>
      <c r="S754" s="13">
        <v>45865</v>
      </c>
      <c r="T754" s="7">
        <f ca="1">IF(S754&lt;&gt;"",S754-B754,TODAY()-B754)</f>
        <v>9</v>
      </c>
    </row>
    <row r="755" spans="1:20" hidden="1">
      <c r="A755">
        <v>823</v>
      </c>
      <c r="B755" s="12">
        <v>45856</v>
      </c>
      <c r="D755" t="s">
        <v>1094</v>
      </c>
      <c r="E755" t="s">
        <v>1161</v>
      </c>
      <c r="F755" t="s">
        <v>309</v>
      </c>
      <c r="G755" s="3">
        <v>110</v>
      </c>
      <c r="H755" s="3">
        <f>G755*0.4</f>
        <v>44</v>
      </c>
      <c r="I755" s="8">
        <f>G755*0.15</f>
        <v>16.5</v>
      </c>
      <c r="J755" s="3">
        <f>G755+H755</f>
        <v>154</v>
      </c>
      <c r="K755" s="3">
        <f>J755*1.13</f>
        <v>174.01999999999998</v>
      </c>
      <c r="L755" s="25">
        <v>1</v>
      </c>
      <c r="Q755" s="3">
        <f>P755-G755</f>
        <v>-110</v>
      </c>
      <c r="R755" s="10" t="e">
        <f>Q755/O755</f>
        <v>#DIV/0!</v>
      </c>
      <c r="T755" s="7">
        <f ca="1">IF(S755&lt;&gt;"",S755-B755,TODAY()-B755)</f>
        <v>10</v>
      </c>
    </row>
    <row r="756" spans="1:20" hidden="1">
      <c r="A756">
        <v>824</v>
      </c>
      <c r="B756" s="12">
        <v>45864</v>
      </c>
      <c r="D756" t="s">
        <v>706</v>
      </c>
      <c r="E756" t="s">
        <v>1162</v>
      </c>
      <c r="F756" t="s">
        <v>226</v>
      </c>
      <c r="G756" s="3">
        <v>134.21</v>
      </c>
      <c r="H756" s="3">
        <f>G756*0.4</f>
        <v>53.684000000000005</v>
      </c>
      <c r="I756" s="8">
        <f>G756*0.15</f>
        <v>20.131499999999999</v>
      </c>
      <c r="J756" s="3">
        <f>G756+H756</f>
        <v>187.89400000000001</v>
      </c>
      <c r="K756" s="3">
        <f>J756*1.13</f>
        <v>212.32021999999998</v>
      </c>
      <c r="L756" s="25">
        <v>1</v>
      </c>
      <c r="Q756" s="3">
        <f>P756-G756</f>
        <v>-134.21</v>
      </c>
      <c r="R756" s="10" t="e">
        <f>Q756/O756</f>
        <v>#DIV/0!</v>
      </c>
      <c r="T756" s="7">
        <f ca="1">IF(S756&lt;&gt;"",S756-B756,TODAY()-B756)</f>
        <v>2</v>
      </c>
    </row>
    <row r="757" spans="1:20">
      <c r="A757">
        <v>825</v>
      </c>
      <c r="B757" s="12">
        <v>45864</v>
      </c>
      <c r="D757" t="s">
        <v>809</v>
      </c>
      <c r="E757" t="s">
        <v>821</v>
      </c>
      <c r="F757" t="s">
        <v>294</v>
      </c>
      <c r="G757" s="3">
        <v>111.67</v>
      </c>
      <c r="H757" s="3">
        <f>G757*0.4</f>
        <v>44.668000000000006</v>
      </c>
      <c r="I757" s="8">
        <f>G757*0.15</f>
        <v>16.750499999999999</v>
      </c>
      <c r="J757" s="3">
        <f>G757+H757</f>
        <v>156.33800000000002</v>
      </c>
      <c r="K757" s="3">
        <f>J757*1.13</f>
        <v>176.66194000000002</v>
      </c>
      <c r="L757" s="25">
        <v>0</v>
      </c>
      <c r="O757" s="3">
        <v>0</v>
      </c>
      <c r="P757" s="3">
        <v>0</v>
      </c>
      <c r="Q757" s="3">
        <f>P757-G757</f>
        <v>-111.67</v>
      </c>
      <c r="R757" s="10" t="e">
        <f>Q757/O757</f>
        <v>#DIV/0!</v>
      </c>
      <c r="S757" s="13">
        <v>45864</v>
      </c>
      <c r="T757" s="7">
        <f ca="1">IF(S757&lt;&gt;"",S757-B757,TODAY()-B757)</f>
        <v>0</v>
      </c>
    </row>
    <row r="758" spans="1:20">
      <c r="A758">
        <v>826</v>
      </c>
      <c r="B758" s="12">
        <v>45864</v>
      </c>
      <c r="D758" t="s">
        <v>809</v>
      </c>
      <c r="E758" t="s">
        <v>957</v>
      </c>
      <c r="F758" t="s">
        <v>294</v>
      </c>
      <c r="G758" s="3">
        <f>(26*0.4)+22.1</f>
        <v>32.5</v>
      </c>
      <c r="H758" s="3">
        <f>G758*0.4</f>
        <v>13</v>
      </c>
      <c r="I758" s="8">
        <f>G758*0.15</f>
        <v>4.875</v>
      </c>
      <c r="J758" s="3">
        <f>G758+H758</f>
        <v>45.5</v>
      </c>
      <c r="K758" s="3">
        <f>J758*1.13</f>
        <v>51.414999999999992</v>
      </c>
      <c r="L758" s="25">
        <v>0</v>
      </c>
      <c r="O758" s="3">
        <v>0</v>
      </c>
      <c r="P758" s="3">
        <v>0</v>
      </c>
      <c r="Q758" s="3">
        <f>P758-G758</f>
        <v>-32.5</v>
      </c>
      <c r="R758" s="10" t="e">
        <f>Q758/O758</f>
        <v>#DIV/0!</v>
      </c>
      <c r="S758" s="13">
        <v>45864</v>
      </c>
      <c r="T758" s="7">
        <f ca="1">IF(S758&lt;&gt;"",S758-B758,TODAY()-B758)</f>
        <v>0</v>
      </c>
    </row>
    <row r="759" spans="1:20">
      <c r="A759">
        <v>827</v>
      </c>
      <c r="B759" s="12">
        <v>45864</v>
      </c>
      <c r="D759" t="s">
        <v>809</v>
      </c>
      <c r="E759" t="s">
        <v>1163</v>
      </c>
      <c r="F759" t="s">
        <v>294</v>
      </c>
      <c r="G759" s="3">
        <f>106+95</f>
        <v>201</v>
      </c>
      <c r="H759" s="3">
        <f>G759*0.4</f>
        <v>80.400000000000006</v>
      </c>
      <c r="I759" s="8">
        <f>G759*0.15</f>
        <v>30.15</v>
      </c>
      <c r="J759" s="3">
        <f>G759+H759</f>
        <v>281.39999999999998</v>
      </c>
      <c r="K759" s="3">
        <f>J759*1.13</f>
        <v>317.98199999999997</v>
      </c>
      <c r="L759" s="25">
        <v>0</v>
      </c>
      <c r="O759" s="3">
        <f>360-95</f>
        <v>265</v>
      </c>
      <c r="P759" s="3">
        <f>319.32-84.38</f>
        <v>234.94</v>
      </c>
      <c r="Q759" s="3">
        <f>P759-G759</f>
        <v>33.94</v>
      </c>
      <c r="R759" s="10">
        <f>Q759/O759</f>
        <v>0.1280754716981132</v>
      </c>
      <c r="S759" s="13">
        <v>45864</v>
      </c>
      <c r="T759" s="7">
        <f ca="1">IF(S759&lt;&gt;"",S759-B759,TODAY()-B759)</f>
        <v>0</v>
      </c>
    </row>
    <row r="760" spans="1:20">
      <c r="A760">
        <v>828</v>
      </c>
      <c r="B760" s="12">
        <v>45864</v>
      </c>
      <c r="D760" t="s">
        <v>809</v>
      </c>
      <c r="E760" t="s">
        <v>1164</v>
      </c>
      <c r="F760" t="s">
        <v>294</v>
      </c>
      <c r="G760" s="3">
        <f>45.49+50.63+47.09</f>
        <v>143.21</v>
      </c>
      <c r="H760" s="3">
        <f>G760*0.4</f>
        <v>57.284000000000006</v>
      </c>
      <c r="I760" s="8">
        <f>G760*0.15</f>
        <v>21.4815</v>
      </c>
      <c r="J760" s="3">
        <f>G760+H760</f>
        <v>200.49400000000003</v>
      </c>
      <c r="K760" s="3">
        <f>J760*1.13</f>
        <v>226.55822000000001</v>
      </c>
      <c r="L760" s="25">
        <v>0</v>
      </c>
      <c r="O760" s="3">
        <f>49+31+43</f>
        <v>123</v>
      </c>
      <c r="P760" s="3">
        <f>43.06+27.22+37.92</f>
        <v>108.2</v>
      </c>
      <c r="Q760" s="3">
        <f>P760-G760</f>
        <v>-35.010000000000005</v>
      </c>
      <c r="R760" s="10">
        <f>Q760/O760</f>
        <v>-0.28463414634146345</v>
      </c>
      <c r="S760" s="13">
        <v>45864</v>
      </c>
      <c r="T760" s="7">
        <f ca="1">IF(S760&lt;&gt;"",S760-B760,TODAY()-B760)</f>
        <v>0</v>
      </c>
    </row>
    <row r="761" spans="1:20">
      <c r="A761">
        <v>829</v>
      </c>
      <c r="B761" s="12">
        <v>45864</v>
      </c>
      <c r="D761" t="s">
        <v>809</v>
      </c>
      <c r="E761" t="s">
        <v>638</v>
      </c>
      <c r="F761" t="s">
        <v>294</v>
      </c>
      <c r="G761" s="3">
        <f>8*4</f>
        <v>32</v>
      </c>
      <c r="H761" s="3">
        <f>G761*0.4</f>
        <v>12.8</v>
      </c>
      <c r="I761" s="8">
        <f>G761*0.15</f>
        <v>4.8</v>
      </c>
      <c r="J761" s="3">
        <f>G761+H761</f>
        <v>44.8</v>
      </c>
      <c r="K761" s="3">
        <f>J761*1.13</f>
        <v>50.623999999999995</v>
      </c>
      <c r="L761" s="25">
        <v>0</v>
      </c>
      <c r="O761" s="3">
        <f>19+43</f>
        <v>62</v>
      </c>
      <c r="P761" s="3">
        <f>16.36+37.94</f>
        <v>54.3</v>
      </c>
      <c r="Q761" s="3">
        <f>P761-G761</f>
        <v>22.299999999999997</v>
      </c>
      <c r="R761" s="10">
        <f>Q761/O761</f>
        <v>0.35967741935483866</v>
      </c>
      <c r="S761" s="13">
        <v>45864</v>
      </c>
      <c r="T761" s="7">
        <f ca="1">IF(S761&lt;&gt;"",S761-B761,TODAY()-B761)</f>
        <v>0</v>
      </c>
    </row>
    <row r="762" spans="1:20">
      <c r="A762">
        <v>830</v>
      </c>
      <c r="B762" s="12">
        <v>45864</v>
      </c>
      <c r="D762" t="s">
        <v>809</v>
      </c>
      <c r="E762" t="s">
        <v>1165</v>
      </c>
      <c r="F762" t="s">
        <v>294</v>
      </c>
      <c r="G762" s="3">
        <v>0.01</v>
      </c>
      <c r="H762" s="3">
        <f>G762*0.4</f>
        <v>4.0000000000000001E-3</v>
      </c>
      <c r="I762" s="8">
        <f>G762*0.15</f>
        <v>1.5E-3</v>
      </c>
      <c r="J762" s="3">
        <f>G762+H762</f>
        <v>1.4E-2</v>
      </c>
      <c r="K762" s="3">
        <f>J762*1.13</f>
        <v>1.5819999999999997E-2</v>
      </c>
      <c r="L762" s="25">
        <v>0</v>
      </c>
      <c r="O762" s="3">
        <v>19</v>
      </c>
      <c r="P762" s="3">
        <v>16.3</v>
      </c>
      <c r="Q762" s="3">
        <f>P762-G762</f>
        <v>16.29</v>
      </c>
      <c r="R762" s="10">
        <f>Q762/O762</f>
        <v>0.85736842105263156</v>
      </c>
      <c r="S762" s="13">
        <v>45864</v>
      </c>
      <c r="T762" s="7">
        <f ca="1">IF(S762&lt;&gt;"",S762-B762,TODAY()-B762)</f>
        <v>0</v>
      </c>
    </row>
    <row r="763" spans="1:20">
      <c r="A763">
        <v>831</v>
      </c>
      <c r="B763" s="12">
        <v>45864</v>
      </c>
      <c r="D763" t="s">
        <v>809</v>
      </c>
      <c r="E763" t="s">
        <v>1136</v>
      </c>
      <c r="F763" t="s">
        <v>294</v>
      </c>
      <c r="G763" s="3">
        <v>19.91</v>
      </c>
      <c r="H763" s="3">
        <f>G763*0.4</f>
        <v>7.9640000000000004</v>
      </c>
      <c r="I763" s="8">
        <f>G763*0.15</f>
        <v>2.9864999999999999</v>
      </c>
      <c r="J763" s="3">
        <f>G763+H763</f>
        <v>27.874000000000002</v>
      </c>
      <c r="K763" s="3">
        <f>J763*1.13</f>
        <v>31.497620000000001</v>
      </c>
      <c r="L763" s="25">
        <v>0</v>
      </c>
      <c r="O763" s="3">
        <v>25</v>
      </c>
      <c r="P763" s="3">
        <v>21.69</v>
      </c>
      <c r="Q763" s="3">
        <f>P763-G763</f>
        <v>1.7800000000000011</v>
      </c>
      <c r="R763" s="10">
        <f>Q763/O763</f>
        <v>7.1200000000000041E-2</v>
      </c>
      <c r="S763" s="13">
        <v>45864</v>
      </c>
      <c r="T763" s="7">
        <f ca="1">IF(S763&lt;&gt;"",S763-B763,TODAY()-B763)</f>
        <v>0</v>
      </c>
    </row>
    <row r="764" spans="1:20">
      <c r="A764">
        <v>832</v>
      </c>
      <c r="B764" s="12">
        <v>45864</v>
      </c>
      <c r="D764" t="s">
        <v>809</v>
      </c>
      <c r="E764" t="s">
        <v>1166</v>
      </c>
      <c r="F764" t="s">
        <v>294</v>
      </c>
      <c r="G764" s="3">
        <v>40</v>
      </c>
      <c r="H764" s="3">
        <f>G764*0.4</f>
        <v>16</v>
      </c>
      <c r="I764" s="8">
        <f>G764*0.15</f>
        <v>6</v>
      </c>
      <c r="J764" s="3">
        <f>G764+H764</f>
        <v>56</v>
      </c>
      <c r="K764" s="3">
        <f>J764*1.13</f>
        <v>63.279999999999994</v>
      </c>
      <c r="L764" s="25">
        <v>0</v>
      </c>
      <c r="O764" s="3">
        <v>44</v>
      </c>
      <c r="P764" s="3">
        <v>38.83</v>
      </c>
      <c r="Q764" s="3">
        <f>P764-G764</f>
        <v>-1.1700000000000017</v>
      </c>
      <c r="R764" s="10">
        <f>Q764/O764</f>
        <v>-2.659090909090913E-2</v>
      </c>
      <c r="S764" s="13">
        <v>45864</v>
      </c>
      <c r="T764" s="7">
        <f ca="1">IF(S764&lt;&gt;"",S764-B764,TODAY()-B764)</f>
        <v>0</v>
      </c>
    </row>
    <row r="765" spans="1:20">
      <c r="A765">
        <v>833</v>
      </c>
      <c r="B765" s="12">
        <v>45865</v>
      </c>
      <c r="D765" t="s">
        <v>809</v>
      </c>
      <c r="E765" t="s">
        <v>1167</v>
      </c>
      <c r="F765" t="s">
        <v>294</v>
      </c>
      <c r="G765" s="3">
        <v>30</v>
      </c>
      <c r="H765" s="3">
        <f>G765*0.4</f>
        <v>12</v>
      </c>
      <c r="I765" s="8">
        <f>G765*0.15</f>
        <v>4.5</v>
      </c>
      <c r="J765" s="3">
        <f>G765+H765</f>
        <v>42</v>
      </c>
      <c r="K765" s="3">
        <f>J765*1.13</f>
        <v>47.459999999999994</v>
      </c>
      <c r="L765" s="25">
        <v>0</v>
      </c>
      <c r="O765" s="3">
        <v>39</v>
      </c>
      <c r="P765" s="3">
        <v>34.119999999999997</v>
      </c>
      <c r="Q765" s="3">
        <f>P765-G765</f>
        <v>4.1199999999999974</v>
      </c>
      <c r="R765" s="10">
        <f>Q765/O765</f>
        <v>0.10564102564102558</v>
      </c>
      <c r="S765" s="13">
        <v>45865</v>
      </c>
      <c r="T765" s="7">
        <f t="shared" ref="T765:T767" ca="1" si="0">IF(S765&lt;&gt;"",S765-B765,TODAY()-B765)</f>
        <v>0</v>
      </c>
    </row>
    <row r="766" spans="1:20">
      <c r="A766">
        <v>834</v>
      </c>
      <c r="B766" s="12">
        <v>45788</v>
      </c>
      <c r="D766" t="s">
        <v>1040</v>
      </c>
      <c r="E766" t="s">
        <v>1168</v>
      </c>
      <c r="F766" t="s">
        <v>309</v>
      </c>
      <c r="G766" s="3">
        <v>240</v>
      </c>
      <c r="H766" s="3">
        <f>G766*0.4</f>
        <v>96</v>
      </c>
      <c r="I766" s="8">
        <f>G766*0.15</f>
        <v>36</v>
      </c>
      <c r="J766" s="3">
        <f>G766+H766</f>
        <v>336</v>
      </c>
      <c r="K766" s="3">
        <f>J766*1.13</f>
        <v>379.67999999999995</v>
      </c>
      <c r="L766" s="25">
        <v>0</v>
      </c>
      <c r="O766" s="3">
        <v>375</v>
      </c>
      <c r="P766" s="3">
        <v>332.72</v>
      </c>
      <c r="Q766" s="3">
        <f>P766-G766</f>
        <v>92.720000000000027</v>
      </c>
      <c r="R766" s="10">
        <f>Q766/O766</f>
        <v>0.24725333333333341</v>
      </c>
      <c r="S766" s="13">
        <v>45865</v>
      </c>
      <c r="T766" s="7">
        <f t="shared" ca="1" si="0"/>
        <v>77</v>
      </c>
    </row>
    <row r="767" spans="1:20">
      <c r="A767">
        <v>835</v>
      </c>
      <c r="B767" s="12">
        <v>45865</v>
      </c>
      <c r="D767" t="s">
        <v>809</v>
      </c>
      <c r="E767" t="s">
        <v>1169</v>
      </c>
      <c r="F767" t="s">
        <v>294</v>
      </c>
      <c r="G767" s="3">
        <v>10</v>
      </c>
      <c r="H767" s="3">
        <f>G767*0.4</f>
        <v>4</v>
      </c>
      <c r="I767" s="8">
        <f>G767*0.15</f>
        <v>1.5</v>
      </c>
      <c r="J767" s="3">
        <f>G767+H767</f>
        <v>14</v>
      </c>
      <c r="K767" s="3">
        <f>J767*1.13</f>
        <v>15.819999999999999</v>
      </c>
      <c r="L767" s="25">
        <v>0</v>
      </c>
      <c r="O767" s="3">
        <v>25</v>
      </c>
      <c r="P767" s="3">
        <v>21.89</v>
      </c>
      <c r="Q767" s="3">
        <f>P767-G767</f>
        <v>11.89</v>
      </c>
      <c r="R767" s="10">
        <f>Q767/O767</f>
        <v>0.47560000000000002</v>
      </c>
      <c r="S767" s="13">
        <v>45865</v>
      </c>
      <c r="T767" s="7">
        <f t="shared" ca="1" si="0"/>
        <v>0</v>
      </c>
    </row>
    <row r="768" spans="1:20">
      <c r="A768">
        <v>836</v>
      </c>
      <c r="B768" s="12">
        <v>45865</v>
      </c>
      <c r="D768" t="s">
        <v>809</v>
      </c>
      <c r="E768" t="s">
        <v>957</v>
      </c>
      <c r="F768" t="s">
        <v>294</v>
      </c>
      <c r="G768" s="3">
        <f>(33*0.4)+26.93</f>
        <v>40.130000000000003</v>
      </c>
      <c r="H768" s="3">
        <f>G768*0.4</f>
        <v>16.052000000000003</v>
      </c>
      <c r="I768" s="8">
        <f>G768*0.15</f>
        <v>6.0194999999999999</v>
      </c>
      <c r="J768" s="3">
        <f>G768+H768</f>
        <v>56.182000000000002</v>
      </c>
      <c r="K768" s="3">
        <f>J768*1.13</f>
        <v>63.485659999999996</v>
      </c>
      <c r="L768" s="25">
        <v>0</v>
      </c>
      <c r="O768" s="3">
        <v>0</v>
      </c>
      <c r="P768" s="3">
        <v>0</v>
      </c>
      <c r="Q768" s="3">
        <f>P768-G768</f>
        <v>-40.130000000000003</v>
      </c>
      <c r="R768" s="10" t="e">
        <f>Q768/O768</f>
        <v>#DIV/0!</v>
      </c>
      <c r="S768" s="13">
        <v>45865</v>
      </c>
    </row>
    <row r="769" spans="1:20">
      <c r="A769">
        <v>837</v>
      </c>
      <c r="B769" s="12">
        <v>45865</v>
      </c>
      <c r="D769" t="s">
        <v>809</v>
      </c>
      <c r="E769" t="s">
        <v>821</v>
      </c>
      <c r="F769" t="s">
        <v>294</v>
      </c>
      <c r="G769" s="3">
        <v>128.68</v>
      </c>
      <c r="H769" s="3">
        <f>G769*0.4</f>
        <v>51.472000000000008</v>
      </c>
      <c r="I769" s="8">
        <f>G769*0.15</f>
        <v>19.302</v>
      </c>
      <c r="J769" s="3">
        <f>G769+H769</f>
        <v>180.15200000000002</v>
      </c>
      <c r="K769" s="3">
        <f>J769*1.13</f>
        <v>203.57176000000001</v>
      </c>
      <c r="L769" s="25">
        <v>0</v>
      </c>
      <c r="O769" s="3">
        <v>0</v>
      </c>
      <c r="P769" s="3">
        <v>0</v>
      </c>
      <c r="Q769" s="3">
        <f>P769-G769</f>
        <v>-128.68</v>
      </c>
      <c r="R769" s="10" t="e">
        <f>Q769/O769</f>
        <v>#DIV/0!</v>
      </c>
      <c r="S769" s="13">
        <v>45865</v>
      </c>
    </row>
    <row r="770" spans="1:20">
      <c r="A770">
        <v>838</v>
      </c>
      <c r="B770" s="12">
        <v>45740</v>
      </c>
      <c r="D770" t="s">
        <v>1046</v>
      </c>
      <c r="E770" t="s">
        <v>1170</v>
      </c>
      <c r="F770" t="s">
        <v>254</v>
      </c>
      <c r="G770" s="3">
        <v>131.77000000000001</v>
      </c>
      <c r="H770" s="3">
        <f>G770*0.4</f>
        <v>52.708000000000006</v>
      </c>
      <c r="I770" s="8">
        <f>G770*0.15</f>
        <v>19.765499999999999</v>
      </c>
      <c r="J770" s="3">
        <f>G770+H770</f>
        <v>184.47800000000001</v>
      </c>
      <c r="K770" s="3">
        <f>J770*1.13</f>
        <v>208.46014</v>
      </c>
      <c r="L770" s="25">
        <v>0</v>
      </c>
      <c r="O770" s="3">
        <v>381.5</v>
      </c>
      <c r="P770" s="3">
        <v>232.72</v>
      </c>
      <c r="Q770" s="3">
        <f>P770-G770</f>
        <v>100.94999999999999</v>
      </c>
      <c r="R770" s="10">
        <f>Q770/O770</f>
        <v>0.26461336828309301</v>
      </c>
      <c r="S770" s="13">
        <v>45839</v>
      </c>
    </row>
    <row r="771" spans="1:20">
      <c r="A771">
        <v>839</v>
      </c>
      <c r="B771" s="12">
        <v>45793</v>
      </c>
      <c r="D771" t="s">
        <v>58</v>
      </c>
      <c r="E771" t="s">
        <v>1171</v>
      </c>
      <c r="F771" t="s">
        <v>1172</v>
      </c>
      <c r="G771" s="3">
        <v>200</v>
      </c>
      <c r="H771" s="3">
        <f>G771*0.4</f>
        <v>80</v>
      </c>
      <c r="I771" s="8">
        <f>G771*0.15</f>
        <v>30</v>
      </c>
      <c r="J771" s="3">
        <f>G771+H771</f>
        <v>280</v>
      </c>
      <c r="K771" s="3">
        <f>J771*1.13</f>
        <v>316.39999999999998</v>
      </c>
      <c r="L771" s="25">
        <v>0</v>
      </c>
      <c r="O771" s="3">
        <v>356</v>
      </c>
      <c r="P771" s="3">
        <v>217.16</v>
      </c>
      <c r="Q771" s="3">
        <f>P771-G771</f>
        <v>17.159999999999997</v>
      </c>
      <c r="R771" s="10">
        <f>Q771/O771</f>
        <v>4.8202247191011224E-2</v>
      </c>
      <c r="S771" s="13">
        <v>45839</v>
      </c>
      <c r="T771" s="7">
        <f ca="1">IF(S771&lt;&gt;"",S771-B771,TODAY()-B771)</f>
        <v>46</v>
      </c>
    </row>
  </sheetData>
  <autoFilter ref="A1:X771" xr:uid="{B742D92D-7ECA-6241-9E39-6410AB084CCF}">
    <filterColumn colId="14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A396-1610-254E-9702-11BFABB3F6C6}">
  <dimension ref="A1:X130"/>
  <sheetViews>
    <sheetView topLeftCell="B1" workbookViewId="0">
      <pane ySplit="1" topLeftCell="A2" activePane="bottomLeft" state="frozen"/>
      <selection pane="bottomLeft" activeCell="V3" sqref="V3"/>
    </sheetView>
  </sheetViews>
  <sheetFormatPr defaultColWidth="10.6640625" defaultRowHeight="15.5"/>
  <cols>
    <col min="2" max="2" width="55.6640625" customWidth="1"/>
    <col min="3" max="3" width="17" customWidth="1"/>
    <col min="4" max="14" width="10.83203125" hidden="1" customWidth="1"/>
    <col min="15" max="15" width="10.83203125" style="3"/>
    <col min="18" max="18" width="10.83203125" style="3"/>
    <col min="19" max="19" width="10.83203125" style="7"/>
    <col min="20" max="20" width="10.83203125" style="3"/>
    <col min="21" max="22" width="20.33203125" style="13" customWidth="1"/>
    <col min="23" max="23" width="24.6640625" style="3" customWidth="1"/>
    <col min="24" max="24" width="21.83203125" customWidth="1"/>
  </cols>
  <sheetData>
    <row r="1" spans="1:24" s="4" customFormat="1" ht="18.5">
      <c r="A1" s="4" t="s">
        <v>211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5" t="s">
        <v>206</v>
      </c>
      <c r="P1" s="4" t="s">
        <v>195</v>
      </c>
      <c r="Q1" s="4" t="s">
        <v>196</v>
      </c>
      <c r="R1" s="5" t="s">
        <v>263</v>
      </c>
      <c r="S1" s="6" t="s">
        <v>208</v>
      </c>
      <c r="T1" s="5" t="s">
        <v>201</v>
      </c>
      <c r="U1" s="14" t="s">
        <v>355</v>
      </c>
      <c r="V1" s="14" t="s">
        <v>436</v>
      </c>
      <c r="W1" s="5" t="s">
        <v>435</v>
      </c>
      <c r="X1" s="4" t="s">
        <v>242</v>
      </c>
    </row>
    <row r="2" spans="1:24">
      <c r="A2">
        <v>1</v>
      </c>
      <c r="B2" t="s">
        <v>198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2">
        <v>101</v>
      </c>
      <c r="J2">
        <v>1</v>
      </c>
      <c r="K2" s="2">
        <v>101</v>
      </c>
      <c r="L2" s="2">
        <v>9.2100000000000009</v>
      </c>
      <c r="M2" s="2">
        <v>9.81</v>
      </c>
      <c r="N2" t="s">
        <v>25</v>
      </c>
      <c r="O2" s="3">
        <v>120.02</v>
      </c>
      <c r="P2" s="2">
        <f t="shared" ref="P2:P18" si="0">O2*0.3</f>
        <v>36.006</v>
      </c>
      <c r="Q2" s="8">
        <f t="shared" ref="Q2:Q18" si="1">O2*0.15</f>
        <v>18.003</v>
      </c>
      <c r="R2" s="3">
        <f t="shared" ref="R2:R33" si="2">O2+P2</f>
        <v>156.02600000000001</v>
      </c>
      <c r="S2" s="7">
        <v>1</v>
      </c>
      <c r="T2" s="8">
        <v>210</v>
      </c>
      <c r="U2" s="10"/>
      <c r="V2" s="3">
        <f t="shared" ref="V2:V33" si="3">IF((O2+P2)&lt;15,(O2+P2+2.95), ((O2+P2)*1.2))</f>
        <v>187.2312</v>
      </c>
      <c r="W2" s="3">
        <f t="shared" ref="W2:W33" si="4">IF((O2+Q2)&lt;15,(O2+Q2+2.95), ((O2+Q2)*1.2))</f>
        <v>165.6276</v>
      </c>
      <c r="X2" t="s">
        <v>393</v>
      </c>
    </row>
    <row r="3" spans="1:24">
      <c r="A3">
        <v>2</v>
      </c>
      <c r="B3" t="s">
        <v>199</v>
      </c>
      <c r="C3" t="s">
        <v>20</v>
      </c>
      <c r="D3" t="s">
        <v>21</v>
      </c>
      <c r="E3" t="s">
        <v>26</v>
      </c>
      <c r="F3" t="s">
        <v>23</v>
      </c>
      <c r="G3" t="s">
        <v>24</v>
      </c>
      <c r="H3" t="s">
        <v>25</v>
      </c>
      <c r="I3" s="2">
        <v>90</v>
      </c>
      <c r="J3">
        <v>1</v>
      </c>
      <c r="K3" s="2">
        <v>90</v>
      </c>
      <c r="L3" s="2">
        <v>9.2100000000000009</v>
      </c>
      <c r="M3" s="2">
        <v>8.83</v>
      </c>
      <c r="N3" t="s">
        <v>25</v>
      </c>
      <c r="O3" s="3">
        <v>108.04</v>
      </c>
      <c r="P3" s="2">
        <f t="shared" si="0"/>
        <v>32.411999999999999</v>
      </c>
      <c r="Q3" s="8">
        <f t="shared" si="1"/>
        <v>16.206</v>
      </c>
      <c r="R3" s="3">
        <f t="shared" si="2"/>
        <v>140.452</v>
      </c>
      <c r="S3" s="7">
        <v>1</v>
      </c>
      <c r="T3" s="8">
        <v>275</v>
      </c>
      <c r="U3" s="10"/>
      <c r="V3" s="3">
        <f t="shared" si="3"/>
        <v>168.54239999999999</v>
      </c>
      <c r="W3" s="3">
        <f t="shared" si="4"/>
        <v>149.09520000000001</v>
      </c>
      <c r="X3" t="s">
        <v>395</v>
      </c>
    </row>
    <row r="4" spans="1:24">
      <c r="A4">
        <v>3</v>
      </c>
      <c r="B4" t="s">
        <v>200</v>
      </c>
      <c r="C4" t="s">
        <v>28</v>
      </c>
      <c r="D4" t="s">
        <v>29</v>
      </c>
      <c r="E4" t="s">
        <v>30</v>
      </c>
      <c r="F4" t="s">
        <v>23</v>
      </c>
      <c r="G4" t="s">
        <v>24</v>
      </c>
      <c r="H4" t="s">
        <v>25</v>
      </c>
      <c r="I4" s="2">
        <v>68</v>
      </c>
      <c r="J4">
        <v>1</v>
      </c>
      <c r="K4" s="2">
        <v>68</v>
      </c>
      <c r="L4" s="2">
        <v>3.12</v>
      </c>
      <c r="M4" s="2">
        <v>6.32</v>
      </c>
      <c r="N4" t="s">
        <v>25</v>
      </c>
      <c r="O4" s="3">
        <v>77.44</v>
      </c>
      <c r="P4" s="2">
        <f t="shared" si="0"/>
        <v>23.231999999999999</v>
      </c>
      <c r="Q4" s="8">
        <f t="shared" si="1"/>
        <v>11.616</v>
      </c>
      <c r="R4" s="3">
        <f t="shared" si="2"/>
        <v>100.672</v>
      </c>
      <c r="S4" s="7">
        <v>1</v>
      </c>
      <c r="T4" s="8">
        <v>225</v>
      </c>
      <c r="U4" s="10"/>
      <c r="V4" s="3">
        <f t="shared" si="3"/>
        <v>120.8064</v>
      </c>
      <c r="W4" s="3">
        <f t="shared" si="4"/>
        <v>106.8672</v>
      </c>
    </row>
    <row r="5" spans="1:24">
      <c r="A5">
        <v>4</v>
      </c>
      <c r="B5" t="s">
        <v>32</v>
      </c>
      <c r="C5" t="s">
        <v>33</v>
      </c>
      <c r="H5" t="s">
        <v>25</v>
      </c>
      <c r="J5">
        <v>1</v>
      </c>
      <c r="O5" s="3">
        <v>43.34</v>
      </c>
      <c r="P5" s="2">
        <f t="shared" si="0"/>
        <v>13.002000000000001</v>
      </c>
      <c r="Q5" s="8">
        <f t="shared" si="1"/>
        <v>6.5010000000000003</v>
      </c>
      <c r="R5" s="3">
        <f t="shared" si="2"/>
        <v>56.342000000000006</v>
      </c>
      <c r="S5" s="7">
        <v>1</v>
      </c>
      <c r="T5" s="8"/>
      <c r="U5" s="10"/>
      <c r="V5" s="3">
        <f t="shared" si="3"/>
        <v>67.610399999999998</v>
      </c>
      <c r="W5" s="3">
        <f t="shared" si="4"/>
        <v>59.809199999999997</v>
      </c>
    </row>
    <row r="6" spans="1:24">
      <c r="A6">
        <v>6</v>
      </c>
      <c r="B6" t="s">
        <v>202</v>
      </c>
      <c r="C6" t="s">
        <v>202</v>
      </c>
      <c r="D6" t="s">
        <v>35</v>
      </c>
      <c r="E6" t="s">
        <v>36</v>
      </c>
      <c r="F6" t="s">
        <v>23</v>
      </c>
      <c r="G6" t="s">
        <v>24</v>
      </c>
      <c r="H6" t="s">
        <v>25</v>
      </c>
      <c r="I6" s="2">
        <v>19</v>
      </c>
      <c r="J6">
        <v>1</v>
      </c>
      <c r="K6" s="2">
        <v>19</v>
      </c>
      <c r="L6" s="2">
        <v>6.82</v>
      </c>
      <c r="M6" s="2">
        <v>2.29</v>
      </c>
      <c r="N6" t="s">
        <v>25</v>
      </c>
      <c r="O6" s="3">
        <v>28.11</v>
      </c>
      <c r="P6" s="2">
        <f t="shared" si="0"/>
        <v>8.4329999999999998</v>
      </c>
      <c r="Q6" s="8">
        <f t="shared" si="1"/>
        <v>4.2164999999999999</v>
      </c>
      <c r="R6" s="3">
        <f t="shared" si="2"/>
        <v>36.542999999999999</v>
      </c>
      <c r="S6" s="7">
        <v>1</v>
      </c>
      <c r="T6" s="8"/>
      <c r="U6" s="10"/>
      <c r="V6" s="3">
        <f t="shared" si="3"/>
        <v>43.851599999999998</v>
      </c>
      <c r="W6" s="3">
        <f t="shared" si="4"/>
        <v>38.791799999999995</v>
      </c>
    </row>
    <row r="7" spans="1:24">
      <c r="A7">
        <v>7</v>
      </c>
      <c r="B7" t="s">
        <v>203</v>
      </c>
      <c r="C7" t="s">
        <v>38</v>
      </c>
      <c r="H7" t="s">
        <v>25</v>
      </c>
      <c r="I7" s="2">
        <v>99</v>
      </c>
      <c r="J7">
        <v>1</v>
      </c>
      <c r="K7" s="2">
        <v>99</v>
      </c>
      <c r="L7" s="2">
        <v>0</v>
      </c>
      <c r="M7" s="2">
        <v>8.81</v>
      </c>
      <c r="N7" t="s">
        <v>25</v>
      </c>
      <c r="O7" s="3">
        <v>107.81</v>
      </c>
      <c r="P7" s="2">
        <f t="shared" si="0"/>
        <v>32.342999999999996</v>
      </c>
      <c r="Q7" s="8">
        <f t="shared" si="1"/>
        <v>16.171499999999998</v>
      </c>
      <c r="R7" s="3">
        <f t="shared" si="2"/>
        <v>140.15299999999999</v>
      </c>
      <c r="S7" s="7">
        <v>1</v>
      </c>
      <c r="T7" s="8"/>
      <c r="U7" s="10"/>
      <c r="V7" s="3">
        <f t="shared" si="3"/>
        <v>168.18359999999998</v>
      </c>
      <c r="W7" s="3">
        <f t="shared" si="4"/>
        <v>148.77779999999998</v>
      </c>
      <c r="X7" t="s">
        <v>395</v>
      </c>
    </row>
    <row r="8" spans="1:24">
      <c r="A8">
        <v>8</v>
      </c>
      <c r="B8" t="s">
        <v>204</v>
      </c>
      <c r="H8" t="s">
        <v>25</v>
      </c>
      <c r="I8" s="2">
        <v>114</v>
      </c>
      <c r="J8">
        <v>1</v>
      </c>
      <c r="K8" s="2">
        <v>114</v>
      </c>
      <c r="L8" s="2">
        <v>9.2100000000000009</v>
      </c>
      <c r="M8" s="2">
        <v>10.97</v>
      </c>
      <c r="N8" t="s">
        <v>25</v>
      </c>
      <c r="O8" s="3">
        <v>107.81</v>
      </c>
      <c r="P8" s="2">
        <f t="shared" si="0"/>
        <v>32.342999999999996</v>
      </c>
      <c r="Q8" s="8">
        <f t="shared" si="1"/>
        <v>16.171499999999998</v>
      </c>
      <c r="R8" s="3">
        <f t="shared" si="2"/>
        <v>140.15299999999999</v>
      </c>
      <c r="S8" s="7">
        <v>1</v>
      </c>
      <c r="T8" s="8"/>
      <c r="U8" s="10"/>
      <c r="V8" s="3">
        <f t="shared" si="3"/>
        <v>168.18359999999998</v>
      </c>
      <c r="W8" s="3">
        <f t="shared" si="4"/>
        <v>148.77779999999998</v>
      </c>
    </row>
    <row r="9" spans="1:24">
      <c r="A9">
        <v>9</v>
      </c>
      <c r="B9" t="s">
        <v>205</v>
      </c>
      <c r="H9" t="s">
        <v>25</v>
      </c>
      <c r="J9">
        <v>1</v>
      </c>
      <c r="O9" s="3">
        <v>134.18</v>
      </c>
      <c r="P9" s="2">
        <f t="shared" si="0"/>
        <v>40.253999999999998</v>
      </c>
      <c r="Q9" s="8">
        <f t="shared" si="1"/>
        <v>20.126999999999999</v>
      </c>
      <c r="R9" s="3">
        <f t="shared" si="2"/>
        <v>174.434</v>
      </c>
      <c r="S9" s="7">
        <v>1</v>
      </c>
      <c r="T9" s="8"/>
      <c r="U9" s="10"/>
      <c r="V9" s="3">
        <f t="shared" si="3"/>
        <v>209.32079999999999</v>
      </c>
      <c r="W9" s="3">
        <f t="shared" si="4"/>
        <v>185.16840000000002</v>
      </c>
      <c r="X9" t="s">
        <v>392</v>
      </c>
    </row>
    <row r="10" spans="1:24">
      <c r="A10">
        <v>10</v>
      </c>
      <c r="B10" t="s">
        <v>40</v>
      </c>
      <c r="C10" t="s">
        <v>41</v>
      </c>
      <c r="D10" t="s">
        <v>29</v>
      </c>
      <c r="E10" t="s">
        <v>42</v>
      </c>
      <c r="F10" t="s">
        <v>23</v>
      </c>
      <c r="G10" t="s">
        <v>24</v>
      </c>
      <c r="H10" t="s">
        <v>25</v>
      </c>
      <c r="I10" s="2">
        <v>19</v>
      </c>
      <c r="J10">
        <v>1</v>
      </c>
      <c r="K10" s="2">
        <v>19</v>
      </c>
      <c r="L10" s="2">
        <v>9.2100000000000009</v>
      </c>
      <c r="M10" s="2">
        <v>2.5099999999999998</v>
      </c>
      <c r="N10" t="s">
        <v>25</v>
      </c>
      <c r="O10" s="3">
        <v>30.72</v>
      </c>
      <c r="P10" s="2">
        <f t="shared" si="0"/>
        <v>9.2159999999999993</v>
      </c>
      <c r="Q10" s="8">
        <f t="shared" si="1"/>
        <v>4.6079999999999997</v>
      </c>
      <c r="R10" s="3">
        <f t="shared" si="2"/>
        <v>39.936</v>
      </c>
      <c r="S10" s="7">
        <v>1</v>
      </c>
      <c r="T10" s="8">
        <v>60</v>
      </c>
      <c r="U10" s="10"/>
      <c r="V10" s="3">
        <f t="shared" si="3"/>
        <v>47.923200000000001</v>
      </c>
      <c r="W10" s="3">
        <f t="shared" si="4"/>
        <v>42.393599999999992</v>
      </c>
    </row>
    <row r="11" spans="1:24">
      <c r="A11">
        <v>12</v>
      </c>
      <c r="B11" t="s">
        <v>212</v>
      </c>
      <c r="C11" t="s">
        <v>49</v>
      </c>
      <c r="D11" t="s">
        <v>21</v>
      </c>
      <c r="E11" t="s">
        <v>50</v>
      </c>
      <c r="F11" t="s">
        <v>23</v>
      </c>
      <c r="G11" t="s">
        <v>24</v>
      </c>
      <c r="H11" t="s">
        <v>25</v>
      </c>
      <c r="I11" s="2">
        <v>73</v>
      </c>
      <c r="J11">
        <v>1</v>
      </c>
      <c r="K11" s="2">
        <v>73</v>
      </c>
      <c r="L11" s="2">
        <v>9.2100000000000009</v>
      </c>
      <c r="M11" s="2">
        <v>7.32</v>
      </c>
      <c r="N11" t="s">
        <v>25</v>
      </c>
      <c r="O11" s="3">
        <v>89.53</v>
      </c>
      <c r="P11" s="2">
        <f t="shared" si="0"/>
        <v>26.858999999999998</v>
      </c>
      <c r="Q11" s="8">
        <f t="shared" si="1"/>
        <v>13.429499999999999</v>
      </c>
      <c r="R11" s="3">
        <f t="shared" si="2"/>
        <v>116.389</v>
      </c>
      <c r="S11" s="7">
        <v>1</v>
      </c>
      <c r="T11" s="8"/>
      <c r="U11" s="10"/>
      <c r="V11" s="3">
        <f t="shared" si="3"/>
        <v>139.66679999999999</v>
      </c>
      <c r="W11" s="3">
        <f t="shared" si="4"/>
        <v>123.5514</v>
      </c>
    </row>
    <row r="12" spans="1:24">
      <c r="A12">
        <v>14</v>
      </c>
      <c r="B12" t="s">
        <v>213</v>
      </c>
      <c r="C12" t="s">
        <v>214</v>
      </c>
      <c r="D12" t="s">
        <v>21</v>
      </c>
      <c r="E12" t="s">
        <v>54</v>
      </c>
      <c r="F12" t="s">
        <v>23</v>
      </c>
      <c r="G12" t="s">
        <v>24</v>
      </c>
      <c r="H12" t="s">
        <v>25</v>
      </c>
      <c r="I12" s="2">
        <v>61</v>
      </c>
      <c r="J12">
        <v>1</v>
      </c>
      <c r="K12" s="2">
        <v>61</v>
      </c>
      <c r="L12" s="2">
        <v>7.73</v>
      </c>
      <c r="M12" s="2">
        <v>6.12</v>
      </c>
      <c r="N12" t="s">
        <v>25</v>
      </c>
      <c r="O12" s="3">
        <v>74.849999999999994</v>
      </c>
      <c r="P12" s="2">
        <f t="shared" si="0"/>
        <v>22.454999999999998</v>
      </c>
      <c r="Q12" s="8">
        <f t="shared" si="1"/>
        <v>11.227499999999999</v>
      </c>
      <c r="R12" s="3">
        <f t="shared" si="2"/>
        <v>97.304999999999993</v>
      </c>
      <c r="S12" s="7">
        <v>1</v>
      </c>
      <c r="T12" s="8">
        <v>200</v>
      </c>
      <c r="U12" s="10"/>
      <c r="V12" s="3">
        <f t="shared" si="3"/>
        <v>116.76599999999999</v>
      </c>
      <c r="W12" s="3">
        <f t="shared" si="4"/>
        <v>103.29299999999998</v>
      </c>
    </row>
    <row r="13" spans="1:24">
      <c r="A13">
        <v>15</v>
      </c>
      <c r="B13" t="s">
        <v>215</v>
      </c>
      <c r="C13" t="s">
        <v>56</v>
      </c>
      <c r="D13" t="s">
        <v>21</v>
      </c>
      <c r="E13" t="s">
        <v>57</v>
      </c>
      <c r="F13" t="s">
        <v>23</v>
      </c>
      <c r="G13" t="s">
        <v>24</v>
      </c>
      <c r="H13" t="s">
        <v>25</v>
      </c>
      <c r="I13" s="2">
        <v>83</v>
      </c>
      <c r="J13">
        <v>1</v>
      </c>
      <c r="K13" s="2">
        <v>83</v>
      </c>
      <c r="L13" s="2">
        <v>9.2100000000000009</v>
      </c>
      <c r="M13" s="2">
        <v>8.2100000000000009</v>
      </c>
      <c r="N13" t="s">
        <v>25</v>
      </c>
      <c r="O13" s="3">
        <v>100.42</v>
      </c>
      <c r="P13" s="2">
        <f t="shared" si="0"/>
        <v>30.125999999999998</v>
      </c>
      <c r="Q13" s="8">
        <f t="shared" si="1"/>
        <v>15.062999999999999</v>
      </c>
      <c r="R13" s="3">
        <f t="shared" si="2"/>
        <v>130.54599999999999</v>
      </c>
      <c r="S13" s="7">
        <v>1</v>
      </c>
      <c r="T13" s="8">
        <v>150</v>
      </c>
      <c r="U13" s="10"/>
      <c r="V13" s="3">
        <f t="shared" si="3"/>
        <v>156.65519999999998</v>
      </c>
      <c r="W13" s="3">
        <f t="shared" si="4"/>
        <v>138.5796</v>
      </c>
    </row>
    <row r="14" spans="1:24">
      <c r="A14">
        <v>16</v>
      </c>
      <c r="B14" t="s">
        <v>216</v>
      </c>
      <c r="C14" t="s">
        <v>59</v>
      </c>
      <c r="D14" t="s">
        <v>60</v>
      </c>
      <c r="E14" t="s">
        <v>61</v>
      </c>
      <c r="F14" t="s">
        <v>23</v>
      </c>
      <c r="G14" t="s">
        <v>24</v>
      </c>
      <c r="H14" t="s">
        <v>25</v>
      </c>
      <c r="I14" s="2">
        <v>14</v>
      </c>
      <c r="J14">
        <v>1</v>
      </c>
      <c r="K14" s="2">
        <v>14</v>
      </c>
      <c r="L14" s="2">
        <v>4.8</v>
      </c>
      <c r="M14" s="2">
        <v>1.67</v>
      </c>
      <c r="N14" t="s">
        <v>25</v>
      </c>
      <c r="O14" s="3">
        <v>20.47</v>
      </c>
      <c r="P14" s="2">
        <f t="shared" si="0"/>
        <v>6.1409999999999991</v>
      </c>
      <c r="Q14" s="8">
        <f t="shared" si="1"/>
        <v>3.0704999999999996</v>
      </c>
      <c r="R14" s="3">
        <f t="shared" si="2"/>
        <v>26.610999999999997</v>
      </c>
      <c r="S14" s="7">
        <v>1</v>
      </c>
      <c r="T14" s="8"/>
      <c r="U14" s="10"/>
      <c r="V14" s="3">
        <f t="shared" si="3"/>
        <v>31.933199999999996</v>
      </c>
      <c r="W14" s="3">
        <f t="shared" si="4"/>
        <v>28.248599999999996</v>
      </c>
    </row>
    <row r="15" spans="1:24">
      <c r="A15">
        <v>17</v>
      </c>
      <c r="B15" t="s">
        <v>217</v>
      </c>
      <c r="C15" t="s">
        <v>62</v>
      </c>
      <c r="D15" t="s">
        <v>60</v>
      </c>
      <c r="E15" t="s">
        <v>63</v>
      </c>
      <c r="F15" t="s">
        <v>23</v>
      </c>
      <c r="G15" t="s">
        <v>24</v>
      </c>
      <c r="H15" t="s">
        <v>25</v>
      </c>
      <c r="I15" s="2">
        <v>26</v>
      </c>
      <c r="J15">
        <v>1</v>
      </c>
      <c r="K15" s="2">
        <v>26</v>
      </c>
      <c r="L15" s="2">
        <v>9.2100000000000009</v>
      </c>
      <c r="M15" s="2">
        <v>3.13</v>
      </c>
      <c r="N15" t="s">
        <v>25</v>
      </c>
      <c r="O15" s="3">
        <v>38.340000000000003</v>
      </c>
      <c r="P15" s="2">
        <f t="shared" si="0"/>
        <v>11.502000000000001</v>
      </c>
      <c r="Q15" s="8">
        <f t="shared" si="1"/>
        <v>5.7510000000000003</v>
      </c>
      <c r="R15" s="3">
        <f t="shared" si="2"/>
        <v>49.842000000000006</v>
      </c>
      <c r="S15" s="7">
        <v>1</v>
      </c>
      <c r="T15" s="8">
        <v>225</v>
      </c>
      <c r="U15" s="10"/>
      <c r="V15" s="3">
        <f t="shared" si="3"/>
        <v>59.810400000000001</v>
      </c>
      <c r="W15" s="3">
        <f t="shared" si="4"/>
        <v>52.909199999999998</v>
      </c>
    </row>
    <row r="16" spans="1:24">
      <c r="A16">
        <v>18</v>
      </c>
      <c r="B16" t="s">
        <v>218</v>
      </c>
      <c r="C16" t="s">
        <v>64</v>
      </c>
      <c r="D16" t="s">
        <v>60</v>
      </c>
      <c r="E16" t="s">
        <v>65</v>
      </c>
      <c r="F16" t="s">
        <v>66</v>
      </c>
      <c r="G16" t="s">
        <v>24</v>
      </c>
      <c r="H16" t="s">
        <v>25</v>
      </c>
      <c r="I16" s="2">
        <v>54</v>
      </c>
      <c r="J16">
        <v>1</v>
      </c>
      <c r="K16" s="2">
        <v>54</v>
      </c>
      <c r="L16" s="2">
        <v>3.63</v>
      </c>
      <c r="M16" s="2">
        <v>5.14</v>
      </c>
      <c r="N16" t="s">
        <v>25</v>
      </c>
      <c r="O16" s="3">
        <v>62.77</v>
      </c>
      <c r="P16" s="2">
        <f t="shared" si="0"/>
        <v>18.831</v>
      </c>
      <c r="Q16" s="8">
        <f t="shared" si="1"/>
        <v>9.4154999999999998</v>
      </c>
      <c r="R16" s="3">
        <f t="shared" si="2"/>
        <v>81.600999999999999</v>
      </c>
      <c r="S16" s="7">
        <v>1</v>
      </c>
      <c r="T16" s="8"/>
      <c r="U16" s="10"/>
      <c r="V16" s="3">
        <f t="shared" si="3"/>
        <v>97.921199999999999</v>
      </c>
      <c r="W16" s="3">
        <f t="shared" si="4"/>
        <v>86.622600000000006</v>
      </c>
    </row>
    <row r="17" spans="1:24">
      <c r="A17">
        <v>21</v>
      </c>
      <c r="B17" t="s">
        <v>338</v>
      </c>
      <c r="C17" t="s">
        <v>68</v>
      </c>
      <c r="H17" t="s">
        <v>25</v>
      </c>
      <c r="I17" s="2">
        <v>44</v>
      </c>
      <c r="J17">
        <v>1</v>
      </c>
      <c r="K17" s="2">
        <v>44</v>
      </c>
      <c r="L17" s="2">
        <v>9.2100000000000009</v>
      </c>
      <c r="M17" s="2">
        <v>4.74</v>
      </c>
      <c r="N17" t="s">
        <v>25</v>
      </c>
      <c r="O17" s="3">
        <v>57.95</v>
      </c>
      <c r="P17" s="2">
        <f t="shared" si="0"/>
        <v>17.385000000000002</v>
      </c>
      <c r="Q17" s="8">
        <f t="shared" si="1"/>
        <v>8.6925000000000008</v>
      </c>
      <c r="R17" s="3">
        <f t="shared" si="2"/>
        <v>75.335000000000008</v>
      </c>
      <c r="S17" s="7">
        <v>1</v>
      </c>
      <c r="T17" s="8"/>
      <c r="U17" s="10"/>
      <c r="V17" s="3">
        <f t="shared" si="3"/>
        <v>90.402000000000001</v>
      </c>
      <c r="W17" s="3">
        <f t="shared" si="4"/>
        <v>79.970999999999989</v>
      </c>
    </row>
    <row r="18" spans="1:24">
      <c r="A18">
        <v>22</v>
      </c>
      <c r="B18" t="s">
        <v>322</v>
      </c>
      <c r="C18" t="s">
        <v>192</v>
      </c>
      <c r="H18" t="s">
        <v>25</v>
      </c>
      <c r="I18" s="2">
        <v>550</v>
      </c>
      <c r="J18">
        <v>1</v>
      </c>
      <c r="K18" s="2">
        <v>550</v>
      </c>
      <c r="L18" s="2">
        <v>1.36</v>
      </c>
      <c r="M18" s="2">
        <v>49.07</v>
      </c>
      <c r="N18" t="s">
        <v>25</v>
      </c>
      <c r="O18" s="3">
        <v>600.42999999999995</v>
      </c>
      <c r="P18" s="2">
        <f t="shared" si="0"/>
        <v>180.12899999999999</v>
      </c>
      <c r="Q18" s="8">
        <f t="shared" si="1"/>
        <v>90.064499999999995</v>
      </c>
      <c r="R18" s="3">
        <f t="shared" si="2"/>
        <v>780.55899999999997</v>
      </c>
      <c r="S18" s="7">
        <v>1</v>
      </c>
      <c r="T18" s="8">
        <v>950</v>
      </c>
      <c r="U18" s="10"/>
      <c r="V18" s="3">
        <f t="shared" si="3"/>
        <v>936.67079999999987</v>
      </c>
      <c r="W18" s="3">
        <f t="shared" si="4"/>
        <v>828.59339999999986</v>
      </c>
      <c r="X18" t="s">
        <v>304</v>
      </c>
    </row>
    <row r="19" spans="1:24">
      <c r="A19">
        <v>23</v>
      </c>
      <c r="B19" t="s">
        <v>323</v>
      </c>
      <c r="C19" t="s">
        <v>70</v>
      </c>
      <c r="H19" t="s">
        <v>25</v>
      </c>
      <c r="I19" s="2">
        <v>380</v>
      </c>
      <c r="J19">
        <v>1</v>
      </c>
      <c r="K19" s="2">
        <v>380</v>
      </c>
      <c r="L19" s="2">
        <v>1.34</v>
      </c>
      <c r="M19" s="2">
        <v>33.94</v>
      </c>
      <c r="N19" t="s">
        <v>25</v>
      </c>
      <c r="O19" s="3">
        <v>415.28</v>
      </c>
      <c r="P19" s="2">
        <f t="shared" ref="P19:P24" si="5">O18*0.3</f>
        <v>180.12899999999999</v>
      </c>
      <c r="Q19" s="8">
        <f t="shared" ref="Q19:Q24" si="6">O18*0.15</f>
        <v>90.064499999999995</v>
      </c>
      <c r="R19" s="3">
        <f t="shared" si="2"/>
        <v>595.40899999999999</v>
      </c>
      <c r="S19" s="7">
        <v>1</v>
      </c>
      <c r="T19" s="8">
        <v>800</v>
      </c>
      <c r="U19" s="10"/>
      <c r="V19" s="3">
        <f t="shared" si="3"/>
        <v>714.49079999999992</v>
      </c>
      <c r="W19" s="3">
        <f t="shared" si="4"/>
        <v>606.41339999999991</v>
      </c>
      <c r="X19" t="s">
        <v>303</v>
      </c>
    </row>
    <row r="20" spans="1:24">
      <c r="A20">
        <v>24</v>
      </c>
      <c r="B20" t="s">
        <v>324</v>
      </c>
      <c r="C20" t="s">
        <v>70</v>
      </c>
      <c r="H20" t="s">
        <v>25</v>
      </c>
      <c r="I20" s="2">
        <v>370</v>
      </c>
      <c r="J20">
        <v>1</v>
      </c>
      <c r="K20" s="2">
        <v>370</v>
      </c>
      <c r="L20" s="2">
        <v>1.34</v>
      </c>
      <c r="M20" s="2">
        <v>33.049999999999997</v>
      </c>
      <c r="N20" t="s">
        <v>25</v>
      </c>
      <c r="O20" s="3">
        <v>404.39</v>
      </c>
      <c r="P20" s="2">
        <f t="shared" si="5"/>
        <v>124.58399999999999</v>
      </c>
      <c r="Q20" s="8">
        <f t="shared" si="6"/>
        <v>62.291999999999994</v>
      </c>
      <c r="R20" s="3">
        <f t="shared" si="2"/>
        <v>528.97399999999993</v>
      </c>
      <c r="S20" s="7">
        <v>1</v>
      </c>
      <c r="T20" s="8">
        <v>600</v>
      </c>
      <c r="U20" s="10"/>
      <c r="V20" s="3">
        <f t="shared" si="3"/>
        <v>634.76879999999994</v>
      </c>
      <c r="W20" s="3">
        <f t="shared" si="4"/>
        <v>560.01839999999993</v>
      </c>
      <c r="X20" t="s">
        <v>302</v>
      </c>
    </row>
    <row r="21" spans="1:24">
      <c r="A21">
        <v>25</v>
      </c>
      <c r="B21" t="s">
        <v>341</v>
      </c>
      <c r="C21" t="s">
        <v>71</v>
      </c>
      <c r="H21" t="s">
        <v>25</v>
      </c>
      <c r="I21" s="2">
        <v>35</v>
      </c>
      <c r="J21">
        <v>1</v>
      </c>
      <c r="K21" s="2">
        <v>35</v>
      </c>
      <c r="L21" s="2">
        <v>2.76</v>
      </c>
      <c r="M21" s="2">
        <v>3.36</v>
      </c>
      <c r="N21" t="s">
        <v>25</v>
      </c>
      <c r="O21" s="3">
        <v>41.12</v>
      </c>
      <c r="P21" s="2">
        <f t="shared" si="5"/>
        <v>121.31699999999999</v>
      </c>
      <c r="Q21" s="8">
        <f t="shared" si="6"/>
        <v>60.658499999999997</v>
      </c>
      <c r="R21" s="3">
        <f t="shared" si="2"/>
        <v>162.43699999999998</v>
      </c>
      <c r="S21" s="7">
        <v>1</v>
      </c>
      <c r="T21" s="8"/>
      <c r="U21" s="10"/>
      <c r="V21" s="3">
        <f t="shared" si="3"/>
        <v>194.92439999999996</v>
      </c>
      <c r="W21" s="3">
        <f t="shared" si="4"/>
        <v>122.13419999999999</v>
      </c>
    </row>
    <row r="22" spans="1:24">
      <c r="A22">
        <v>26</v>
      </c>
      <c r="B22" t="s">
        <v>337</v>
      </c>
      <c r="C22" t="s">
        <v>69</v>
      </c>
      <c r="H22" t="s">
        <v>25</v>
      </c>
      <c r="I22" s="2">
        <v>55</v>
      </c>
      <c r="J22">
        <v>1</v>
      </c>
      <c r="K22" s="2">
        <v>55</v>
      </c>
      <c r="L22" s="2">
        <v>0</v>
      </c>
      <c r="M22" s="2">
        <v>4.9000000000000004</v>
      </c>
      <c r="N22" t="s">
        <v>25</v>
      </c>
      <c r="O22" s="3">
        <v>59.9</v>
      </c>
      <c r="P22" s="2">
        <f t="shared" si="5"/>
        <v>12.335999999999999</v>
      </c>
      <c r="Q22" s="8">
        <f t="shared" si="6"/>
        <v>6.1679999999999993</v>
      </c>
      <c r="R22" s="3">
        <f t="shared" si="2"/>
        <v>72.23599999999999</v>
      </c>
      <c r="S22" s="7">
        <v>1</v>
      </c>
      <c r="T22" s="8"/>
      <c r="U22" s="10"/>
      <c r="V22" s="3">
        <f t="shared" si="3"/>
        <v>86.683199999999985</v>
      </c>
      <c r="W22" s="3">
        <f t="shared" si="4"/>
        <v>79.281599999999997</v>
      </c>
    </row>
    <row r="23" spans="1:24">
      <c r="A23">
        <v>27</v>
      </c>
      <c r="B23" t="s">
        <v>336</v>
      </c>
      <c r="C23" t="s">
        <v>69</v>
      </c>
      <c r="H23" t="s">
        <v>25</v>
      </c>
      <c r="I23" s="2">
        <v>50</v>
      </c>
      <c r="J23">
        <v>1</v>
      </c>
      <c r="K23" s="2">
        <v>50</v>
      </c>
      <c r="L23" s="2">
        <v>9.2100000000000009</v>
      </c>
      <c r="M23" s="2">
        <v>5.27</v>
      </c>
      <c r="N23" t="s">
        <v>25</v>
      </c>
      <c r="O23" s="3">
        <v>64.48</v>
      </c>
      <c r="P23" s="2">
        <f t="shared" si="5"/>
        <v>17.97</v>
      </c>
      <c r="Q23" s="8">
        <f t="shared" si="6"/>
        <v>8.9849999999999994</v>
      </c>
      <c r="R23" s="3">
        <f t="shared" si="2"/>
        <v>82.45</v>
      </c>
      <c r="S23" s="7">
        <v>1</v>
      </c>
      <c r="T23" s="8">
        <v>300</v>
      </c>
      <c r="U23" s="10"/>
      <c r="V23" s="3">
        <f t="shared" si="3"/>
        <v>98.94</v>
      </c>
      <c r="W23" s="3">
        <f t="shared" si="4"/>
        <v>88.158000000000001</v>
      </c>
    </row>
    <row r="24" spans="1:24">
      <c r="A24">
        <v>28</v>
      </c>
      <c r="B24" t="s">
        <v>73</v>
      </c>
      <c r="C24" t="s">
        <v>74</v>
      </c>
      <c r="O24" s="3">
        <v>29.55</v>
      </c>
      <c r="P24" s="2">
        <f t="shared" si="5"/>
        <v>19.344000000000001</v>
      </c>
      <c r="Q24" s="8">
        <f t="shared" si="6"/>
        <v>9.6720000000000006</v>
      </c>
      <c r="R24" s="3">
        <f t="shared" si="2"/>
        <v>48.894000000000005</v>
      </c>
      <c r="S24" s="7">
        <v>1</v>
      </c>
      <c r="T24" s="8">
        <v>75</v>
      </c>
      <c r="U24" s="10"/>
      <c r="V24" s="3">
        <f t="shared" si="3"/>
        <v>58.672800000000002</v>
      </c>
      <c r="W24" s="3">
        <f t="shared" si="4"/>
        <v>47.066400000000002</v>
      </c>
    </row>
    <row r="25" spans="1:24">
      <c r="A25">
        <v>29</v>
      </c>
      <c r="B25" t="s">
        <v>75</v>
      </c>
      <c r="C25" t="s">
        <v>74</v>
      </c>
      <c r="H25" t="s">
        <v>25</v>
      </c>
      <c r="I25" s="2">
        <v>25</v>
      </c>
      <c r="J25">
        <v>1</v>
      </c>
      <c r="K25" s="2">
        <v>25</v>
      </c>
      <c r="L25" s="2">
        <v>0</v>
      </c>
      <c r="M25" s="2">
        <v>2.23</v>
      </c>
      <c r="N25" t="s">
        <v>25</v>
      </c>
      <c r="O25" s="3">
        <v>27.23</v>
      </c>
      <c r="P25" s="2">
        <f t="shared" ref="P25:P56" si="7">O25*0.3</f>
        <v>8.1690000000000005</v>
      </c>
      <c r="Q25" s="8">
        <f t="shared" ref="Q25:Q65" si="8">O25*0.15</f>
        <v>4.0845000000000002</v>
      </c>
      <c r="R25" s="3">
        <f t="shared" si="2"/>
        <v>35.399000000000001</v>
      </c>
      <c r="S25" s="7">
        <v>1</v>
      </c>
      <c r="T25" s="8">
        <v>75</v>
      </c>
      <c r="U25" s="10"/>
      <c r="V25" s="3">
        <f t="shared" si="3"/>
        <v>42.4788</v>
      </c>
      <c r="W25" s="3">
        <f t="shared" si="4"/>
        <v>37.577400000000004</v>
      </c>
    </row>
    <row r="26" spans="1:24">
      <c r="A26">
        <v>30</v>
      </c>
      <c r="B26" t="s">
        <v>76</v>
      </c>
      <c r="C26" t="s">
        <v>77</v>
      </c>
      <c r="H26" t="s">
        <v>25</v>
      </c>
      <c r="I26" s="2">
        <v>46</v>
      </c>
      <c r="J26">
        <v>1</v>
      </c>
      <c r="K26" s="2">
        <v>46</v>
      </c>
      <c r="L26" s="2">
        <v>7.08</v>
      </c>
      <c r="M26" s="2">
        <v>4.71</v>
      </c>
      <c r="N26" t="s">
        <v>25</v>
      </c>
      <c r="O26" s="3">
        <v>57.79</v>
      </c>
      <c r="P26" s="2">
        <f t="shared" si="7"/>
        <v>17.337</v>
      </c>
      <c r="Q26" s="8">
        <f t="shared" si="8"/>
        <v>8.6684999999999999</v>
      </c>
      <c r="R26" s="3">
        <f t="shared" si="2"/>
        <v>75.126999999999995</v>
      </c>
      <c r="S26" s="7">
        <v>1</v>
      </c>
      <c r="T26" s="8">
        <v>85</v>
      </c>
      <c r="U26" s="10"/>
      <c r="V26" s="3">
        <f t="shared" si="3"/>
        <v>90.152399999999986</v>
      </c>
      <c r="W26" s="3">
        <f t="shared" si="4"/>
        <v>79.750199999999992</v>
      </c>
    </row>
    <row r="27" spans="1:24">
      <c r="A27">
        <v>33</v>
      </c>
      <c r="B27" t="s">
        <v>227</v>
      </c>
      <c r="C27" t="s">
        <v>226</v>
      </c>
      <c r="D27" t="s">
        <v>21</v>
      </c>
      <c r="E27" t="s">
        <v>80</v>
      </c>
      <c r="F27" t="s">
        <v>66</v>
      </c>
      <c r="G27" t="s">
        <v>24</v>
      </c>
      <c r="H27" t="s">
        <v>25</v>
      </c>
      <c r="I27" s="2">
        <v>249</v>
      </c>
      <c r="J27">
        <v>1</v>
      </c>
      <c r="K27" s="2">
        <v>249</v>
      </c>
      <c r="L27" s="2">
        <v>9.2100000000000009</v>
      </c>
      <c r="M27" s="2">
        <v>22.98</v>
      </c>
      <c r="N27" t="s">
        <v>25</v>
      </c>
      <c r="O27" s="3">
        <v>281.19</v>
      </c>
      <c r="P27" s="2">
        <f t="shared" si="7"/>
        <v>84.356999999999999</v>
      </c>
      <c r="Q27" s="8">
        <f t="shared" si="8"/>
        <v>42.1785</v>
      </c>
      <c r="R27" s="3">
        <f t="shared" si="2"/>
        <v>365.54700000000003</v>
      </c>
      <c r="S27" s="7">
        <v>1</v>
      </c>
      <c r="T27" s="8">
        <v>603</v>
      </c>
      <c r="U27" s="10"/>
      <c r="V27" s="3">
        <f t="shared" si="3"/>
        <v>438.65640000000002</v>
      </c>
      <c r="W27" s="3">
        <f t="shared" si="4"/>
        <v>388.04219999999998</v>
      </c>
      <c r="X27" t="s">
        <v>382</v>
      </c>
    </row>
    <row r="28" spans="1:24">
      <c r="A28">
        <v>34</v>
      </c>
      <c r="B28" t="s">
        <v>220</v>
      </c>
      <c r="C28" t="s">
        <v>79</v>
      </c>
      <c r="D28" t="s">
        <v>21</v>
      </c>
      <c r="E28" t="s">
        <v>81</v>
      </c>
      <c r="F28" t="s">
        <v>66</v>
      </c>
      <c r="G28" t="s">
        <v>24</v>
      </c>
      <c r="H28" t="s">
        <v>25</v>
      </c>
      <c r="I28" s="2">
        <v>93</v>
      </c>
      <c r="J28">
        <v>1</v>
      </c>
      <c r="K28" s="2">
        <v>93</v>
      </c>
      <c r="L28" s="2">
        <v>2.2799999999999998</v>
      </c>
      <c r="M28" s="2">
        <v>8.48</v>
      </c>
      <c r="N28" t="s">
        <v>25</v>
      </c>
      <c r="O28" s="3">
        <v>103.76</v>
      </c>
      <c r="P28" s="2">
        <f t="shared" si="7"/>
        <v>31.128</v>
      </c>
      <c r="Q28" s="8">
        <f t="shared" si="8"/>
        <v>15.564</v>
      </c>
      <c r="R28" s="3">
        <f t="shared" si="2"/>
        <v>134.88800000000001</v>
      </c>
      <c r="S28" s="7">
        <v>1</v>
      </c>
      <c r="T28" s="8">
        <v>300</v>
      </c>
      <c r="U28" s="10"/>
      <c r="V28" s="3">
        <f t="shared" si="3"/>
        <v>161.8656</v>
      </c>
      <c r="W28" s="3">
        <f t="shared" si="4"/>
        <v>143.18880000000001</v>
      </c>
    </row>
    <row r="29" spans="1:24">
      <c r="A29">
        <v>37</v>
      </c>
      <c r="B29" t="s">
        <v>222</v>
      </c>
      <c r="C29" t="s">
        <v>62</v>
      </c>
      <c r="D29" t="s">
        <v>60</v>
      </c>
      <c r="E29" t="s">
        <v>82</v>
      </c>
      <c r="F29" t="s">
        <v>66</v>
      </c>
      <c r="G29" t="s">
        <v>24</v>
      </c>
      <c r="H29" t="s">
        <v>25</v>
      </c>
      <c r="I29" s="2">
        <v>279</v>
      </c>
      <c r="J29">
        <v>1</v>
      </c>
      <c r="K29" s="2">
        <v>279</v>
      </c>
      <c r="L29" s="2">
        <v>0.68</v>
      </c>
      <c r="M29" s="2">
        <v>24.89</v>
      </c>
      <c r="N29" t="s">
        <v>25</v>
      </c>
      <c r="O29" s="3">
        <v>304.57</v>
      </c>
      <c r="P29" s="2">
        <f t="shared" si="7"/>
        <v>91.370999999999995</v>
      </c>
      <c r="Q29" s="8">
        <f t="shared" si="8"/>
        <v>45.685499999999998</v>
      </c>
      <c r="R29" s="3">
        <f t="shared" si="2"/>
        <v>395.94099999999997</v>
      </c>
      <c r="S29" s="7">
        <v>1</v>
      </c>
      <c r="T29" s="8">
        <v>650</v>
      </c>
      <c r="U29" s="10"/>
      <c r="V29" s="3">
        <f t="shared" si="3"/>
        <v>475.12919999999997</v>
      </c>
      <c r="W29" s="3">
        <f t="shared" si="4"/>
        <v>420.30659999999995</v>
      </c>
      <c r="X29" t="s">
        <v>305</v>
      </c>
    </row>
    <row r="30" spans="1:24">
      <c r="A30">
        <v>38</v>
      </c>
      <c r="B30" t="s">
        <v>257</v>
      </c>
      <c r="D30" t="s">
        <v>60</v>
      </c>
      <c r="E30" t="s">
        <v>83</v>
      </c>
      <c r="F30" t="s">
        <v>66</v>
      </c>
      <c r="G30" t="s">
        <v>24</v>
      </c>
      <c r="H30" t="s">
        <v>25</v>
      </c>
      <c r="I30" s="2">
        <v>550</v>
      </c>
      <c r="J30">
        <v>1</v>
      </c>
      <c r="K30" s="2">
        <v>550</v>
      </c>
      <c r="L30" s="2">
        <v>2.76</v>
      </c>
      <c r="M30" s="2">
        <v>49.19</v>
      </c>
      <c r="N30" t="s">
        <v>25</v>
      </c>
      <c r="O30" s="3">
        <f>601.95/2</f>
        <v>300.97500000000002</v>
      </c>
      <c r="P30" s="2">
        <f t="shared" si="7"/>
        <v>90.292500000000004</v>
      </c>
      <c r="Q30" s="8">
        <f t="shared" si="8"/>
        <v>45.146250000000002</v>
      </c>
      <c r="R30" s="3">
        <f t="shared" si="2"/>
        <v>391.26750000000004</v>
      </c>
      <c r="S30" s="7">
        <v>1</v>
      </c>
      <c r="T30" s="8">
        <v>480</v>
      </c>
      <c r="U30" s="10"/>
      <c r="V30" s="3">
        <f t="shared" si="3"/>
        <v>469.52100000000002</v>
      </c>
      <c r="W30" s="3">
        <f t="shared" si="4"/>
        <v>415.34550000000002</v>
      </c>
      <c r="X30" t="s">
        <v>306</v>
      </c>
    </row>
    <row r="31" spans="1:24">
      <c r="A31">
        <v>39</v>
      </c>
      <c r="B31" t="s">
        <v>84</v>
      </c>
      <c r="C31" t="s">
        <v>85</v>
      </c>
      <c r="D31" t="s">
        <v>60</v>
      </c>
      <c r="E31" t="s">
        <v>86</v>
      </c>
      <c r="F31" t="s">
        <v>66</v>
      </c>
      <c r="G31" t="s">
        <v>24</v>
      </c>
      <c r="H31" t="s">
        <v>25</v>
      </c>
      <c r="I31" s="2">
        <v>140</v>
      </c>
      <c r="J31">
        <v>1</v>
      </c>
      <c r="K31" s="2">
        <v>140</v>
      </c>
      <c r="L31" s="2">
        <v>0</v>
      </c>
      <c r="M31" s="2">
        <v>12.46</v>
      </c>
      <c r="N31" t="s">
        <v>25</v>
      </c>
      <c r="O31" s="3">
        <v>152.46</v>
      </c>
      <c r="P31" s="2">
        <f t="shared" si="7"/>
        <v>45.738</v>
      </c>
      <c r="Q31" s="8">
        <f t="shared" si="8"/>
        <v>22.869</v>
      </c>
      <c r="R31" s="3">
        <f t="shared" si="2"/>
        <v>198.19800000000001</v>
      </c>
      <c r="S31" s="7">
        <v>1</v>
      </c>
      <c r="T31" s="8">
        <v>335</v>
      </c>
      <c r="U31" s="10"/>
      <c r="V31" s="3">
        <f t="shared" si="3"/>
        <v>237.83760000000001</v>
      </c>
      <c r="W31" s="3">
        <f t="shared" si="4"/>
        <v>210.3948</v>
      </c>
      <c r="X31" t="s">
        <v>391</v>
      </c>
    </row>
    <row r="32" spans="1:24">
      <c r="A32">
        <v>40</v>
      </c>
      <c r="B32" t="s">
        <v>223</v>
      </c>
      <c r="C32" t="s">
        <v>224</v>
      </c>
      <c r="D32" t="s">
        <v>60</v>
      </c>
      <c r="E32" t="s">
        <v>87</v>
      </c>
      <c r="F32" t="s">
        <v>66</v>
      </c>
      <c r="G32" t="s">
        <v>24</v>
      </c>
      <c r="H32" t="s">
        <v>25</v>
      </c>
      <c r="I32" s="2">
        <v>224</v>
      </c>
      <c r="J32">
        <v>1</v>
      </c>
      <c r="K32" s="2">
        <v>224</v>
      </c>
      <c r="L32" s="2">
        <v>0</v>
      </c>
      <c r="M32" s="2">
        <v>19.940000000000001</v>
      </c>
      <c r="N32" t="s">
        <v>25</v>
      </c>
      <c r="O32" s="3">
        <v>243.94</v>
      </c>
      <c r="P32" s="2">
        <f t="shared" si="7"/>
        <v>73.182000000000002</v>
      </c>
      <c r="Q32" s="8">
        <f t="shared" si="8"/>
        <v>36.591000000000001</v>
      </c>
      <c r="R32" s="3">
        <f t="shared" si="2"/>
        <v>317.12200000000001</v>
      </c>
      <c r="S32" s="7">
        <v>1</v>
      </c>
      <c r="T32" s="3">
        <v>470</v>
      </c>
      <c r="U32" s="10"/>
      <c r="V32" s="3">
        <f t="shared" si="3"/>
        <v>380.54640000000001</v>
      </c>
      <c r="W32" s="3">
        <f t="shared" si="4"/>
        <v>336.63720000000001</v>
      </c>
      <c r="X32" t="s">
        <v>386</v>
      </c>
    </row>
    <row r="33" spans="1:24">
      <c r="A33">
        <v>41</v>
      </c>
      <c r="B33" t="s">
        <v>225</v>
      </c>
      <c r="C33" t="s">
        <v>226</v>
      </c>
      <c r="D33" t="s">
        <v>60</v>
      </c>
      <c r="E33" t="s">
        <v>88</v>
      </c>
      <c r="F33" t="s">
        <v>66</v>
      </c>
      <c r="G33" t="s">
        <v>24</v>
      </c>
      <c r="H33" t="s">
        <v>25</v>
      </c>
      <c r="I33" s="2">
        <v>103</v>
      </c>
      <c r="J33">
        <v>1</v>
      </c>
      <c r="K33" s="2">
        <v>103</v>
      </c>
      <c r="L33" s="2">
        <v>0</v>
      </c>
      <c r="M33" s="2">
        <v>9.17</v>
      </c>
      <c r="N33" t="s">
        <v>25</v>
      </c>
      <c r="O33" s="3">
        <v>112.17</v>
      </c>
      <c r="P33" s="2">
        <f t="shared" si="7"/>
        <v>33.650999999999996</v>
      </c>
      <c r="Q33" s="8">
        <f t="shared" si="8"/>
        <v>16.825499999999998</v>
      </c>
      <c r="R33" s="3">
        <f t="shared" si="2"/>
        <v>145.821</v>
      </c>
      <c r="S33" s="7">
        <v>1</v>
      </c>
      <c r="T33" s="8">
        <v>280</v>
      </c>
      <c r="U33" s="10"/>
      <c r="V33" s="3">
        <f t="shared" si="3"/>
        <v>174.98519999999999</v>
      </c>
      <c r="W33" s="3">
        <f t="shared" si="4"/>
        <v>154.79459999999997</v>
      </c>
      <c r="X33" t="s">
        <v>394</v>
      </c>
    </row>
    <row r="34" spans="1:24">
      <c r="A34">
        <v>42</v>
      </c>
      <c r="B34" t="s">
        <v>84</v>
      </c>
      <c r="C34" t="s">
        <v>224</v>
      </c>
      <c r="D34" t="s">
        <v>60</v>
      </c>
      <c r="E34" t="s">
        <v>89</v>
      </c>
      <c r="F34" t="s">
        <v>66</v>
      </c>
      <c r="G34" t="s">
        <v>24</v>
      </c>
      <c r="H34" t="s">
        <v>25</v>
      </c>
      <c r="I34" s="2">
        <v>172</v>
      </c>
      <c r="J34">
        <v>1</v>
      </c>
      <c r="K34" s="2">
        <v>172</v>
      </c>
      <c r="L34" s="2">
        <v>9.2100000000000009</v>
      </c>
      <c r="M34" s="2">
        <v>16.13</v>
      </c>
      <c r="N34" t="s">
        <v>25</v>
      </c>
      <c r="O34" s="3">
        <v>197.34</v>
      </c>
      <c r="P34" s="2">
        <f t="shared" si="7"/>
        <v>59.201999999999998</v>
      </c>
      <c r="Q34" s="8">
        <f t="shared" si="8"/>
        <v>29.600999999999999</v>
      </c>
      <c r="R34" s="3">
        <f t="shared" ref="R34:R65" si="9">O34+P34</f>
        <v>256.54200000000003</v>
      </c>
      <c r="S34" s="7">
        <v>1</v>
      </c>
      <c r="T34" s="8">
        <v>350</v>
      </c>
      <c r="U34" s="10"/>
      <c r="V34" s="3">
        <f t="shared" ref="V34:V65" si="10">IF((O34+P34)&lt;15,(O34+P34+2.95), ((O34+P34)*1.2))</f>
        <v>307.85040000000004</v>
      </c>
      <c r="W34" s="3">
        <f t="shared" ref="W34:W65" si="11">IF((O34+Q34)&lt;15,(O34+Q34+2.95), ((O34+Q34)*1.2))</f>
        <v>272.32920000000001</v>
      </c>
      <c r="X34" t="s">
        <v>390</v>
      </c>
    </row>
    <row r="35" spans="1:24">
      <c r="A35">
        <v>43</v>
      </c>
      <c r="B35" t="s">
        <v>90</v>
      </c>
      <c r="C35" t="s">
        <v>91</v>
      </c>
      <c r="D35" t="s">
        <v>29</v>
      </c>
      <c r="E35" t="s">
        <v>92</v>
      </c>
      <c r="F35" t="s">
        <v>66</v>
      </c>
      <c r="G35" t="s">
        <v>24</v>
      </c>
      <c r="H35" t="s">
        <v>25</v>
      </c>
      <c r="I35" s="2">
        <v>19</v>
      </c>
      <c r="J35">
        <v>1</v>
      </c>
      <c r="K35" s="2">
        <v>19</v>
      </c>
      <c r="L35" s="2">
        <v>0</v>
      </c>
      <c r="M35" s="2">
        <v>1.69</v>
      </c>
      <c r="N35" t="s">
        <v>25</v>
      </c>
      <c r="O35" s="3">
        <v>20.69</v>
      </c>
      <c r="P35" s="2">
        <f t="shared" si="7"/>
        <v>6.2069999999999999</v>
      </c>
      <c r="Q35" s="8">
        <f t="shared" si="8"/>
        <v>3.1034999999999999</v>
      </c>
      <c r="R35" s="3">
        <f t="shared" si="9"/>
        <v>26.897000000000002</v>
      </c>
      <c r="S35" s="7">
        <v>1</v>
      </c>
      <c r="T35" s="8">
        <v>60</v>
      </c>
      <c r="U35" s="10"/>
      <c r="V35" s="3">
        <f t="shared" si="10"/>
        <v>32.276400000000002</v>
      </c>
      <c r="W35" s="3">
        <f t="shared" si="11"/>
        <v>28.552200000000003</v>
      </c>
    </row>
    <row r="36" spans="1:24">
      <c r="A36">
        <v>44</v>
      </c>
      <c r="B36" t="s">
        <v>93</v>
      </c>
      <c r="C36" t="s">
        <v>94</v>
      </c>
      <c r="D36" t="s">
        <v>29</v>
      </c>
      <c r="E36" t="s">
        <v>95</v>
      </c>
      <c r="F36" t="s">
        <v>66</v>
      </c>
      <c r="G36" t="s">
        <v>24</v>
      </c>
      <c r="H36" t="s">
        <v>25</v>
      </c>
      <c r="I36" s="2">
        <v>26</v>
      </c>
      <c r="J36">
        <v>1</v>
      </c>
      <c r="K36" s="2">
        <v>26</v>
      </c>
      <c r="L36" s="2">
        <v>0</v>
      </c>
      <c r="M36" s="2">
        <v>2.31</v>
      </c>
      <c r="N36" t="s">
        <v>25</v>
      </c>
      <c r="O36" s="3">
        <v>28.31</v>
      </c>
      <c r="P36" s="2">
        <f t="shared" si="7"/>
        <v>8.4929999999999986</v>
      </c>
      <c r="Q36" s="8">
        <f t="shared" si="8"/>
        <v>4.2464999999999993</v>
      </c>
      <c r="R36" s="3">
        <f t="shared" si="9"/>
        <v>36.802999999999997</v>
      </c>
      <c r="S36" s="7">
        <v>1</v>
      </c>
      <c r="T36" s="8">
        <v>60</v>
      </c>
      <c r="U36" s="10"/>
      <c r="V36" s="3">
        <f t="shared" si="10"/>
        <v>44.163599999999995</v>
      </c>
      <c r="W36" s="3">
        <f t="shared" si="11"/>
        <v>39.067799999999998</v>
      </c>
    </row>
    <row r="37" spans="1:24">
      <c r="A37">
        <v>45</v>
      </c>
      <c r="B37" t="s">
        <v>96</v>
      </c>
      <c r="C37" t="s">
        <v>97</v>
      </c>
      <c r="D37" t="s">
        <v>29</v>
      </c>
      <c r="E37" t="s">
        <v>98</v>
      </c>
      <c r="F37" t="s">
        <v>66</v>
      </c>
      <c r="G37" t="s">
        <v>24</v>
      </c>
      <c r="H37" t="s">
        <v>25</v>
      </c>
      <c r="I37" s="2">
        <v>20</v>
      </c>
      <c r="J37">
        <v>1</v>
      </c>
      <c r="K37" s="2">
        <v>20</v>
      </c>
      <c r="L37" s="2">
        <v>9.2100000000000009</v>
      </c>
      <c r="M37" s="2">
        <v>2.6</v>
      </c>
      <c r="N37" t="s">
        <v>25</v>
      </c>
      <c r="O37" s="3">
        <v>31.81</v>
      </c>
      <c r="P37" s="2">
        <f t="shared" si="7"/>
        <v>9.5429999999999993</v>
      </c>
      <c r="Q37" s="8">
        <f t="shared" si="8"/>
        <v>4.7714999999999996</v>
      </c>
      <c r="R37" s="3">
        <f t="shared" si="9"/>
        <v>41.352999999999994</v>
      </c>
      <c r="S37" s="7">
        <v>1</v>
      </c>
      <c r="T37" s="8"/>
      <c r="U37" s="10"/>
      <c r="V37" s="3">
        <f t="shared" si="10"/>
        <v>49.623599999999989</v>
      </c>
      <c r="W37" s="3">
        <f t="shared" si="11"/>
        <v>43.897799999999997</v>
      </c>
    </row>
    <row r="38" spans="1:24">
      <c r="A38">
        <v>47</v>
      </c>
      <c r="B38" t="s">
        <v>228</v>
      </c>
      <c r="C38" t="s">
        <v>226</v>
      </c>
      <c r="H38" t="s">
        <v>25</v>
      </c>
      <c r="I38" s="2">
        <v>215</v>
      </c>
      <c r="J38">
        <v>1</v>
      </c>
      <c r="K38" s="2">
        <v>215</v>
      </c>
      <c r="L38" s="2">
        <v>0.78</v>
      </c>
      <c r="M38" s="2">
        <v>19.2</v>
      </c>
      <c r="N38" t="s">
        <v>25</v>
      </c>
      <c r="O38" s="3">
        <v>234.98</v>
      </c>
      <c r="P38" s="2">
        <f t="shared" si="7"/>
        <v>70.494</v>
      </c>
      <c r="Q38" s="8">
        <f t="shared" si="8"/>
        <v>35.247</v>
      </c>
      <c r="R38" s="3">
        <f t="shared" si="9"/>
        <v>305.47399999999999</v>
      </c>
      <c r="S38" s="7">
        <v>1</v>
      </c>
      <c r="T38" s="8">
        <v>365</v>
      </c>
      <c r="U38" s="10"/>
      <c r="V38" s="3">
        <f t="shared" si="10"/>
        <v>366.56879999999995</v>
      </c>
      <c r="W38" s="3">
        <f t="shared" si="11"/>
        <v>324.27239999999995</v>
      </c>
      <c r="X38" t="s">
        <v>387</v>
      </c>
    </row>
    <row r="39" spans="1:24">
      <c r="A39">
        <v>49</v>
      </c>
      <c r="B39" t="s">
        <v>230</v>
      </c>
      <c r="C39" t="s">
        <v>231</v>
      </c>
      <c r="D39" t="s">
        <v>21</v>
      </c>
      <c r="E39" t="s">
        <v>102</v>
      </c>
      <c r="F39" t="s">
        <v>66</v>
      </c>
      <c r="G39" t="s">
        <v>24</v>
      </c>
      <c r="H39" t="s">
        <v>25</v>
      </c>
      <c r="I39" s="2">
        <v>365</v>
      </c>
      <c r="J39">
        <v>1</v>
      </c>
      <c r="K39" s="2">
        <v>365</v>
      </c>
      <c r="L39" s="2">
        <v>6.09</v>
      </c>
      <c r="M39" s="2">
        <v>33.03</v>
      </c>
      <c r="N39" t="s">
        <v>25</v>
      </c>
      <c r="O39" s="3">
        <v>404.12</v>
      </c>
      <c r="P39" s="2">
        <f t="shared" si="7"/>
        <v>121.23599999999999</v>
      </c>
      <c r="Q39" s="8">
        <f t="shared" si="8"/>
        <v>60.617999999999995</v>
      </c>
      <c r="R39" s="3">
        <f t="shared" si="9"/>
        <v>525.35599999999999</v>
      </c>
      <c r="S39" s="7">
        <v>1</v>
      </c>
      <c r="T39" s="8">
        <v>580</v>
      </c>
      <c r="U39" s="10"/>
      <c r="V39" s="3">
        <f t="shared" si="10"/>
        <v>630.42719999999997</v>
      </c>
      <c r="W39" s="3">
        <f t="shared" si="11"/>
        <v>557.68560000000002</v>
      </c>
      <c r="X39" t="s">
        <v>302</v>
      </c>
    </row>
    <row r="40" spans="1:24">
      <c r="A40">
        <v>50</v>
      </c>
      <c r="B40" t="s">
        <v>232</v>
      </c>
      <c r="C40" t="s">
        <v>104</v>
      </c>
      <c r="D40" t="s">
        <v>21</v>
      </c>
      <c r="E40" t="s">
        <v>105</v>
      </c>
      <c r="F40" t="s">
        <v>66</v>
      </c>
      <c r="G40" t="s">
        <v>24</v>
      </c>
      <c r="H40" t="s">
        <v>25</v>
      </c>
      <c r="I40" s="2">
        <v>38</v>
      </c>
      <c r="J40">
        <v>1</v>
      </c>
      <c r="K40" s="2">
        <v>38</v>
      </c>
      <c r="L40" s="2">
        <v>9.2100000000000009</v>
      </c>
      <c r="M40" s="2">
        <v>4.2</v>
      </c>
      <c r="N40" t="s">
        <v>25</v>
      </c>
      <c r="O40" s="3">
        <v>51.41</v>
      </c>
      <c r="P40" s="2">
        <f t="shared" si="7"/>
        <v>15.422999999999998</v>
      </c>
      <c r="Q40" s="8">
        <f t="shared" si="8"/>
        <v>7.7114999999999991</v>
      </c>
      <c r="R40" s="3">
        <f t="shared" si="9"/>
        <v>66.832999999999998</v>
      </c>
      <c r="S40" s="7">
        <v>1</v>
      </c>
      <c r="T40" s="8">
        <v>120</v>
      </c>
      <c r="U40" s="10"/>
      <c r="V40" s="3">
        <f t="shared" si="10"/>
        <v>80.19959999999999</v>
      </c>
      <c r="W40" s="3">
        <f t="shared" si="11"/>
        <v>70.945799999999991</v>
      </c>
    </row>
    <row r="41" spans="1:24">
      <c r="A41">
        <v>51</v>
      </c>
      <c r="B41" t="s">
        <v>233</v>
      </c>
      <c r="C41" t="s">
        <v>46</v>
      </c>
      <c r="D41" t="s">
        <v>21</v>
      </c>
      <c r="E41" t="s">
        <v>106</v>
      </c>
      <c r="F41" t="s">
        <v>66</v>
      </c>
      <c r="G41" t="s">
        <v>24</v>
      </c>
      <c r="H41" t="s">
        <v>25</v>
      </c>
      <c r="I41" s="2">
        <v>255</v>
      </c>
      <c r="J41">
        <v>1</v>
      </c>
      <c r="K41" s="2">
        <v>255</v>
      </c>
      <c r="L41" s="2">
        <v>9.2100000000000009</v>
      </c>
      <c r="M41" s="2">
        <v>23.52</v>
      </c>
      <c r="N41" t="s">
        <v>25</v>
      </c>
      <c r="O41" s="3">
        <v>287.73</v>
      </c>
      <c r="P41" s="2">
        <f t="shared" si="7"/>
        <v>86.319000000000003</v>
      </c>
      <c r="Q41" s="8">
        <f t="shared" si="8"/>
        <v>43.159500000000001</v>
      </c>
      <c r="R41" s="3">
        <f t="shared" si="9"/>
        <v>374.04900000000004</v>
      </c>
      <c r="S41" s="7">
        <v>1</v>
      </c>
      <c r="T41" s="8">
        <v>260</v>
      </c>
      <c r="U41" s="10"/>
      <c r="V41" s="3">
        <f t="shared" si="10"/>
        <v>448.85880000000003</v>
      </c>
      <c r="W41" s="3">
        <f t="shared" si="11"/>
        <v>397.06739999999996</v>
      </c>
      <c r="X41" t="s">
        <v>380</v>
      </c>
    </row>
    <row r="42" spans="1:24">
      <c r="A42">
        <v>52</v>
      </c>
      <c r="B42" t="s">
        <v>330</v>
      </c>
      <c r="C42" t="s">
        <v>107</v>
      </c>
      <c r="D42" t="s">
        <v>21</v>
      </c>
      <c r="E42" t="s">
        <v>108</v>
      </c>
      <c r="F42" t="s">
        <v>66</v>
      </c>
      <c r="G42" t="s">
        <v>24</v>
      </c>
      <c r="H42" t="s">
        <v>25</v>
      </c>
      <c r="I42" s="2">
        <v>85</v>
      </c>
      <c r="J42">
        <v>1</v>
      </c>
      <c r="K42" s="2">
        <v>85</v>
      </c>
      <c r="L42" s="2">
        <v>4.8</v>
      </c>
      <c r="M42" s="2">
        <v>7.99</v>
      </c>
      <c r="N42" t="s">
        <v>25</v>
      </c>
      <c r="O42" s="3">
        <v>97.79</v>
      </c>
      <c r="P42" s="2">
        <f t="shared" si="7"/>
        <v>29.337</v>
      </c>
      <c r="Q42" s="8">
        <f t="shared" si="8"/>
        <v>14.6685</v>
      </c>
      <c r="R42" s="3">
        <f t="shared" si="9"/>
        <v>127.12700000000001</v>
      </c>
      <c r="S42" s="7">
        <v>1</v>
      </c>
      <c r="T42" s="8">
        <v>200</v>
      </c>
      <c r="U42" s="10"/>
      <c r="V42" s="3">
        <f t="shared" si="10"/>
        <v>152.55240000000001</v>
      </c>
      <c r="W42" s="3">
        <f t="shared" si="11"/>
        <v>134.9502</v>
      </c>
    </row>
    <row r="43" spans="1:24">
      <c r="A43">
        <v>53</v>
      </c>
      <c r="B43" t="s">
        <v>234</v>
      </c>
      <c r="C43" t="s">
        <v>224</v>
      </c>
      <c r="D43" t="s">
        <v>21</v>
      </c>
      <c r="E43" t="s">
        <v>109</v>
      </c>
      <c r="F43" t="s">
        <v>66</v>
      </c>
      <c r="G43" t="s">
        <v>24</v>
      </c>
      <c r="H43" t="s">
        <v>25</v>
      </c>
      <c r="I43" s="2">
        <v>224</v>
      </c>
      <c r="J43">
        <v>1</v>
      </c>
      <c r="K43" s="2">
        <v>224</v>
      </c>
      <c r="L43" s="2">
        <v>15.71</v>
      </c>
      <c r="M43" s="2">
        <v>21.34</v>
      </c>
      <c r="N43" t="s">
        <v>25</v>
      </c>
      <c r="O43" s="3">
        <v>261.05</v>
      </c>
      <c r="P43" s="2">
        <f t="shared" si="7"/>
        <v>78.314999999999998</v>
      </c>
      <c r="Q43" s="8">
        <f t="shared" si="8"/>
        <v>39.157499999999999</v>
      </c>
      <c r="R43" s="3">
        <f t="shared" si="9"/>
        <v>339.36500000000001</v>
      </c>
      <c r="S43" s="7">
        <v>1</v>
      </c>
      <c r="T43" s="8">
        <v>450</v>
      </c>
      <c r="U43" s="10"/>
      <c r="V43" s="3">
        <f t="shared" si="10"/>
        <v>407.238</v>
      </c>
      <c r="W43" s="3">
        <f t="shared" si="11"/>
        <v>360.24899999999997</v>
      </c>
      <c r="X43" t="s">
        <v>384</v>
      </c>
    </row>
    <row r="44" spans="1:24">
      <c r="A44">
        <v>54</v>
      </c>
      <c r="B44" t="s">
        <v>235</v>
      </c>
      <c r="C44" t="s">
        <v>226</v>
      </c>
      <c r="D44" t="s">
        <v>21</v>
      </c>
      <c r="E44" t="s">
        <v>110</v>
      </c>
      <c r="F44" t="s">
        <v>66</v>
      </c>
      <c r="G44" t="s">
        <v>111</v>
      </c>
      <c r="H44" t="s">
        <v>25</v>
      </c>
      <c r="I44" s="2">
        <v>126.65</v>
      </c>
      <c r="J44">
        <v>1</v>
      </c>
      <c r="K44" s="2">
        <v>126.65</v>
      </c>
      <c r="L44" s="2">
        <v>9.2100000000000009</v>
      </c>
      <c r="M44" s="2">
        <v>12.1</v>
      </c>
      <c r="N44" t="s">
        <v>25</v>
      </c>
      <c r="O44" s="3">
        <v>147.96</v>
      </c>
      <c r="P44" s="2">
        <f t="shared" si="7"/>
        <v>44.387999999999998</v>
      </c>
      <c r="Q44" s="8">
        <f t="shared" si="8"/>
        <v>22.193999999999999</v>
      </c>
      <c r="R44" s="3">
        <f t="shared" si="9"/>
        <v>192.34800000000001</v>
      </c>
      <c r="S44" s="7">
        <v>1</v>
      </c>
      <c r="T44" s="8">
        <v>195</v>
      </c>
      <c r="U44" s="10"/>
      <c r="V44" s="3">
        <f t="shared" si="10"/>
        <v>230.8176</v>
      </c>
      <c r="W44" s="3">
        <f t="shared" si="11"/>
        <v>204.1848</v>
      </c>
      <c r="X44" t="s">
        <v>391</v>
      </c>
    </row>
    <row r="45" spans="1:24">
      <c r="A45">
        <v>59</v>
      </c>
      <c r="B45" t="s">
        <v>236</v>
      </c>
      <c r="C45" t="s">
        <v>46</v>
      </c>
      <c r="D45" t="s">
        <v>21</v>
      </c>
      <c r="E45" t="s">
        <v>113</v>
      </c>
      <c r="F45" t="s">
        <v>66</v>
      </c>
      <c r="G45" t="s">
        <v>24</v>
      </c>
      <c r="H45" t="s">
        <v>25</v>
      </c>
      <c r="I45" s="2">
        <v>94</v>
      </c>
      <c r="J45">
        <v>1</v>
      </c>
      <c r="K45" s="2">
        <v>94</v>
      </c>
      <c r="L45" s="2">
        <v>3.12</v>
      </c>
      <c r="M45" s="2">
        <v>8.64</v>
      </c>
      <c r="N45" t="s">
        <v>25</v>
      </c>
      <c r="O45" s="3">
        <v>105.76</v>
      </c>
      <c r="P45" s="2">
        <f t="shared" si="7"/>
        <v>31.728000000000002</v>
      </c>
      <c r="Q45" s="8">
        <f t="shared" si="8"/>
        <v>15.864000000000001</v>
      </c>
      <c r="R45" s="3">
        <f t="shared" si="9"/>
        <v>137.488</v>
      </c>
      <c r="S45" s="7">
        <v>1</v>
      </c>
      <c r="T45" s="8">
        <v>210</v>
      </c>
      <c r="U45" s="10"/>
      <c r="V45" s="3">
        <f t="shared" si="10"/>
        <v>164.98560000000001</v>
      </c>
      <c r="W45" s="3">
        <f t="shared" si="11"/>
        <v>145.94880000000001</v>
      </c>
    </row>
    <row r="46" spans="1:24">
      <c r="A46">
        <v>60</v>
      </c>
      <c r="B46" t="s">
        <v>114</v>
      </c>
      <c r="C46" t="s">
        <v>237</v>
      </c>
      <c r="D46" t="s">
        <v>21</v>
      </c>
      <c r="E46" t="s">
        <v>115</v>
      </c>
      <c r="F46" t="s">
        <v>66</v>
      </c>
      <c r="G46" t="s">
        <v>24</v>
      </c>
      <c r="H46" t="s">
        <v>25</v>
      </c>
      <c r="I46" s="2">
        <v>47</v>
      </c>
      <c r="J46">
        <v>1</v>
      </c>
      <c r="K46" s="2">
        <v>47</v>
      </c>
      <c r="L46" s="2">
        <v>6.09</v>
      </c>
      <c r="M46" s="2">
        <v>4.72</v>
      </c>
      <c r="N46" t="s">
        <v>25</v>
      </c>
      <c r="O46" s="3">
        <v>57.81</v>
      </c>
      <c r="P46" s="2">
        <f t="shared" si="7"/>
        <v>17.343</v>
      </c>
      <c r="Q46" s="8">
        <f t="shared" si="8"/>
        <v>8.6715</v>
      </c>
      <c r="R46" s="3">
        <f t="shared" si="9"/>
        <v>75.153000000000006</v>
      </c>
      <c r="S46" s="7">
        <v>1</v>
      </c>
      <c r="T46" s="8">
        <v>130</v>
      </c>
      <c r="U46" s="10"/>
      <c r="V46" s="3">
        <f t="shared" si="10"/>
        <v>90.183599999999998</v>
      </c>
      <c r="W46" s="3">
        <f t="shared" si="11"/>
        <v>79.777799999999999</v>
      </c>
    </row>
    <row r="47" spans="1:24">
      <c r="A47">
        <v>61</v>
      </c>
      <c r="B47" t="s">
        <v>117</v>
      </c>
      <c r="C47" t="s">
        <v>194</v>
      </c>
      <c r="H47" t="s">
        <v>25</v>
      </c>
      <c r="I47" s="2">
        <v>29</v>
      </c>
      <c r="J47">
        <v>1</v>
      </c>
      <c r="K47" s="2">
        <v>29</v>
      </c>
      <c r="L47" s="2">
        <v>0</v>
      </c>
      <c r="M47" s="2">
        <v>2.58</v>
      </c>
      <c r="N47" t="s">
        <v>25</v>
      </c>
      <c r="O47" s="3">
        <v>31.58</v>
      </c>
      <c r="P47" s="2">
        <f t="shared" si="7"/>
        <v>9.4739999999999984</v>
      </c>
      <c r="Q47" s="8">
        <f t="shared" si="8"/>
        <v>4.7369999999999992</v>
      </c>
      <c r="R47" s="3">
        <f t="shared" si="9"/>
        <v>41.053999999999995</v>
      </c>
      <c r="S47" s="7">
        <v>1</v>
      </c>
      <c r="T47" s="8">
        <v>70</v>
      </c>
      <c r="U47" s="10"/>
      <c r="V47" s="3">
        <f t="shared" si="10"/>
        <v>49.264799999999994</v>
      </c>
      <c r="W47" s="3">
        <f t="shared" si="11"/>
        <v>43.580399999999997</v>
      </c>
    </row>
    <row r="48" spans="1:24">
      <c r="A48">
        <v>62</v>
      </c>
      <c r="B48" t="s">
        <v>119</v>
      </c>
      <c r="C48" t="s">
        <v>120</v>
      </c>
      <c r="D48" t="s">
        <v>29</v>
      </c>
      <c r="E48" t="s">
        <v>121</v>
      </c>
      <c r="F48" t="s">
        <v>66</v>
      </c>
      <c r="G48" t="s">
        <v>67</v>
      </c>
      <c r="H48" t="s">
        <v>25</v>
      </c>
      <c r="I48" s="2">
        <v>0</v>
      </c>
      <c r="J48">
        <v>1</v>
      </c>
      <c r="K48" s="2">
        <v>0</v>
      </c>
      <c r="L48" s="2">
        <v>0</v>
      </c>
      <c r="M48" s="2">
        <v>0</v>
      </c>
      <c r="N48" t="s">
        <v>25</v>
      </c>
      <c r="O48" s="3">
        <v>0.01</v>
      </c>
      <c r="P48" s="2">
        <f t="shared" si="7"/>
        <v>3.0000000000000001E-3</v>
      </c>
      <c r="Q48" s="8">
        <f t="shared" si="8"/>
        <v>1.5E-3</v>
      </c>
      <c r="R48" s="3">
        <f t="shared" si="9"/>
        <v>1.3000000000000001E-2</v>
      </c>
      <c r="S48" s="7">
        <v>1</v>
      </c>
      <c r="T48" s="8"/>
      <c r="U48" s="10"/>
      <c r="V48" s="3">
        <f t="shared" si="10"/>
        <v>2.9630000000000001</v>
      </c>
      <c r="W48" s="3">
        <f t="shared" si="11"/>
        <v>2.9615</v>
      </c>
    </row>
    <row r="49" spans="1:24">
      <c r="A49">
        <v>63</v>
      </c>
      <c r="B49" t="s">
        <v>123</v>
      </c>
      <c r="C49" t="s">
        <v>124</v>
      </c>
      <c r="D49" t="s">
        <v>21</v>
      </c>
      <c r="E49" t="s">
        <v>125</v>
      </c>
      <c r="F49" t="s">
        <v>66</v>
      </c>
      <c r="G49" t="s">
        <v>24</v>
      </c>
      <c r="H49" t="s">
        <v>25</v>
      </c>
      <c r="I49" s="2">
        <v>195</v>
      </c>
      <c r="J49">
        <v>1</v>
      </c>
      <c r="K49" s="2">
        <v>195</v>
      </c>
      <c r="L49" s="2">
        <v>9.2100000000000009</v>
      </c>
      <c r="M49" s="2">
        <v>18.18</v>
      </c>
      <c r="N49" t="s">
        <v>25</v>
      </c>
      <c r="O49" s="3">
        <v>222.39</v>
      </c>
      <c r="P49" s="2">
        <f t="shared" si="7"/>
        <v>66.716999999999999</v>
      </c>
      <c r="Q49" s="8">
        <f t="shared" si="8"/>
        <v>33.358499999999999</v>
      </c>
      <c r="R49" s="3">
        <f t="shared" si="9"/>
        <v>289.10699999999997</v>
      </c>
      <c r="S49" s="7">
        <v>1</v>
      </c>
      <c r="T49" s="8">
        <v>340</v>
      </c>
      <c r="U49" s="10"/>
      <c r="V49" s="3">
        <f t="shared" si="10"/>
        <v>346.92839999999995</v>
      </c>
      <c r="W49" s="3">
        <f t="shared" si="11"/>
        <v>306.89819999999997</v>
      </c>
      <c r="X49" t="s">
        <v>388</v>
      </c>
    </row>
    <row r="50" spans="1:24">
      <c r="A50">
        <v>66</v>
      </c>
      <c r="B50" t="s">
        <v>129</v>
      </c>
      <c r="C50" t="s">
        <v>130</v>
      </c>
      <c r="D50" t="s">
        <v>29</v>
      </c>
      <c r="E50" t="s">
        <v>131</v>
      </c>
      <c r="F50" t="s">
        <v>66</v>
      </c>
      <c r="G50" t="s">
        <v>24</v>
      </c>
      <c r="H50" t="s">
        <v>25</v>
      </c>
      <c r="I50" s="2">
        <v>20</v>
      </c>
      <c r="J50">
        <v>1</v>
      </c>
      <c r="K50" s="2">
        <v>20</v>
      </c>
      <c r="L50" s="2">
        <v>9.2100000000000009</v>
      </c>
      <c r="M50" s="2">
        <v>2.6</v>
      </c>
      <c r="N50" t="s">
        <v>25</v>
      </c>
      <c r="O50" s="3">
        <v>31.81</v>
      </c>
      <c r="P50" s="2">
        <f t="shared" si="7"/>
        <v>9.5429999999999993</v>
      </c>
      <c r="Q50" s="8">
        <f t="shared" si="8"/>
        <v>4.7714999999999996</v>
      </c>
      <c r="R50" s="3">
        <f t="shared" si="9"/>
        <v>41.352999999999994</v>
      </c>
      <c r="S50" s="7">
        <v>1</v>
      </c>
      <c r="T50" s="8"/>
      <c r="U50" s="10"/>
      <c r="V50" s="3">
        <f t="shared" si="10"/>
        <v>49.623599999999989</v>
      </c>
      <c r="W50" s="3">
        <f t="shared" si="11"/>
        <v>43.897799999999997</v>
      </c>
    </row>
    <row r="51" spans="1:24">
      <c r="A51">
        <v>67</v>
      </c>
      <c r="B51" t="s">
        <v>240</v>
      </c>
      <c r="C51" t="s">
        <v>46</v>
      </c>
      <c r="D51" t="s">
        <v>100</v>
      </c>
      <c r="E51" t="s">
        <v>134</v>
      </c>
      <c r="F51" t="s">
        <v>66</v>
      </c>
      <c r="G51" t="s">
        <v>24</v>
      </c>
      <c r="H51" t="s">
        <v>25</v>
      </c>
      <c r="I51" s="2">
        <v>35</v>
      </c>
      <c r="J51">
        <v>1</v>
      </c>
      <c r="K51" s="2">
        <v>35</v>
      </c>
      <c r="L51" s="2">
        <v>3.63</v>
      </c>
      <c r="M51" s="2">
        <v>3.45</v>
      </c>
      <c r="N51" t="s">
        <v>25</v>
      </c>
      <c r="O51" s="3">
        <v>42.08</v>
      </c>
      <c r="P51" s="2">
        <f t="shared" si="7"/>
        <v>12.623999999999999</v>
      </c>
      <c r="Q51" s="8">
        <f t="shared" si="8"/>
        <v>6.3119999999999994</v>
      </c>
      <c r="R51" s="3">
        <f t="shared" si="9"/>
        <v>54.703999999999994</v>
      </c>
      <c r="S51" s="7">
        <v>1</v>
      </c>
      <c r="T51" s="8">
        <v>125</v>
      </c>
      <c r="U51" s="10"/>
      <c r="V51" s="3">
        <f t="shared" si="10"/>
        <v>65.644799999999989</v>
      </c>
      <c r="W51" s="3">
        <f t="shared" si="11"/>
        <v>58.070399999999992</v>
      </c>
    </row>
    <row r="52" spans="1:24">
      <c r="A52">
        <v>68</v>
      </c>
      <c r="B52" t="s">
        <v>241</v>
      </c>
      <c r="C52" t="s">
        <v>133</v>
      </c>
      <c r="D52" t="s">
        <v>100</v>
      </c>
      <c r="E52" t="s">
        <v>135</v>
      </c>
      <c r="F52" t="s">
        <v>66</v>
      </c>
      <c r="G52" t="s">
        <v>24</v>
      </c>
      <c r="H52" t="s">
        <v>25</v>
      </c>
      <c r="I52" s="2">
        <v>42</v>
      </c>
      <c r="J52">
        <v>1</v>
      </c>
      <c r="K52" s="2">
        <v>42</v>
      </c>
      <c r="L52" s="2">
        <v>5.58</v>
      </c>
      <c r="M52" s="2">
        <v>4.24</v>
      </c>
      <c r="N52" t="s">
        <v>25</v>
      </c>
      <c r="O52" s="3">
        <v>51.82</v>
      </c>
      <c r="P52" s="2">
        <f t="shared" si="7"/>
        <v>15.545999999999999</v>
      </c>
      <c r="Q52" s="8">
        <f t="shared" si="8"/>
        <v>7.7729999999999997</v>
      </c>
      <c r="R52" s="3">
        <f t="shared" si="9"/>
        <v>67.366</v>
      </c>
      <c r="S52" s="7">
        <v>1</v>
      </c>
      <c r="T52" s="8">
        <v>90</v>
      </c>
      <c r="U52" s="10"/>
      <c r="V52" s="3">
        <f t="shared" si="10"/>
        <v>80.839199999999991</v>
      </c>
      <c r="W52" s="3">
        <f t="shared" si="11"/>
        <v>71.511600000000001</v>
      </c>
    </row>
    <row r="53" spans="1:24">
      <c r="A53">
        <v>70</v>
      </c>
      <c r="B53" t="s">
        <v>244</v>
      </c>
      <c r="C53" t="s">
        <v>46</v>
      </c>
      <c r="D53" t="s">
        <v>138</v>
      </c>
      <c r="E53" t="s">
        <v>139</v>
      </c>
      <c r="F53" t="s">
        <v>66</v>
      </c>
      <c r="G53" t="s">
        <v>24</v>
      </c>
      <c r="H53" t="s">
        <v>25</v>
      </c>
      <c r="I53" s="2">
        <v>40</v>
      </c>
      <c r="J53">
        <v>1</v>
      </c>
      <c r="K53" s="2">
        <v>40</v>
      </c>
      <c r="L53" s="2">
        <v>0</v>
      </c>
      <c r="M53" s="2">
        <v>3.56</v>
      </c>
      <c r="N53" t="s">
        <v>25</v>
      </c>
      <c r="O53" s="3">
        <v>43.56</v>
      </c>
      <c r="P53" s="2">
        <f t="shared" si="7"/>
        <v>13.068</v>
      </c>
      <c r="Q53" s="8">
        <f t="shared" si="8"/>
        <v>6.5339999999999998</v>
      </c>
      <c r="R53" s="3">
        <f t="shared" si="9"/>
        <v>56.628</v>
      </c>
      <c r="S53" s="7">
        <v>1</v>
      </c>
      <c r="T53" s="8">
        <v>80</v>
      </c>
      <c r="U53" s="10"/>
      <c r="V53" s="3">
        <f t="shared" si="10"/>
        <v>67.953599999999994</v>
      </c>
      <c r="W53" s="3">
        <f t="shared" si="11"/>
        <v>60.1128</v>
      </c>
    </row>
    <row r="54" spans="1:24">
      <c r="A54">
        <v>71</v>
      </c>
      <c r="B54" t="s">
        <v>245</v>
      </c>
      <c r="C54" t="s">
        <v>46</v>
      </c>
      <c r="D54" t="s">
        <v>138</v>
      </c>
      <c r="E54" t="s">
        <v>140</v>
      </c>
      <c r="F54" t="s">
        <v>66</v>
      </c>
      <c r="G54" t="s">
        <v>24</v>
      </c>
      <c r="H54" t="s">
        <v>25</v>
      </c>
      <c r="I54" s="2">
        <v>36</v>
      </c>
      <c r="J54">
        <v>1</v>
      </c>
      <c r="K54" s="2">
        <v>36</v>
      </c>
      <c r="L54" s="2">
        <v>0</v>
      </c>
      <c r="M54" s="2">
        <v>3.2</v>
      </c>
      <c r="N54" t="s">
        <v>25</v>
      </c>
      <c r="O54" s="3">
        <v>39.200000000000003</v>
      </c>
      <c r="P54" s="2">
        <f t="shared" si="7"/>
        <v>11.76</v>
      </c>
      <c r="Q54" s="8">
        <f t="shared" si="8"/>
        <v>5.88</v>
      </c>
      <c r="R54" s="3">
        <f t="shared" si="9"/>
        <v>50.96</v>
      </c>
      <c r="S54" s="7">
        <v>1</v>
      </c>
      <c r="T54" s="8">
        <v>80</v>
      </c>
      <c r="U54" s="10"/>
      <c r="V54" s="3">
        <f t="shared" si="10"/>
        <v>61.152000000000001</v>
      </c>
      <c r="W54" s="3">
        <f t="shared" si="11"/>
        <v>54.096000000000004</v>
      </c>
    </row>
    <row r="55" spans="1:24">
      <c r="A55">
        <v>72</v>
      </c>
      <c r="B55" t="s">
        <v>246</v>
      </c>
      <c r="C55" t="s">
        <v>46</v>
      </c>
      <c r="D55" t="s">
        <v>138</v>
      </c>
      <c r="E55" t="s">
        <v>141</v>
      </c>
      <c r="F55" t="s">
        <v>66</v>
      </c>
      <c r="G55" t="s">
        <v>24</v>
      </c>
      <c r="H55" t="s">
        <v>25</v>
      </c>
      <c r="I55" s="2">
        <v>46</v>
      </c>
      <c r="J55">
        <v>1</v>
      </c>
      <c r="K55" s="2">
        <v>46</v>
      </c>
      <c r="L55" s="2">
        <v>0</v>
      </c>
      <c r="M55" s="2">
        <v>4.09</v>
      </c>
      <c r="N55" t="s">
        <v>25</v>
      </c>
      <c r="O55" s="3">
        <v>50.09</v>
      </c>
      <c r="P55" s="2">
        <f t="shared" si="7"/>
        <v>15.027000000000001</v>
      </c>
      <c r="Q55" s="8">
        <f t="shared" si="8"/>
        <v>7.5135000000000005</v>
      </c>
      <c r="R55" s="3">
        <f t="shared" si="9"/>
        <v>65.117000000000004</v>
      </c>
      <c r="S55" s="7">
        <v>1</v>
      </c>
      <c r="T55" s="8">
        <v>80</v>
      </c>
      <c r="U55" s="10"/>
      <c r="V55" s="3">
        <f t="shared" si="10"/>
        <v>78.1404</v>
      </c>
      <c r="W55" s="3">
        <f t="shared" si="11"/>
        <v>69.124200000000002</v>
      </c>
    </row>
    <row r="56" spans="1:24">
      <c r="A56">
        <v>73</v>
      </c>
      <c r="B56" t="s">
        <v>247</v>
      </c>
      <c r="C56" t="s">
        <v>46</v>
      </c>
      <c r="D56" t="s">
        <v>138</v>
      </c>
      <c r="E56" t="s">
        <v>142</v>
      </c>
      <c r="F56" t="s">
        <v>66</v>
      </c>
      <c r="G56" t="s">
        <v>24</v>
      </c>
      <c r="H56" t="s">
        <v>25</v>
      </c>
      <c r="I56" s="2">
        <v>38</v>
      </c>
      <c r="J56">
        <v>1</v>
      </c>
      <c r="K56" s="2">
        <v>38</v>
      </c>
      <c r="L56" s="2">
        <v>2.31</v>
      </c>
      <c r="M56" s="2">
        <v>3.58</v>
      </c>
      <c r="N56" t="s">
        <v>25</v>
      </c>
      <c r="O56" s="3">
        <v>43.89</v>
      </c>
      <c r="P56" s="2">
        <f t="shared" si="7"/>
        <v>13.167</v>
      </c>
      <c r="Q56" s="8">
        <f t="shared" si="8"/>
        <v>6.5834999999999999</v>
      </c>
      <c r="R56" s="3">
        <f t="shared" si="9"/>
        <v>57.057000000000002</v>
      </c>
      <c r="S56" s="7">
        <v>1</v>
      </c>
      <c r="T56" s="8">
        <v>20</v>
      </c>
      <c r="U56" s="10"/>
      <c r="V56" s="3">
        <f t="shared" si="10"/>
        <v>68.468400000000003</v>
      </c>
      <c r="W56" s="3">
        <f t="shared" si="11"/>
        <v>60.568199999999997</v>
      </c>
    </row>
    <row r="57" spans="1:24">
      <c r="A57">
        <v>74</v>
      </c>
      <c r="B57" t="s">
        <v>248</v>
      </c>
      <c r="C57" t="s">
        <v>46</v>
      </c>
      <c r="D57" t="s">
        <v>138</v>
      </c>
      <c r="E57" t="s">
        <v>143</v>
      </c>
      <c r="F57" t="s">
        <v>66</v>
      </c>
      <c r="G57" t="s">
        <v>24</v>
      </c>
      <c r="H57" t="s">
        <v>25</v>
      </c>
      <c r="I57" s="2">
        <v>41</v>
      </c>
      <c r="J57">
        <v>1</v>
      </c>
      <c r="K57" s="2">
        <v>41</v>
      </c>
      <c r="L57" s="2">
        <v>6.9</v>
      </c>
      <c r="M57" s="2">
        <v>4.2699999999999996</v>
      </c>
      <c r="N57" t="s">
        <v>25</v>
      </c>
      <c r="O57" s="3">
        <v>52.17</v>
      </c>
      <c r="P57" s="2">
        <f t="shared" ref="P57:P88" si="12">O57*0.3</f>
        <v>15.651</v>
      </c>
      <c r="Q57" s="8">
        <f t="shared" si="8"/>
        <v>7.8254999999999999</v>
      </c>
      <c r="R57" s="3">
        <f t="shared" si="9"/>
        <v>67.820999999999998</v>
      </c>
      <c r="S57" s="7">
        <v>1</v>
      </c>
      <c r="T57" s="8">
        <v>80</v>
      </c>
      <c r="U57" s="10"/>
      <c r="V57" s="3">
        <f t="shared" si="10"/>
        <v>81.385199999999998</v>
      </c>
      <c r="W57" s="3">
        <f t="shared" si="11"/>
        <v>71.994599999999991</v>
      </c>
    </row>
    <row r="58" spans="1:24">
      <c r="A58">
        <v>80</v>
      </c>
      <c r="B58" t="s">
        <v>252</v>
      </c>
      <c r="C58" t="s">
        <v>226</v>
      </c>
      <c r="D58" t="s">
        <v>21</v>
      </c>
      <c r="E58" t="s">
        <v>153</v>
      </c>
      <c r="F58" t="s">
        <v>66</v>
      </c>
      <c r="G58" t="s">
        <v>24</v>
      </c>
      <c r="H58" t="s">
        <v>25</v>
      </c>
      <c r="I58" s="2">
        <v>69</v>
      </c>
      <c r="J58">
        <v>1</v>
      </c>
      <c r="K58" s="2">
        <v>69</v>
      </c>
      <c r="L58" s="2">
        <v>9.2100000000000009</v>
      </c>
      <c r="M58" s="2">
        <v>6.96</v>
      </c>
      <c r="N58" t="s">
        <v>25</v>
      </c>
      <c r="O58" s="3">
        <v>85.17</v>
      </c>
      <c r="P58" s="2">
        <f t="shared" si="12"/>
        <v>25.550999999999998</v>
      </c>
      <c r="Q58" s="8">
        <f t="shared" si="8"/>
        <v>12.775499999999999</v>
      </c>
      <c r="R58" s="3">
        <f t="shared" si="9"/>
        <v>110.721</v>
      </c>
      <c r="S58" s="7">
        <v>1</v>
      </c>
      <c r="T58" s="8">
        <v>150</v>
      </c>
      <c r="U58" s="10"/>
      <c r="V58" s="3">
        <f t="shared" si="10"/>
        <v>132.86519999999999</v>
      </c>
      <c r="W58" s="3">
        <f t="shared" si="11"/>
        <v>117.53459999999998</v>
      </c>
    </row>
    <row r="59" spans="1:24">
      <c r="A59">
        <v>81</v>
      </c>
      <c r="B59" t="s">
        <v>253</v>
      </c>
      <c r="C59" t="s">
        <v>254</v>
      </c>
      <c r="D59" t="s">
        <v>29</v>
      </c>
      <c r="E59" t="s">
        <v>154</v>
      </c>
      <c r="F59" t="s">
        <v>66</v>
      </c>
      <c r="G59" t="s">
        <v>24</v>
      </c>
      <c r="H59" t="s">
        <v>25</v>
      </c>
      <c r="I59" s="2">
        <v>22</v>
      </c>
      <c r="J59">
        <v>1</v>
      </c>
      <c r="K59" s="2">
        <v>22</v>
      </c>
      <c r="L59" s="2">
        <v>7.73</v>
      </c>
      <c r="M59" s="2">
        <v>2.65</v>
      </c>
      <c r="N59" t="s">
        <v>25</v>
      </c>
      <c r="O59" s="3">
        <v>32.380000000000003</v>
      </c>
      <c r="P59" s="2">
        <f t="shared" si="12"/>
        <v>9.7140000000000004</v>
      </c>
      <c r="Q59" s="8">
        <f t="shared" si="8"/>
        <v>4.8570000000000002</v>
      </c>
      <c r="R59" s="3">
        <f t="shared" si="9"/>
        <v>42.094000000000001</v>
      </c>
      <c r="S59" s="7">
        <v>1</v>
      </c>
      <c r="T59" s="8">
        <v>55</v>
      </c>
      <c r="U59" s="10"/>
      <c r="V59" s="3">
        <f t="shared" si="10"/>
        <v>50.512799999999999</v>
      </c>
      <c r="W59" s="3">
        <f t="shared" si="11"/>
        <v>44.684400000000004</v>
      </c>
    </row>
    <row r="60" spans="1:24">
      <c r="A60">
        <v>82</v>
      </c>
      <c r="B60" t="s">
        <v>333</v>
      </c>
      <c r="H60" t="s">
        <v>25</v>
      </c>
      <c r="I60" s="2">
        <v>74</v>
      </c>
      <c r="J60">
        <v>1</v>
      </c>
      <c r="K60" s="2">
        <v>74</v>
      </c>
      <c r="L60" s="2">
        <v>1.34</v>
      </c>
      <c r="M60" s="2">
        <v>6.71</v>
      </c>
      <c r="N60" t="s">
        <v>25</v>
      </c>
      <c r="O60" s="3">
        <v>82.05</v>
      </c>
      <c r="P60" s="2">
        <f t="shared" si="12"/>
        <v>24.614999999999998</v>
      </c>
      <c r="Q60" s="8">
        <f t="shared" si="8"/>
        <v>12.307499999999999</v>
      </c>
      <c r="R60" s="3">
        <f t="shared" si="9"/>
        <v>106.66499999999999</v>
      </c>
      <c r="S60" s="7">
        <v>1</v>
      </c>
      <c r="T60" s="8">
        <v>150</v>
      </c>
      <c r="U60" s="10"/>
      <c r="V60" s="3">
        <f t="shared" si="10"/>
        <v>127.99799999999999</v>
      </c>
      <c r="W60" s="3">
        <f t="shared" si="11"/>
        <v>113.229</v>
      </c>
    </row>
    <row r="61" spans="1:24">
      <c r="A61">
        <v>84</v>
      </c>
      <c r="B61" t="s">
        <v>334</v>
      </c>
      <c r="C61" t="s">
        <v>69</v>
      </c>
      <c r="H61" t="s">
        <v>25</v>
      </c>
      <c r="I61" s="2">
        <v>72</v>
      </c>
      <c r="J61">
        <v>1</v>
      </c>
      <c r="K61" s="2">
        <v>72</v>
      </c>
      <c r="L61" s="2">
        <v>0</v>
      </c>
      <c r="M61" s="2">
        <v>6.41</v>
      </c>
      <c r="N61" t="s">
        <v>25</v>
      </c>
      <c r="O61" s="3">
        <v>78.41</v>
      </c>
      <c r="P61" s="2">
        <f t="shared" si="12"/>
        <v>23.523</v>
      </c>
      <c r="Q61" s="8">
        <f t="shared" si="8"/>
        <v>11.7615</v>
      </c>
      <c r="R61" s="3">
        <f t="shared" si="9"/>
        <v>101.93299999999999</v>
      </c>
      <c r="S61" s="7">
        <v>1</v>
      </c>
      <c r="T61" s="8">
        <v>150</v>
      </c>
      <c r="U61" s="10"/>
      <c r="V61" s="3">
        <f t="shared" si="10"/>
        <v>122.31959999999998</v>
      </c>
      <c r="W61" s="3">
        <f t="shared" si="11"/>
        <v>108.2058</v>
      </c>
    </row>
    <row r="62" spans="1:24">
      <c r="A62">
        <v>85</v>
      </c>
      <c r="B62" t="s">
        <v>332</v>
      </c>
      <c r="H62" t="s">
        <v>25</v>
      </c>
      <c r="I62" s="2">
        <v>70</v>
      </c>
      <c r="J62">
        <v>1</v>
      </c>
      <c r="K62" s="2">
        <v>70</v>
      </c>
      <c r="L62" s="2">
        <v>9.2100000000000009</v>
      </c>
      <c r="M62" s="2">
        <v>7.05</v>
      </c>
      <c r="N62" t="s">
        <v>25</v>
      </c>
      <c r="O62" s="3">
        <v>86.26</v>
      </c>
      <c r="P62" s="2">
        <f t="shared" si="12"/>
        <v>25.878</v>
      </c>
      <c r="Q62" s="8">
        <f t="shared" si="8"/>
        <v>12.939</v>
      </c>
      <c r="R62" s="3">
        <f t="shared" si="9"/>
        <v>112.13800000000001</v>
      </c>
      <c r="S62" s="7">
        <v>1</v>
      </c>
      <c r="T62" s="8">
        <v>170</v>
      </c>
      <c r="U62" s="10"/>
      <c r="V62" s="3">
        <f t="shared" si="10"/>
        <v>134.56559999999999</v>
      </c>
      <c r="W62" s="3">
        <f t="shared" si="11"/>
        <v>119.03880000000001</v>
      </c>
    </row>
    <row r="63" spans="1:24">
      <c r="A63">
        <v>88</v>
      </c>
      <c r="B63" t="s">
        <v>343</v>
      </c>
      <c r="C63" t="s">
        <v>193</v>
      </c>
      <c r="H63" t="s">
        <v>25</v>
      </c>
      <c r="I63" s="2">
        <v>3</v>
      </c>
      <c r="J63">
        <v>1</v>
      </c>
      <c r="K63" s="2">
        <v>3</v>
      </c>
      <c r="L63" s="2">
        <v>7.68</v>
      </c>
      <c r="M63" s="2">
        <v>0.96</v>
      </c>
      <c r="N63" t="s">
        <v>25</v>
      </c>
      <c r="O63" s="3">
        <v>11.64</v>
      </c>
      <c r="P63" s="2">
        <f t="shared" si="12"/>
        <v>3.492</v>
      </c>
      <c r="Q63" s="8">
        <f t="shared" si="8"/>
        <v>1.746</v>
      </c>
      <c r="R63" s="3">
        <f t="shared" si="9"/>
        <v>15.132000000000001</v>
      </c>
      <c r="S63" s="7">
        <v>1</v>
      </c>
      <c r="T63" s="8">
        <v>40</v>
      </c>
      <c r="U63" s="10"/>
      <c r="V63" s="3">
        <f t="shared" si="10"/>
        <v>18.1584</v>
      </c>
      <c r="W63" s="3">
        <f t="shared" si="11"/>
        <v>16.336000000000002</v>
      </c>
    </row>
    <row r="64" spans="1:24">
      <c r="A64">
        <v>89</v>
      </c>
      <c r="B64" t="s">
        <v>327</v>
      </c>
      <c r="H64" t="s">
        <v>25</v>
      </c>
      <c r="I64" s="2">
        <v>111</v>
      </c>
      <c r="J64">
        <v>1</v>
      </c>
      <c r="K64" s="2">
        <v>111</v>
      </c>
      <c r="L64" s="2">
        <v>1.34</v>
      </c>
      <c r="M64" s="2">
        <v>10</v>
      </c>
      <c r="N64" t="s">
        <v>25</v>
      </c>
      <c r="O64" s="3">
        <v>122.34</v>
      </c>
      <c r="P64" s="2">
        <f t="shared" si="12"/>
        <v>36.701999999999998</v>
      </c>
      <c r="Q64" s="8">
        <f t="shared" si="8"/>
        <v>18.350999999999999</v>
      </c>
      <c r="R64" s="3">
        <f t="shared" si="9"/>
        <v>159.042</v>
      </c>
      <c r="S64" s="7">
        <v>1</v>
      </c>
      <c r="T64" s="8">
        <v>230</v>
      </c>
      <c r="U64" s="10"/>
      <c r="V64" s="3">
        <f t="shared" si="10"/>
        <v>190.85040000000001</v>
      </c>
      <c r="W64" s="3">
        <f t="shared" si="11"/>
        <v>168.82919999999999</v>
      </c>
      <c r="X64" t="s">
        <v>390</v>
      </c>
    </row>
    <row r="65" spans="1:24">
      <c r="A65">
        <v>90</v>
      </c>
      <c r="B65" t="s">
        <v>328</v>
      </c>
      <c r="C65" t="s">
        <v>69</v>
      </c>
      <c r="H65" t="s">
        <v>25</v>
      </c>
      <c r="I65" s="2">
        <v>95</v>
      </c>
      <c r="J65">
        <v>1</v>
      </c>
      <c r="K65" s="2">
        <v>95</v>
      </c>
      <c r="L65" s="2">
        <v>2.76</v>
      </c>
      <c r="M65" s="2">
        <v>8.6999999999999993</v>
      </c>
      <c r="N65" t="s">
        <v>25</v>
      </c>
      <c r="O65" s="3">
        <v>106.46</v>
      </c>
      <c r="P65" s="2">
        <f t="shared" si="12"/>
        <v>31.937999999999995</v>
      </c>
      <c r="Q65" s="8">
        <f t="shared" si="8"/>
        <v>15.968999999999998</v>
      </c>
      <c r="R65" s="3">
        <f t="shared" si="9"/>
        <v>138.398</v>
      </c>
      <c r="S65" s="7">
        <v>1</v>
      </c>
      <c r="T65" s="8">
        <v>300</v>
      </c>
      <c r="U65" s="10"/>
      <c r="V65" s="3">
        <f t="shared" si="10"/>
        <v>166.07759999999999</v>
      </c>
      <c r="W65" s="3">
        <f t="shared" si="11"/>
        <v>146.91479999999999</v>
      </c>
    </row>
    <row r="66" spans="1:24">
      <c r="A66">
        <v>91</v>
      </c>
      <c r="B66" t="s">
        <v>250</v>
      </c>
      <c r="C66" t="s">
        <v>161</v>
      </c>
      <c r="D66" t="s">
        <v>21</v>
      </c>
      <c r="E66" t="s">
        <v>162</v>
      </c>
      <c r="F66" s="2"/>
      <c r="G66" s="2"/>
      <c r="H66" t="s">
        <v>25</v>
      </c>
      <c r="I66" s="2">
        <v>0</v>
      </c>
      <c r="J66">
        <v>1</v>
      </c>
      <c r="K66" s="2">
        <v>0</v>
      </c>
      <c r="L66" s="2">
        <v>0</v>
      </c>
      <c r="M66" s="2">
        <v>0</v>
      </c>
      <c r="N66" t="s">
        <v>25</v>
      </c>
      <c r="O66" s="3">
        <v>0.01</v>
      </c>
      <c r="P66" s="2">
        <f t="shared" si="12"/>
        <v>3.0000000000000001E-3</v>
      </c>
      <c r="Q66" s="8">
        <v>0.01</v>
      </c>
      <c r="R66" s="3">
        <f t="shared" ref="R66:R97" si="13">O66+P66</f>
        <v>1.3000000000000001E-2</v>
      </c>
      <c r="S66" s="7">
        <v>1</v>
      </c>
      <c r="T66" s="8">
        <v>88</v>
      </c>
      <c r="U66" s="10"/>
      <c r="V66" s="3">
        <f t="shared" ref="V66:V97" si="14">IF((O66+P66)&lt;15,(O66+P66+2.95), ((O66+P66)*1.2))</f>
        <v>2.9630000000000001</v>
      </c>
      <c r="W66" s="3">
        <f t="shared" ref="W66:W97" si="15">IF((O66+Q66)&lt;15,(O66+Q66+2.95), ((O66+Q66)*1.2))</f>
        <v>2.97</v>
      </c>
    </row>
    <row r="67" spans="1:24">
      <c r="A67">
        <v>92</v>
      </c>
      <c r="B67" t="s">
        <v>326</v>
      </c>
      <c r="H67" t="s">
        <v>25</v>
      </c>
      <c r="I67" s="2">
        <v>185</v>
      </c>
      <c r="J67">
        <v>1</v>
      </c>
      <c r="K67" s="2">
        <v>185</v>
      </c>
      <c r="L67" s="2">
        <v>9.2100000000000009</v>
      </c>
      <c r="M67" s="2">
        <v>17.29</v>
      </c>
      <c r="N67" t="s">
        <v>25</v>
      </c>
      <c r="O67" s="3">
        <v>211.5</v>
      </c>
      <c r="P67" s="2">
        <f t="shared" si="12"/>
        <v>63.449999999999996</v>
      </c>
      <c r="Q67" s="8">
        <f t="shared" ref="Q67:Q98" si="16">O67*0.15</f>
        <v>31.724999999999998</v>
      </c>
      <c r="R67" s="3">
        <f t="shared" si="13"/>
        <v>274.95</v>
      </c>
      <c r="S67" s="7">
        <v>1</v>
      </c>
      <c r="T67" s="8">
        <v>300</v>
      </c>
      <c r="U67" s="10"/>
      <c r="V67" s="3">
        <f t="shared" si="14"/>
        <v>329.94</v>
      </c>
      <c r="W67" s="3">
        <f t="shared" si="15"/>
        <v>291.87</v>
      </c>
      <c r="X67" t="s">
        <v>389</v>
      </c>
    </row>
    <row r="68" spans="1:24">
      <c r="A68">
        <v>94</v>
      </c>
      <c r="B68" t="s">
        <v>255</v>
      </c>
      <c r="C68" t="s">
        <v>254</v>
      </c>
      <c r="D68" t="s">
        <v>21</v>
      </c>
      <c r="E68" t="s">
        <v>165</v>
      </c>
      <c r="F68" t="s">
        <v>66</v>
      </c>
      <c r="G68" t="s">
        <v>24</v>
      </c>
      <c r="H68" t="s">
        <v>25</v>
      </c>
      <c r="I68" s="2">
        <v>66</v>
      </c>
      <c r="J68">
        <v>1</v>
      </c>
      <c r="K68" s="2">
        <v>66</v>
      </c>
      <c r="L68" s="2">
        <v>4.74</v>
      </c>
      <c r="M68" s="2">
        <v>6.29</v>
      </c>
      <c r="N68" t="s">
        <v>25</v>
      </c>
      <c r="O68" s="3">
        <v>77.03</v>
      </c>
      <c r="P68" s="2">
        <f t="shared" si="12"/>
        <v>23.108999999999998</v>
      </c>
      <c r="Q68" s="8">
        <f t="shared" si="16"/>
        <v>11.554499999999999</v>
      </c>
      <c r="R68" s="3">
        <f t="shared" si="13"/>
        <v>100.139</v>
      </c>
      <c r="S68" s="7">
        <v>1</v>
      </c>
      <c r="U68" s="10"/>
      <c r="V68" s="3">
        <f t="shared" si="14"/>
        <v>120.16679999999999</v>
      </c>
      <c r="W68" s="3">
        <f t="shared" si="15"/>
        <v>106.3014</v>
      </c>
    </row>
    <row r="69" spans="1:24">
      <c r="A69">
        <v>97</v>
      </c>
      <c r="B69" t="s">
        <v>170</v>
      </c>
      <c r="H69" t="s">
        <v>25</v>
      </c>
      <c r="I69" s="2">
        <v>29</v>
      </c>
      <c r="J69">
        <v>1</v>
      </c>
      <c r="K69" s="2">
        <v>29</v>
      </c>
      <c r="L69" s="2">
        <v>9.2100000000000009</v>
      </c>
      <c r="M69" s="2">
        <v>3.4</v>
      </c>
      <c r="N69" t="s">
        <v>25</v>
      </c>
      <c r="O69" s="3">
        <v>41.61</v>
      </c>
      <c r="P69" s="2">
        <f t="shared" si="12"/>
        <v>12.482999999999999</v>
      </c>
      <c r="Q69" s="8">
        <f t="shared" si="16"/>
        <v>6.2414999999999994</v>
      </c>
      <c r="R69" s="3">
        <f t="shared" si="13"/>
        <v>54.092999999999996</v>
      </c>
      <c r="S69" s="7">
        <v>1</v>
      </c>
      <c r="T69" s="8">
        <v>70</v>
      </c>
      <c r="U69" s="10"/>
      <c r="V69" s="3">
        <f t="shared" si="14"/>
        <v>64.911599999999993</v>
      </c>
      <c r="W69" s="3">
        <f t="shared" si="15"/>
        <v>57.421799999999998</v>
      </c>
    </row>
    <row r="70" spans="1:24">
      <c r="A70">
        <v>98</v>
      </c>
      <c r="B70" t="s">
        <v>171</v>
      </c>
      <c r="H70" t="s">
        <v>25</v>
      </c>
      <c r="I70" s="2">
        <v>30</v>
      </c>
      <c r="J70">
        <v>1</v>
      </c>
      <c r="K70" s="2">
        <v>30</v>
      </c>
      <c r="L70" s="2">
        <v>0</v>
      </c>
      <c r="M70" s="2">
        <v>2.67</v>
      </c>
      <c r="N70" t="s">
        <v>25</v>
      </c>
      <c r="O70" s="3">
        <v>32.67</v>
      </c>
      <c r="P70" s="2">
        <f t="shared" si="12"/>
        <v>9.8010000000000002</v>
      </c>
      <c r="Q70" s="8">
        <f t="shared" si="16"/>
        <v>4.9005000000000001</v>
      </c>
      <c r="R70" s="3">
        <f t="shared" si="13"/>
        <v>42.471000000000004</v>
      </c>
      <c r="S70" s="7">
        <v>1</v>
      </c>
      <c r="T70" s="8">
        <v>70</v>
      </c>
      <c r="U70" s="10"/>
      <c r="V70" s="3">
        <f t="shared" si="14"/>
        <v>50.965200000000003</v>
      </c>
      <c r="W70" s="3">
        <f t="shared" si="15"/>
        <v>45.084600000000002</v>
      </c>
    </row>
    <row r="71" spans="1:24">
      <c r="A71">
        <v>99</v>
      </c>
      <c r="B71" t="s">
        <v>172</v>
      </c>
      <c r="C71" t="s">
        <v>173</v>
      </c>
      <c r="D71" t="s">
        <v>29</v>
      </c>
      <c r="E71" t="s">
        <v>174</v>
      </c>
      <c r="F71" t="s">
        <v>66</v>
      </c>
      <c r="G71" t="s">
        <v>24</v>
      </c>
      <c r="H71" t="s">
        <v>25</v>
      </c>
      <c r="I71" s="2">
        <v>22</v>
      </c>
      <c r="J71">
        <v>1</v>
      </c>
      <c r="K71" s="2">
        <v>22</v>
      </c>
      <c r="L71" s="2">
        <v>0</v>
      </c>
      <c r="M71" s="2">
        <v>1.96</v>
      </c>
      <c r="N71" t="s">
        <v>25</v>
      </c>
      <c r="O71" s="3">
        <v>23.96</v>
      </c>
      <c r="P71" s="2">
        <f t="shared" si="12"/>
        <v>7.1879999999999997</v>
      </c>
      <c r="Q71" s="8">
        <f t="shared" si="16"/>
        <v>3.5939999999999999</v>
      </c>
      <c r="R71" s="3">
        <f t="shared" si="13"/>
        <v>31.148</v>
      </c>
      <c r="S71" s="7">
        <v>1</v>
      </c>
      <c r="T71" s="8">
        <v>50</v>
      </c>
      <c r="U71" s="10"/>
      <c r="V71" s="3">
        <f t="shared" si="14"/>
        <v>37.377600000000001</v>
      </c>
      <c r="W71" s="3">
        <f t="shared" si="15"/>
        <v>33.064799999999998</v>
      </c>
    </row>
    <row r="72" spans="1:24">
      <c r="A72">
        <v>100</v>
      </c>
      <c r="B72" t="s">
        <v>175</v>
      </c>
      <c r="C72" t="s">
        <v>176</v>
      </c>
      <c r="D72" t="s">
        <v>29</v>
      </c>
      <c r="E72" t="s">
        <v>177</v>
      </c>
      <c r="F72" t="s">
        <v>66</v>
      </c>
      <c r="G72" t="s">
        <v>24</v>
      </c>
      <c r="H72" t="s">
        <v>25</v>
      </c>
      <c r="I72" s="2">
        <v>27</v>
      </c>
      <c r="J72">
        <v>1</v>
      </c>
      <c r="K72" s="2">
        <v>27</v>
      </c>
      <c r="L72" s="2">
        <v>9.2100000000000009</v>
      </c>
      <c r="M72" s="2">
        <v>3.22</v>
      </c>
      <c r="N72" t="s">
        <v>25</v>
      </c>
      <c r="O72" s="3">
        <v>39.43</v>
      </c>
      <c r="P72" s="2">
        <f t="shared" si="12"/>
        <v>11.828999999999999</v>
      </c>
      <c r="Q72" s="8">
        <f t="shared" si="16"/>
        <v>5.9144999999999994</v>
      </c>
      <c r="R72" s="3">
        <f t="shared" si="13"/>
        <v>51.259</v>
      </c>
      <c r="S72" s="7">
        <v>1</v>
      </c>
      <c r="T72" s="8">
        <v>60</v>
      </c>
      <c r="U72" s="10"/>
      <c r="V72" s="3">
        <f t="shared" si="14"/>
        <v>61.510799999999996</v>
      </c>
      <c r="W72" s="3">
        <f t="shared" si="15"/>
        <v>54.413399999999996</v>
      </c>
    </row>
    <row r="73" spans="1:24">
      <c r="A73">
        <v>101</v>
      </c>
      <c r="B73" t="s">
        <v>178</v>
      </c>
      <c r="C73" t="s">
        <v>179</v>
      </c>
      <c r="D73" t="s">
        <v>29</v>
      </c>
      <c r="E73" t="s">
        <v>180</v>
      </c>
      <c r="F73" t="s">
        <v>23</v>
      </c>
      <c r="G73" t="s">
        <v>24</v>
      </c>
      <c r="H73" t="s">
        <v>25</v>
      </c>
      <c r="I73" s="2">
        <v>17</v>
      </c>
      <c r="J73">
        <v>1</v>
      </c>
      <c r="K73" s="2">
        <v>17</v>
      </c>
      <c r="L73" s="2">
        <v>6.09</v>
      </c>
      <c r="M73" s="2">
        <v>2.0499999999999998</v>
      </c>
      <c r="N73" t="s">
        <v>25</v>
      </c>
      <c r="O73" s="3">
        <v>25.14</v>
      </c>
      <c r="P73" s="2">
        <f t="shared" si="12"/>
        <v>7.5419999999999998</v>
      </c>
      <c r="Q73" s="8">
        <f t="shared" si="16"/>
        <v>3.7709999999999999</v>
      </c>
      <c r="R73" s="3">
        <f t="shared" si="13"/>
        <v>32.682000000000002</v>
      </c>
      <c r="S73" s="7">
        <v>1</v>
      </c>
      <c r="T73" s="8">
        <v>60</v>
      </c>
      <c r="U73" s="10"/>
      <c r="V73" s="3">
        <f t="shared" si="14"/>
        <v>39.218400000000003</v>
      </c>
      <c r="W73" s="3">
        <f t="shared" si="15"/>
        <v>34.693199999999997</v>
      </c>
    </row>
    <row r="74" spans="1:24">
      <c r="A74">
        <v>107</v>
      </c>
      <c r="B74" t="s">
        <v>184</v>
      </c>
      <c r="C74" t="s">
        <v>185</v>
      </c>
      <c r="D74" t="s">
        <v>100</v>
      </c>
      <c r="E74" t="s">
        <v>186</v>
      </c>
      <c r="F74" t="s">
        <v>66</v>
      </c>
      <c r="G74" t="s">
        <v>24</v>
      </c>
      <c r="H74" t="s">
        <v>25</v>
      </c>
      <c r="I74" s="2">
        <v>35</v>
      </c>
      <c r="J74">
        <v>1</v>
      </c>
      <c r="K74" s="2">
        <v>35</v>
      </c>
      <c r="L74" s="2">
        <v>0</v>
      </c>
      <c r="M74" s="2">
        <v>3.12</v>
      </c>
      <c r="N74" t="s">
        <v>25</v>
      </c>
      <c r="O74" s="3">
        <v>38.119999999999997</v>
      </c>
      <c r="P74" s="2">
        <f t="shared" si="12"/>
        <v>11.435999999999998</v>
      </c>
      <c r="Q74" s="8">
        <f t="shared" si="16"/>
        <v>5.7179999999999991</v>
      </c>
      <c r="R74" s="3">
        <f t="shared" si="13"/>
        <v>49.555999999999997</v>
      </c>
      <c r="S74" s="7">
        <v>1</v>
      </c>
      <c r="T74" s="8">
        <v>100</v>
      </c>
      <c r="U74" s="10"/>
      <c r="V74" s="3">
        <f t="shared" si="14"/>
        <v>59.467199999999991</v>
      </c>
      <c r="W74" s="3">
        <f t="shared" si="15"/>
        <v>52.605599999999988</v>
      </c>
    </row>
    <row r="75" spans="1:24">
      <c r="A75">
        <v>107</v>
      </c>
      <c r="B75" t="s">
        <v>258</v>
      </c>
      <c r="O75" s="3">
        <v>31.81</v>
      </c>
      <c r="P75" s="2">
        <f t="shared" si="12"/>
        <v>9.5429999999999993</v>
      </c>
      <c r="Q75" s="8">
        <f t="shared" si="16"/>
        <v>4.7714999999999996</v>
      </c>
      <c r="R75" s="3">
        <f t="shared" si="13"/>
        <v>41.352999999999994</v>
      </c>
      <c r="S75" s="7">
        <v>1</v>
      </c>
      <c r="U75" s="10"/>
      <c r="V75" s="3">
        <f t="shared" si="14"/>
        <v>49.623599999999989</v>
      </c>
      <c r="W75" s="3">
        <f t="shared" si="15"/>
        <v>43.897799999999997</v>
      </c>
    </row>
    <row r="76" spans="1:24">
      <c r="A76">
        <v>108</v>
      </c>
      <c r="B76" t="s">
        <v>259</v>
      </c>
      <c r="O76" s="3">
        <v>20.69</v>
      </c>
      <c r="P76" s="2">
        <f t="shared" si="12"/>
        <v>6.2069999999999999</v>
      </c>
      <c r="Q76" s="8">
        <f t="shared" si="16"/>
        <v>3.1034999999999999</v>
      </c>
      <c r="R76" s="3">
        <f t="shared" si="13"/>
        <v>26.897000000000002</v>
      </c>
      <c r="S76" s="7">
        <v>1</v>
      </c>
      <c r="U76" s="10"/>
      <c r="V76" s="3">
        <f t="shared" si="14"/>
        <v>32.276400000000002</v>
      </c>
      <c r="W76" s="3">
        <f t="shared" si="15"/>
        <v>28.552200000000003</v>
      </c>
    </row>
    <row r="77" spans="1:24">
      <c r="A77">
        <v>109</v>
      </c>
      <c r="B77" t="s">
        <v>189</v>
      </c>
      <c r="C77" t="s">
        <v>190</v>
      </c>
      <c r="D77" t="s">
        <v>21</v>
      </c>
      <c r="E77" t="s">
        <v>191</v>
      </c>
      <c r="F77" t="s">
        <v>66</v>
      </c>
      <c r="G77" t="s">
        <v>24</v>
      </c>
      <c r="H77" t="s">
        <v>25</v>
      </c>
      <c r="I77" s="2">
        <v>66</v>
      </c>
      <c r="J77">
        <v>1</v>
      </c>
      <c r="K77" s="2">
        <v>66</v>
      </c>
      <c r="L77" s="2">
        <v>4.3499999999999996</v>
      </c>
      <c r="M77" s="2">
        <v>6.25</v>
      </c>
      <c r="N77" t="s">
        <v>25</v>
      </c>
      <c r="O77" s="3">
        <v>76.599999999999994</v>
      </c>
      <c r="P77" s="2">
        <f t="shared" si="12"/>
        <v>22.979999999999997</v>
      </c>
      <c r="Q77" s="8">
        <f t="shared" si="16"/>
        <v>11.489999999999998</v>
      </c>
      <c r="R77" s="3">
        <f t="shared" si="13"/>
        <v>99.579999999999984</v>
      </c>
      <c r="S77" s="7">
        <v>1</v>
      </c>
      <c r="T77" s="8">
        <v>100</v>
      </c>
      <c r="U77" s="10"/>
      <c r="V77" s="3">
        <f t="shared" si="14"/>
        <v>119.49599999999998</v>
      </c>
      <c r="W77" s="3">
        <f t="shared" si="15"/>
        <v>105.70799999999998</v>
      </c>
    </row>
    <row r="78" spans="1:24">
      <c r="A78">
        <v>109</v>
      </c>
      <c r="B78" t="s">
        <v>260</v>
      </c>
      <c r="O78" s="3">
        <v>23.96</v>
      </c>
      <c r="P78" s="2">
        <f t="shared" si="12"/>
        <v>7.1879999999999997</v>
      </c>
      <c r="Q78" s="8">
        <f t="shared" si="16"/>
        <v>3.5939999999999999</v>
      </c>
      <c r="R78" s="3">
        <f t="shared" si="13"/>
        <v>31.148</v>
      </c>
      <c r="S78" s="7">
        <v>1</v>
      </c>
      <c r="U78" s="10"/>
      <c r="V78" s="3">
        <f t="shared" si="14"/>
        <v>37.377600000000001</v>
      </c>
      <c r="W78" s="3">
        <f t="shared" si="15"/>
        <v>33.064799999999998</v>
      </c>
    </row>
    <row r="79" spans="1:24">
      <c r="A79">
        <v>110</v>
      </c>
      <c r="B79" t="s">
        <v>261</v>
      </c>
      <c r="O79" s="3">
        <v>17.420000000000002</v>
      </c>
      <c r="P79" s="2">
        <f t="shared" si="12"/>
        <v>5.226</v>
      </c>
      <c r="Q79" s="8">
        <f t="shared" si="16"/>
        <v>2.613</v>
      </c>
      <c r="R79" s="3">
        <f t="shared" si="13"/>
        <v>22.646000000000001</v>
      </c>
      <c r="S79" s="7">
        <v>1</v>
      </c>
      <c r="U79" s="10"/>
      <c r="V79" s="3">
        <f t="shared" si="14"/>
        <v>27.1752</v>
      </c>
      <c r="W79" s="3">
        <f t="shared" si="15"/>
        <v>24.0396</v>
      </c>
    </row>
    <row r="80" spans="1:24">
      <c r="A80">
        <v>111</v>
      </c>
      <c r="B80" t="s">
        <v>424</v>
      </c>
      <c r="I80" s="2"/>
      <c r="K80" s="2"/>
      <c r="L80" s="2"/>
      <c r="M80" s="2"/>
      <c r="O80" s="3">
        <f>601.95/2</f>
        <v>300.97500000000002</v>
      </c>
      <c r="P80" s="2">
        <f t="shared" si="12"/>
        <v>90.292500000000004</v>
      </c>
      <c r="Q80" s="8">
        <f t="shared" si="16"/>
        <v>45.146250000000002</v>
      </c>
      <c r="R80" s="3">
        <f t="shared" si="13"/>
        <v>391.26750000000004</v>
      </c>
      <c r="S80" s="7">
        <v>1</v>
      </c>
      <c r="T80" s="8">
        <v>600</v>
      </c>
      <c r="U80" s="10"/>
      <c r="V80" s="3">
        <f t="shared" si="14"/>
        <v>469.52100000000002</v>
      </c>
      <c r="W80" s="3">
        <f t="shared" si="15"/>
        <v>415.34550000000002</v>
      </c>
      <c r="X80" t="s">
        <v>305</v>
      </c>
    </row>
    <row r="81" spans="1:24">
      <c r="A81">
        <v>112</v>
      </c>
      <c r="B81" t="s">
        <v>364</v>
      </c>
      <c r="C81" t="s">
        <v>268</v>
      </c>
      <c r="D81" t="s">
        <v>21</v>
      </c>
      <c r="E81" t="s">
        <v>269</v>
      </c>
      <c r="F81" t="s">
        <v>23</v>
      </c>
      <c r="G81" t="s">
        <v>24</v>
      </c>
      <c r="H81" t="s">
        <v>25</v>
      </c>
      <c r="I81" s="2">
        <v>19</v>
      </c>
      <c r="J81">
        <v>1</v>
      </c>
      <c r="K81" s="2">
        <v>19</v>
      </c>
      <c r="L81" s="2">
        <v>5.91</v>
      </c>
      <c r="M81" s="2">
        <v>2.2200000000000002</v>
      </c>
      <c r="N81" t="s">
        <v>25</v>
      </c>
      <c r="O81" s="3">
        <v>27.13</v>
      </c>
      <c r="P81" s="2">
        <f t="shared" si="12"/>
        <v>8.1389999999999993</v>
      </c>
      <c r="Q81" s="8">
        <f t="shared" si="16"/>
        <v>4.0694999999999997</v>
      </c>
      <c r="R81" s="3">
        <f t="shared" si="13"/>
        <v>35.268999999999998</v>
      </c>
      <c r="S81" s="7">
        <v>1</v>
      </c>
      <c r="U81" s="10"/>
      <c r="V81" s="3">
        <f t="shared" si="14"/>
        <v>42.322799999999994</v>
      </c>
      <c r="W81" s="3">
        <f t="shared" si="15"/>
        <v>37.439399999999999</v>
      </c>
    </row>
    <row r="82" spans="1:24">
      <c r="A82">
        <v>113</v>
      </c>
      <c r="B82" t="s">
        <v>340</v>
      </c>
      <c r="D82" t="s">
        <v>21</v>
      </c>
      <c r="E82" t="s">
        <v>272</v>
      </c>
      <c r="F82" t="s">
        <v>23</v>
      </c>
      <c r="G82" t="s">
        <v>24</v>
      </c>
      <c r="H82" t="s">
        <v>25</v>
      </c>
      <c r="I82" s="2">
        <v>45</v>
      </c>
      <c r="J82">
        <v>1</v>
      </c>
      <c r="K82" s="2">
        <v>45</v>
      </c>
      <c r="L82" s="2">
        <v>1.36</v>
      </c>
      <c r="M82" s="2">
        <v>4.13</v>
      </c>
      <c r="N82" t="s">
        <v>25</v>
      </c>
      <c r="O82" s="3">
        <v>50.49</v>
      </c>
      <c r="P82" s="2">
        <f t="shared" si="12"/>
        <v>15.147</v>
      </c>
      <c r="Q82" s="8">
        <f t="shared" si="16"/>
        <v>7.5735000000000001</v>
      </c>
      <c r="R82" s="3">
        <f t="shared" si="13"/>
        <v>65.637</v>
      </c>
      <c r="S82" s="7">
        <v>1</v>
      </c>
      <c r="U82" s="10" t="s">
        <v>358</v>
      </c>
      <c r="V82" s="3">
        <f t="shared" si="14"/>
        <v>78.764399999999995</v>
      </c>
      <c r="W82" s="3">
        <f t="shared" si="15"/>
        <v>69.676200000000009</v>
      </c>
    </row>
    <row r="83" spans="1:24">
      <c r="A83">
        <v>114</v>
      </c>
      <c r="B83" t="s">
        <v>335</v>
      </c>
      <c r="C83" t="s">
        <v>70</v>
      </c>
      <c r="H83" t="s">
        <v>25</v>
      </c>
      <c r="I83" s="2">
        <v>59</v>
      </c>
      <c r="J83">
        <v>1</v>
      </c>
      <c r="K83" s="2">
        <v>59</v>
      </c>
      <c r="L83" s="2">
        <v>1.34</v>
      </c>
      <c r="M83" s="2">
        <v>5.37</v>
      </c>
      <c r="N83" t="s">
        <v>25</v>
      </c>
      <c r="O83" s="3">
        <v>65.709999999999994</v>
      </c>
      <c r="P83" s="2">
        <f t="shared" si="12"/>
        <v>19.712999999999997</v>
      </c>
      <c r="Q83" s="8">
        <f t="shared" si="16"/>
        <v>9.8564999999999987</v>
      </c>
      <c r="R83" s="3">
        <f t="shared" si="13"/>
        <v>85.422999999999988</v>
      </c>
      <c r="S83" s="7">
        <v>1</v>
      </c>
      <c r="T83" s="3">
        <v>125</v>
      </c>
      <c r="U83" s="10" t="s">
        <v>357</v>
      </c>
      <c r="V83" s="3">
        <f t="shared" si="14"/>
        <v>102.50759999999998</v>
      </c>
      <c r="W83" s="3">
        <f t="shared" si="15"/>
        <v>90.679799999999986</v>
      </c>
    </row>
    <row r="84" spans="1:24">
      <c r="A84">
        <v>115</v>
      </c>
      <c r="B84" t="s">
        <v>331</v>
      </c>
      <c r="C84" t="s">
        <v>287</v>
      </c>
      <c r="H84" t="s">
        <v>25</v>
      </c>
      <c r="I84" s="2">
        <v>85</v>
      </c>
      <c r="J84">
        <v>1</v>
      </c>
      <c r="K84" s="2">
        <v>85</v>
      </c>
      <c r="L84" s="2">
        <v>1.34</v>
      </c>
      <c r="M84" s="2">
        <v>7.69</v>
      </c>
      <c r="N84" t="s">
        <v>25</v>
      </c>
      <c r="O84" s="3">
        <v>94.03</v>
      </c>
      <c r="P84" s="2">
        <f t="shared" si="12"/>
        <v>28.209</v>
      </c>
      <c r="Q84" s="8">
        <f t="shared" si="16"/>
        <v>14.1045</v>
      </c>
      <c r="R84" s="3">
        <f t="shared" si="13"/>
        <v>122.239</v>
      </c>
      <c r="S84" s="7">
        <v>1</v>
      </c>
      <c r="T84" s="3">
        <v>225</v>
      </c>
      <c r="U84" s="10" t="s">
        <v>361</v>
      </c>
      <c r="V84" s="3">
        <f t="shared" si="14"/>
        <v>146.68680000000001</v>
      </c>
      <c r="W84" s="3">
        <f t="shared" si="15"/>
        <v>129.76140000000001</v>
      </c>
    </row>
    <row r="85" spans="1:24">
      <c r="A85">
        <v>116</v>
      </c>
      <c r="B85" t="s">
        <v>362</v>
      </c>
      <c r="C85" t="s">
        <v>161</v>
      </c>
      <c r="D85" t="s">
        <v>21</v>
      </c>
      <c r="E85" t="s">
        <v>279</v>
      </c>
      <c r="F85" t="s">
        <v>23</v>
      </c>
      <c r="G85" t="s">
        <v>67</v>
      </c>
      <c r="H85" t="s">
        <v>25</v>
      </c>
      <c r="I85" s="2">
        <v>0</v>
      </c>
      <c r="J85">
        <v>1</v>
      </c>
      <c r="K85" s="2">
        <v>0</v>
      </c>
      <c r="L85" s="2">
        <v>0</v>
      </c>
      <c r="M85" s="2">
        <v>0</v>
      </c>
      <c r="N85" t="s">
        <v>25</v>
      </c>
      <c r="O85" s="3">
        <v>0.01</v>
      </c>
      <c r="P85" s="2">
        <f t="shared" si="12"/>
        <v>3.0000000000000001E-3</v>
      </c>
      <c r="Q85" s="8">
        <f t="shared" si="16"/>
        <v>1.5E-3</v>
      </c>
      <c r="R85" s="3">
        <f t="shared" si="13"/>
        <v>1.3000000000000001E-2</v>
      </c>
      <c r="S85" s="7">
        <v>1</v>
      </c>
      <c r="U85" s="10" t="s">
        <v>363</v>
      </c>
      <c r="V85" s="3">
        <f t="shared" si="14"/>
        <v>2.9630000000000001</v>
      </c>
      <c r="W85" s="3">
        <f t="shared" si="15"/>
        <v>2.9615</v>
      </c>
    </row>
    <row r="86" spans="1:24">
      <c r="A86">
        <v>117</v>
      </c>
      <c r="B86" t="s">
        <v>342</v>
      </c>
      <c r="C86" t="s">
        <v>288</v>
      </c>
      <c r="H86" t="s">
        <v>25</v>
      </c>
      <c r="I86" s="2">
        <v>33</v>
      </c>
      <c r="J86">
        <v>1</v>
      </c>
      <c r="K86" s="2">
        <v>33</v>
      </c>
      <c r="L86" s="2">
        <v>0</v>
      </c>
      <c r="M86" s="2">
        <v>2.94</v>
      </c>
      <c r="N86" t="s">
        <v>25</v>
      </c>
      <c r="O86" s="3">
        <v>35.94</v>
      </c>
      <c r="P86" s="2">
        <f t="shared" si="12"/>
        <v>10.781999999999998</v>
      </c>
      <c r="Q86" s="8">
        <f t="shared" si="16"/>
        <v>5.3909999999999991</v>
      </c>
      <c r="R86" s="3">
        <f t="shared" si="13"/>
        <v>46.721999999999994</v>
      </c>
      <c r="S86" s="7">
        <v>1</v>
      </c>
      <c r="T86" s="3">
        <v>125</v>
      </c>
      <c r="U86" s="10" t="s">
        <v>360</v>
      </c>
      <c r="V86" s="3">
        <f t="shared" si="14"/>
        <v>56.066399999999994</v>
      </c>
      <c r="W86" s="3">
        <f t="shared" si="15"/>
        <v>49.597199999999994</v>
      </c>
    </row>
    <row r="87" spans="1:24">
      <c r="A87">
        <v>118</v>
      </c>
      <c r="B87" t="s">
        <v>329</v>
      </c>
      <c r="C87" t="s">
        <v>70</v>
      </c>
      <c r="H87" t="s">
        <v>25</v>
      </c>
      <c r="I87" s="2">
        <v>84</v>
      </c>
      <c r="J87">
        <v>1</v>
      </c>
      <c r="K87" s="2">
        <v>84</v>
      </c>
      <c r="L87" s="2">
        <v>9.2100000000000009</v>
      </c>
      <c r="M87" s="2">
        <v>8.3000000000000007</v>
      </c>
      <c r="N87" t="s">
        <v>25</v>
      </c>
      <c r="O87" s="3">
        <v>101.51</v>
      </c>
      <c r="P87" s="2">
        <f t="shared" si="12"/>
        <v>30.452999999999999</v>
      </c>
      <c r="Q87" s="8">
        <f t="shared" si="16"/>
        <v>15.2265</v>
      </c>
      <c r="R87" s="3">
        <f t="shared" si="13"/>
        <v>131.96299999999999</v>
      </c>
      <c r="S87" s="7">
        <v>1</v>
      </c>
      <c r="T87" s="3">
        <v>175</v>
      </c>
      <c r="U87" s="10" t="s">
        <v>356</v>
      </c>
      <c r="V87" s="3">
        <f t="shared" si="14"/>
        <v>158.35559999999998</v>
      </c>
      <c r="W87" s="3">
        <f t="shared" si="15"/>
        <v>140.0838</v>
      </c>
    </row>
    <row r="88" spans="1:24">
      <c r="A88">
        <v>119</v>
      </c>
      <c r="B88" t="s">
        <v>284</v>
      </c>
      <c r="C88" t="s">
        <v>285</v>
      </c>
      <c r="D88" t="s">
        <v>29</v>
      </c>
      <c r="E88" t="s">
        <v>286</v>
      </c>
      <c r="F88" t="s">
        <v>23</v>
      </c>
      <c r="G88" t="s">
        <v>24</v>
      </c>
      <c r="H88" t="s">
        <v>25</v>
      </c>
      <c r="I88" s="2">
        <v>16</v>
      </c>
      <c r="J88">
        <v>1</v>
      </c>
      <c r="K88" s="2">
        <v>16</v>
      </c>
      <c r="L88" s="2">
        <v>0</v>
      </c>
      <c r="M88" s="2">
        <v>1.42</v>
      </c>
      <c r="N88" t="s">
        <v>25</v>
      </c>
      <c r="O88" s="3">
        <v>17.420000000000002</v>
      </c>
      <c r="P88" s="2">
        <f t="shared" si="12"/>
        <v>5.226</v>
      </c>
      <c r="Q88" s="8">
        <f t="shared" si="16"/>
        <v>2.613</v>
      </c>
      <c r="R88" s="3">
        <f t="shared" si="13"/>
        <v>22.646000000000001</v>
      </c>
      <c r="S88" s="7">
        <v>1</v>
      </c>
      <c r="U88" s="10"/>
      <c r="V88" s="3">
        <f t="shared" si="14"/>
        <v>27.1752</v>
      </c>
      <c r="W88" s="3">
        <f t="shared" si="15"/>
        <v>24.0396</v>
      </c>
    </row>
    <row r="89" spans="1:24">
      <c r="A89">
        <v>120</v>
      </c>
      <c r="B89" t="s">
        <v>289</v>
      </c>
      <c r="C89" t="s">
        <v>224</v>
      </c>
      <c r="H89" t="s">
        <v>25</v>
      </c>
      <c r="O89" s="3">
        <v>146.16</v>
      </c>
      <c r="P89" s="2">
        <f t="shared" ref="P89:P120" si="17">O89*0.3</f>
        <v>43.847999999999999</v>
      </c>
      <c r="Q89" s="8">
        <f t="shared" si="16"/>
        <v>21.923999999999999</v>
      </c>
      <c r="R89" s="3">
        <f t="shared" si="13"/>
        <v>190.00799999999998</v>
      </c>
      <c r="S89" s="7">
        <v>1</v>
      </c>
      <c r="U89" s="10" t="s">
        <v>359</v>
      </c>
      <c r="V89" s="3">
        <f t="shared" si="14"/>
        <v>228.00959999999998</v>
      </c>
      <c r="W89" s="3">
        <f t="shared" si="15"/>
        <v>201.70079999999999</v>
      </c>
      <c r="X89" t="s">
        <v>391</v>
      </c>
    </row>
    <row r="90" spans="1:24">
      <c r="A90">
        <v>121</v>
      </c>
      <c r="B90" t="s">
        <v>292</v>
      </c>
      <c r="C90" t="s">
        <v>226</v>
      </c>
      <c r="H90" t="s">
        <v>25</v>
      </c>
      <c r="O90" s="3">
        <v>200.08</v>
      </c>
      <c r="P90" s="2">
        <f t="shared" si="17"/>
        <v>60.024000000000001</v>
      </c>
      <c r="Q90" s="8">
        <f t="shared" si="16"/>
        <v>30.012</v>
      </c>
      <c r="R90" s="3">
        <f t="shared" si="13"/>
        <v>260.10400000000004</v>
      </c>
      <c r="S90" s="7">
        <v>1</v>
      </c>
      <c r="U90" s="10" t="s">
        <v>365</v>
      </c>
      <c r="V90" s="3">
        <f t="shared" si="14"/>
        <v>312.12480000000005</v>
      </c>
      <c r="W90" s="3">
        <f t="shared" si="15"/>
        <v>276.11040000000003</v>
      </c>
      <c r="X90" t="s">
        <v>390</v>
      </c>
    </row>
    <row r="91" spans="1:24">
      <c r="A91">
        <v>122</v>
      </c>
      <c r="B91" t="s">
        <v>291</v>
      </c>
      <c r="C91" t="s">
        <v>224</v>
      </c>
      <c r="H91" t="s">
        <v>25</v>
      </c>
      <c r="O91" s="3">
        <v>277.67</v>
      </c>
      <c r="P91" s="2">
        <f t="shared" si="17"/>
        <v>83.301000000000002</v>
      </c>
      <c r="Q91" s="8">
        <f t="shared" si="16"/>
        <v>41.650500000000001</v>
      </c>
      <c r="R91" s="3">
        <f t="shared" si="13"/>
        <v>360.971</v>
      </c>
      <c r="S91" s="7">
        <v>1</v>
      </c>
      <c r="U91" s="10" t="s">
        <v>366</v>
      </c>
      <c r="V91" s="3">
        <f t="shared" si="14"/>
        <v>433.16519999999997</v>
      </c>
      <c r="W91" s="3">
        <f t="shared" si="15"/>
        <v>383.18460000000005</v>
      </c>
      <c r="X91" t="s">
        <v>383</v>
      </c>
    </row>
    <row r="92" spans="1:24">
      <c r="A92">
        <v>124</v>
      </c>
      <c r="B92" t="s">
        <v>295</v>
      </c>
      <c r="C92" t="s">
        <v>296</v>
      </c>
      <c r="O92" s="3">
        <v>336.46</v>
      </c>
      <c r="P92" s="2">
        <f t="shared" si="17"/>
        <v>100.93799999999999</v>
      </c>
      <c r="Q92" s="8">
        <f t="shared" si="16"/>
        <v>50.468999999999994</v>
      </c>
      <c r="R92" s="3">
        <f t="shared" si="13"/>
        <v>437.39799999999997</v>
      </c>
      <c r="S92" s="7">
        <v>1</v>
      </c>
      <c r="U92" s="13" t="s">
        <v>367</v>
      </c>
      <c r="V92" s="3">
        <f t="shared" si="14"/>
        <v>524.87759999999992</v>
      </c>
      <c r="W92" s="3">
        <f t="shared" si="15"/>
        <v>464.31479999999993</v>
      </c>
      <c r="X92" t="s">
        <v>301</v>
      </c>
    </row>
    <row r="93" spans="1:24">
      <c r="A93">
        <v>125</v>
      </c>
      <c r="B93" t="s">
        <v>299</v>
      </c>
      <c r="C93" t="s">
        <v>226</v>
      </c>
      <c r="O93" s="3">
        <v>412.96</v>
      </c>
      <c r="P93" s="2">
        <f t="shared" si="17"/>
        <v>123.88799999999999</v>
      </c>
      <c r="Q93" s="8">
        <f t="shared" si="16"/>
        <v>61.943999999999996</v>
      </c>
      <c r="R93" s="3">
        <f t="shared" si="13"/>
        <v>536.84799999999996</v>
      </c>
      <c r="S93" s="7">
        <v>1</v>
      </c>
      <c r="U93" s="13" t="s">
        <v>368</v>
      </c>
      <c r="V93" s="3">
        <f t="shared" si="14"/>
        <v>644.21759999999995</v>
      </c>
      <c r="W93" s="3">
        <f t="shared" si="15"/>
        <v>569.88479999999993</v>
      </c>
      <c r="X93" t="s">
        <v>300</v>
      </c>
    </row>
    <row r="94" spans="1:24">
      <c r="A94">
        <v>126</v>
      </c>
      <c r="B94" t="s">
        <v>316</v>
      </c>
      <c r="C94" t="s">
        <v>315</v>
      </c>
      <c r="O94" s="3">
        <v>87.76</v>
      </c>
      <c r="P94" s="2">
        <f t="shared" si="17"/>
        <v>26.327999999999999</v>
      </c>
      <c r="Q94" s="8">
        <f t="shared" si="16"/>
        <v>13.164</v>
      </c>
      <c r="R94" s="3">
        <f t="shared" si="13"/>
        <v>114.08800000000001</v>
      </c>
      <c r="S94" s="7">
        <v>1</v>
      </c>
      <c r="V94" s="3">
        <f t="shared" si="14"/>
        <v>136.90559999999999</v>
      </c>
      <c r="W94" s="3">
        <f t="shared" si="15"/>
        <v>121.1088</v>
      </c>
    </row>
    <row r="95" spans="1:24">
      <c r="A95">
        <v>127</v>
      </c>
      <c r="B95" t="s">
        <v>317</v>
      </c>
      <c r="C95" t="s">
        <v>226</v>
      </c>
      <c r="O95" s="3">
        <v>94.67</v>
      </c>
      <c r="P95" s="2">
        <f t="shared" si="17"/>
        <v>28.401</v>
      </c>
      <c r="Q95" s="8">
        <f t="shared" si="16"/>
        <v>14.2005</v>
      </c>
      <c r="R95" s="3">
        <f t="shared" si="13"/>
        <v>123.071</v>
      </c>
      <c r="S95" s="7">
        <v>1</v>
      </c>
      <c r="V95" s="3">
        <f t="shared" si="14"/>
        <v>147.68519999999998</v>
      </c>
      <c r="W95" s="3">
        <f t="shared" si="15"/>
        <v>130.6446</v>
      </c>
    </row>
    <row r="96" spans="1:24">
      <c r="A96">
        <v>128</v>
      </c>
      <c r="B96" t="s">
        <v>318</v>
      </c>
      <c r="C96" t="s">
        <v>309</v>
      </c>
      <c r="O96" s="3">
        <v>88.21</v>
      </c>
      <c r="P96" s="2">
        <f t="shared" si="17"/>
        <v>26.462999999999997</v>
      </c>
      <c r="Q96" s="8">
        <f t="shared" si="16"/>
        <v>13.231499999999999</v>
      </c>
      <c r="R96" s="3">
        <f t="shared" si="13"/>
        <v>114.67299999999999</v>
      </c>
      <c r="S96" s="7">
        <v>1</v>
      </c>
      <c r="V96" s="3">
        <f t="shared" si="14"/>
        <v>137.60759999999999</v>
      </c>
      <c r="W96" s="3">
        <f t="shared" si="15"/>
        <v>121.72979999999998</v>
      </c>
    </row>
    <row r="97" spans="1:24">
      <c r="A97">
        <v>129</v>
      </c>
      <c r="B97" t="s">
        <v>319</v>
      </c>
      <c r="C97" t="s">
        <v>224</v>
      </c>
      <c r="O97" s="3">
        <v>136.13</v>
      </c>
      <c r="P97" s="2">
        <f t="shared" si="17"/>
        <v>40.838999999999999</v>
      </c>
      <c r="Q97" s="8">
        <f t="shared" si="16"/>
        <v>20.419499999999999</v>
      </c>
      <c r="R97" s="3">
        <f t="shared" si="13"/>
        <v>176.96899999999999</v>
      </c>
      <c r="S97" s="7">
        <v>1</v>
      </c>
      <c r="V97" s="3">
        <f t="shared" si="14"/>
        <v>212.36279999999999</v>
      </c>
      <c r="W97" s="3">
        <f t="shared" si="15"/>
        <v>187.85939999999999</v>
      </c>
      <c r="X97" t="s">
        <v>375</v>
      </c>
    </row>
    <row r="98" spans="1:24">
      <c r="A98">
        <v>130</v>
      </c>
      <c r="B98" t="s">
        <v>321</v>
      </c>
      <c r="C98" t="s">
        <v>224</v>
      </c>
      <c r="O98" s="3">
        <v>137.21</v>
      </c>
      <c r="P98" s="2">
        <f t="shared" si="17"/>
        <v>41.163000000000004</v>
      </c>
      <c r="Q98" s="8">
        <f t="shared" si="16"/>
        <v>20.581500000000002</v>
      </c>
      <c r="R98" s="3">
        <f t="shared" ref="R98:R130" si="18">O98+P98</f>
        <v>178.37300000000002</v>
      </c>
      <c r="S98" s="7">
        <v>1</v>
      </c>
      <c r="V98" s="3">
        <f t="shared" ref="V98:V130" si="19">IF((O98+P98)&lt;15,(O98+P98+2.95), ((O98+P98)*1.2))</f>
        <v>214.04760000000002</v>
      </c>
      <c r="W98" s="3">
        <f t="shared" ref="W98:W130" si="20">IF((O98+Q98)&lt;15,(O98+Q98+2.95), ((O98+Q98)*1.2))</f>
        <v>189.34980000000002</v>
      </c>
      <c r="X98" t="s">
        <v>375</v>
      </c>
    </row>
    <row r="99" spans="1:24">
      <c r="A99">
        <v>131</v>
      </c>
      <c r="B99" t="s">
        <v>320</v>
      </c>
      <c r="C99" t="s">
        <v>46</v>
      </c>
      <c r="O99" s="3">
        <v>147.02000000000001</v>
      </c>
      <c r="P99" s="2">
        <f t="shared" si="17"/>
        <v>44.106000000000002</v>
      </c>
      <c r="Q99" s="8">
        <f t="shared" ref="Q99:Q130" si="21">O99*0.15</f>
        <v>22.053000000000001</v>
      </c>
      <c r="R99" s="3">
        <f t="shared" si="18"/>
        <v>191.126</v>
      </c>
      <c r="S99" s="7">
        <v>1</v>
      </c>
      <c r="V99" s="3">
        <f t="shared" si="19"/>
        <v>229.35120000000001</v>
      </c>
      <c r="W99" s="3">
        <f t="shared" si="20"/>
        <v>202.88759999999999</v>
      </c>
      <c r="X99" t="s">
        <v>391</v>
      </c>
    </row>
    <row r="100" spans="1:24">
      <c r="A100">
        <v>132</v>
      </c>
      <c r="B100" t="s">
        <v>312</v>
      </c>
      <c r="C100" t="s">
        <v>224</v>
      </c>
      <c r="O100" s="3">
        <v>249.61</v>
      </c>
      <c r="P100" s="2">
        <f t="shared" si="17"/>
        <v>74.882999999999996</v>
      </c>
      <c r="Q100" s="8">
        <f t="shared" si="21"/>
        <v>37.441499999999998</v>
      </c>
      <c r="R100" s="3">
        <f t="shared" si="18"/>
        <v>324.49299999999999</v>
      </c>
      <c r="S100" s="7">
        <v>1</v>
      </c>
      <c r="U100" s="13" t="s">
        <v>421</v>
      </c>
      <c r="V100" s="3">
        <f t="shared" si="19"/>
        <v>389.39159999999998</v>
      </c>
      <c r="W100" s="3">
        <f t="shared" si="20"/>
        <v>344.46180000000004</v>
      </c>
      <c r="X100" t="s">
        <v>385</v>
      </c>
    </row>
    <row r="101" spans="1:24">
      <c r="A101">
        <v>133</v>
      </c>
      <c r="B101" t="s">
        <v>313</v>
      </c>
      <c r="C101" t="s">
        <v>309</v>
      </c>
      <c r="O101" s="3">
        <v>91.71</v>
      </c>
      <c r="P101" s="2">
        <f t="shared" si="17"/>
        <v>27.512999999999998</v>
      </c>
      <c r="Q101" s="8">
        <f t="shared" si="21"/>
        <v>13.756499999999999</v>
      </c>
      <c r="R101" s="3">
        <f t="shared" si="18"/>
        <v>119.22299999999998</v>
      </c>
      <c r="S101" s="7">
        <v>1</v>
      </c>
      <c r="T101" s="3">
        <v>250</v>
      </c>
      <c r="V101" s="3">
        <f t="shared" si="19"/>
        <v>143.06759999999997</v>
      </c>
      <c r="W101" s="3">
        <f t="shared" si="20"/>
        <v>126.5598</v>
      </c>
    </row>
    <row r="102" spans="1:24">
      <c r="A102">
        <v>134</v>
      </c>
      <c r="B102" t="s">
        <v>314</v>
      </c>
      <c r="C102" t="s">
        <v>254</v>
      </c>
      <c r="O102" s="3">
        <v>44.88</v>
      </c>
      <c r="P102" s="2">
        <f t="shared" si="17"/>
        <v>13.464</v>
      </c>
      <c r="Q102" s="8">
        <f t="shared" si="21"/>
        <v>6.7320000000000002</v>
      </c>
      <c r="R102" s="3">
        <f t="shared" si="18"/>
        <v>58.344000000000001</v>
      </c>
      <c r="S102" s="7">
        <v>1</v>
      </c>
      <c r="V102" s="3">
        <f t="shared" si="19"/>
        <v>70.012799999999999</v>
      </c>
      <c r="W102" s="3">
        <f t="shared" si="20"/>
        <v>61.934399999999997</v>
      </c>
    </row>
    <row r="103" spans="1:24">
      <c r="A103">
        <v>135</v>
      </c>
      <c r="B103" t="s">
        <v>310</v>
      </c>
      <c r="C103" t="s">
        <v>309</v>
      </c>
      <c r="O103" s="3">
        <v>86.26</v>
      </c>
      <c r="P103" s="2">
        <f t="shared" si="17"/>
        <v>25.878</v>
      </c>
      <c r="Q103" s="8">
        <f t="shared" si="21"/>
        <v>12.939</v>
      </c>
      <c r="R103" s="3">
        <f t="shared" si="18"/>
        <v>112.13800000000001</v>
      </c>
      <c r="S103" s="7">
        <v>1</v>
      </c>
      <c r="V103" s="3">
        <f t="shared" si="19"/>
        <v>134.56559999999999</v>
      </c>
      <c r="W103" s="3">
        <f t="shared" si="20"/>
        <v>119.03880000000001</v>
      </c>
    </row>
    <row r="104" spans="1:24">
      <c r="A104">
        <v>136</v>
      </c>
      <c r="B104" t="s">
        <v>311</v>
      </c>
      <c r="C104" t="s">
        <v>224</v>
      </c>
      <c r="O104" s="3">
        <v>532.75</v>
      </c>
      <c r="P104" s="2">
        <f t="shared" si="17"/>
        <v>159.82499999999999</v>
      </c>
      <c r="Q104" s="8">
        <f t="shared" si="21"/>
        <v>79.912499999999994</v>
      </c>
      <c r="R104" s="3">
        <f t="shared" si="18"/>
        <v>692.57500000000005</v>
      </c>
      <c r="S104" s="7">
        <v>1</v>
      </c>
      <c r="V104" s="3">
        <f t="shared" si="19"/>
        <v>831.09</v>
      </c>
      <c r="W104" s="3">
        <f t="shared" si="20"/>
        <v>735.19500000000005</v>
      </c>
      <c r="X104" t="s">
        <v>381</v>
      </c>
    </row>
    <row r="105" spans="1:24">
      <c r="A105">
        <v>137</v>
      </c>
      <c r="B105" t="s">
        <v>308</v>
      </c>
      <c r="C105" t="s">
        <v>309</v>
      </c>
      <c r="O105" s="3">
        <v>309.51</v>
      </c>
      <c r="P105" s="2">
        <f t="shared" si="17"/>
        <v>92.852999999999994</v>
      </c>
      <c r="Q105" s="8">
        <f t="shared" si="21"/>
        <v>46.426499999999997</v>
      </c>
      <c r="R105" s="3">
        <f t="shared" si="18"/>
        <v>402.363</v>
      </c>
      <c r="S105" s="7">
        <v>1</v>
      </c>
      <c r="U105" s="13" t="s">
        <v>369</v>
      </c>
      <c r="V105" s="3">
        <f t="shared" si="19"/>
        <v>482.8356</v>
      </c>
      <c r="W105" s="3">
        <f t="shared" si="20"/>
        <v>427.12379999999996</v>
      </c>
      <c r="X105" t="s">
        <v>301</v>
      </c>
    </row>
    <row r="106" spans="1:24">
      <c r="A106">
        <v>138</v>
      </c>
      <c r="B106" t="s">
        <v>370</v>
      </c>
      <c r="C106" t="s">
        <v>309</v>
      </c>
      <c r="O106" s="3">
        <v>138.02000000000001</v>
      </c>
      <c r="P106" s="2">
        <f t="shared" si="17"/>
        <v>41.405999999999999</v>
      </c>
      <c r="Q106" s="8">
        <f t="shared" si="21"/>
        <v>20.702999999999999</v>
      </c>
      <c r="R106" s="3">
        <f t="shared" si="18"/>
        <v>179.42600000000002</v>
      </c>
      <c r="S106" s="7">
        <v>1</v>
      </c>
      <c r="U106" s="13" t="s">
        <v>374</v>
      </c>
      <c r="V106" s="3">
        <f t="shared" si="19"/>
        <v>215.31120000000001</v>
      </c>
      <c r="W106" s="3">
        <f t="shared" si="20"/>
        <v>190.4676</v>
      </c>
      <c r="X106" t="s">
        <v>375</v>
      </c>
    </row>
    <row r="107" spans="1:24">
      <c r="A107">
        <v>139</v>
      </c>
      <c r="B107" t="s">
        <v>346</v>
      </c>
      <c r="C107" t="s">
        <v>46</v>
      </c>
      <c r="O107" s="3">
        <v>73.900000000000006</v>
      </c>
      <c r="P107" s="2">
        <f t="shared" si="17"/>
        <v>22.17</v>
      </c>
      <c r="Q107" s="8">
        <f t="shared" si="21"/>
        <v>11.085000000000001</v>
      </c>
      <c r="R107" s="3">
        <f t="shared" si="18"/>
        <v>96.070000000000007</v>
      </c>
      <c r="S107" s="7">
        <v>1</v>
      </c>
      <c r="U107" s="13" t="s">
        <v>372</v>
      </c>
      <c r="V107" s="3">
        <f t="shared" si="19"/>
        <v>115.28400000000001</v>
      </c>
      <c r="W107" s="3">
        <f t="shared" si="20"/>
        <v>101.98200000000001</v>
      </c>
      <c r="X107" t="s">
        <v>373</v>
      </c>
    </row>
    <row r="108" spans="1:24">
      <c r="A108">
        <v>140</v>
      </c>
      <c r="B108" t="s">
        <v>347</v>
      </c>
      <c r="C108" t="s">
        <v>224</v>
      </c>
      <c r="O108" s="3">
        <v>407.66</v>
      </c>
      <c r="P108" s="2">
        <f t="shared" si="17"/>
        <v>122.298</v>
      </c>
      <c r="Q108" s="8">
        <f t="shared" si="21"/>
        <v>61.149000000000001</v>
      </c>
      <c r="R108" s="3">
        <f t="shared" si="18"/>
        <v>529.95800000000008</v>
      </c>
      <c r="S108" s="7">
        <v>1</v>
      </c>
      <c r="U108" s="13" t="s">
        <v>371</v>
      </c>
      <c r="V108" s="3">
        <f t="shared" si="19"/>
        <v>635.94960000000003</v>
      </c>
      <c r="W108" s="3">
        <f t="shared" si="20"/>
        <v>562.57079999999996</v>
      </c>
      <c r="X108" t="s">
        <v>396</v>
      </c>
    </row>
    <row r="109" spans="1:24">
      <c r="A109">
        <v>141</v>
      </c>
      <c r="B109" t="s">
        <v>348</v>
      </c>
      <c r="C109" t="s">
        <v>46</v>
      </c>
      <c r="O109" s="3">
        <v>39.200000000000003</v>
      </c>
      <c r="P109" s="2">
        <f t="shared" si="17"/>
        <v>11.76</v>
      </c>
      <c r="Q109" s="8">
        <f t="shared" si="21"/>
        <v>5.88</v>
      </c>
      <c r="R109" s="3">
        <f t="shared" si="18"/>
        <v>50.96</v>
      </c>
      <c r="S109" s="7">
        <v>1</v>
      </c>
      <c r="U109" s="13" t="s">
        <v>376</v>
      </c>
      <c r="V109" s="3">
        <f t="shared" si="19"/>
        <v>61.152000000000001</v>
      </c>
      <c r="W109" s="3">
        <f t="shared" si="20"/>
        <v>54.096000000000004</v>
      </c>
    </row>
    <row r="110" spans="1:24">
      <c r="A110">
        <v>142</v>
      </c>
      <c r="B110" t="s">
        <v>349</v>
      </c>
      <c r="C110" t="s">
        <v>46</v>
      </c>
      <c r="O110" s="3">
        <v>47.92</v>
      </c>
      <c r="P110" s="2">
        <f t="shared" si="17"/>
        <v>14.375999999999999</v>
      </c>
      <c r="Q110" s="8">
        <f t="shared" si="21"/>
        <v>7.1879999999999997</v>
      </c>
      <c r="R110" s="3">
        <f t="shared" si="18"/>
        <v>62.295999999999999</v>
      </c>
      <c r="S110" s="7">
        <v>1</v>
      </c>
      <c r="T110" s="3">
        <v>80</v>
      </c>
      <c r="U110" s="13" t="s">
        <v>377</v>
      </c>
      <c r="V110" s="3">
        <f t="shared" si="19"/>
        <v>74.755200000000002</v>
      </c>
      <c r="W110" s="3">
        <f t="shared" si="20"/>
        <v>66.129599999999996</v>
      </c>
      <c r="X110" t="s">
        <v>378</v>
      </c>
    </row>
    <row r="111" spans="1:24">
      <c r="A111">
        <v>143</v>
      </c>
      <c r="B111" t="s">
        <v>349</v>
      </c>
      <c r="C111" t="s">
        <v>46</v>
      </c>
      <c r="O111" s="3">
        <v>37.03</v>
      </c>
      <c r="P111" s="2">
        <f t="shared" si="17"/>
        <v>11.109</v>
      </c>
      <c r="Q111" s="8">
        <f t="shared" si="21"/>
        <v>5.5545</v>
      </c>
      <c r="R111" s="3">
        <f t="shared" si="18"/>
        <v>48.139000000000003</v>
      </c>
      <c r="S111" s="7">
        <v>1</v>
      </c>
      <c r="U111" s="13" t="s">
        <v>377</v>
      </c>
      <c r="V111" s="3">
        <f t="shared" si="19"/>
        <v>57.766800000000003</v>
      </c>
      <c r="W111" s="3">
        <f t="shared" si="20"/>
        <v>51.101399999999998</v>
      </c>
      <c r="X111" t="s">
        <v>378</v>
      </c>
    </row>
    <row r="112" spans="1:24">
      <c r="A112">
        <v>144</v>
      </c>
      <c r="B112" t="s">
        <v>350</v>
      </c>
      <c r="C112" t="s">
        <v>224</v>
      </c>
      <c r="O112" s="3">
        <v>255.06</v>
      </c>
      <c r="P112" s="2">
        <f t="shared" si="17"/>
        <v>76.518000000000001</v>
      </c>
      <c r="Q112" s="8">
        <f t="shared" si="21"/>
        <v>38.259</v>
      </c>
      <c r="R112" s="3">
        <f t="shared" si="18"/>
        <v>331.57799999999997</v>
      </c>
      <c r="S112" s="7">
        <v>1</v>
      </c>
      <c r="U112" s="13" t="s">
        <v>379</v>
      </c>
      <c r="V112" s="3">
        <f t="shared" si="19"/>
        <v>397.89359999999994</v>
      </c>
      <c r="W112" s="3">
        <f t="shared" si="20"/>
        <v>351.9828</v>
      </c>
      <c r="X112" t="s">
        <v>380</v>
      </c>
    </row>
    <row r="113" spans="1:24">
      <c r="A113">
        <v>145</v>
      </c>
      <c r="B113" t="s">
        <v>352</v>
      </c>
      <c r="C113" t="s">
        <v>353</v>
      </c>
      <c r="O113" s="3">
        <v>0.01</v>
      </c>
      <c r="P113" s="2">
        <f t="shared" si="17"/>
        <v>3.0000000000000001E-3</v>
      </c>
      <c r="Q113" s="8">
        <f t="shared" si="21"/>
        <v>1.5E-3</v>
      </c>
      <c r="R113" s="3">
        <f t="shared" si="18"/>
        <v>1.3000000000000001E-2</v>
      </c>
      <c r="S113" s="7">
        <v>1</v>
      </c>
      <c r="T113" s="3">
        <v>35</v>
      </c>
      <c r="V113" s="3">
        <f t="shared" si="19"/>
        <v>2.9630000000000001</v>
      </c>
      <c r="W113" s="3">
        <f t="shared" si="20"/>
        <v>2.9615</v>
      </c>
      <c r="X113" t="s">
        <v>354</v>
      </c>
    </row>
    <row r="114" spans="1:24">
      <c r="A114">
        <v>146</v>
      </c>
      <c r="B114" t="s">
        <v>397</v>
      </c>
      <c r="C114" t="s">
        <v>46</v>
      </c>
      <c r="O114" s="3">
        <v>32.64</v>
      </c>
      <c r="P114" s="2">
        <f t="shared" si="17"/>
        <v>9.7919999999999998</v>
      </c>
      <c r="Q114" s="8">
        <f t="shared" si="21"/>
        <v>4.8959999999999999</v>
      </c>
      <c r="R114" s="3">
        <f t="shared" si="18"/>
        <v>42.432000000000002</v>
      </c>
      <c r="S114" s="7">
        <v>1</v>
      </c>
      <c r="U114" s="13" t="s">
        <v>422</v>
      </c>
      <c r="V114" s="3">
        <f t="shared" si="19"/>
        <v>50.918399999999998</v>
      </c>
      <c r="W114" s="3">
        <f t="shared" si="20"/>
        <v>45.043199999999999</v>
      </c>
    </row>
    <row r="115" spans="1:24">
      <c r="A115">
        <v>147</v>
      </c>
      <c r="B115" t="s">
        <v>398</v>
      </c>
      <c r="C115" t="s">
        <v>46</v>
      </c>
      <c r="O115" s="3">
        <v>32.64</v>
      </c>
      <c r="P115" s="2">
        <f t="shared" si="17"/>
        <v>9.7919999999999998</v>
      </c>
      <c r="Q115" s="8">
        <f t="shared" si="21"/>
        <v>4.8959999999999999</v>
      </c>
      <c r="R115" s="3">
        <f t="shared" si="18"/>
        <v>42.432000000000002</v>
      </c>
      <c r="S115" s="7">
        <v>1</v>
      </c>
      <c r="U115" s="13" t="s">
        <v>422</v>
      </c>
      <c r="V115" s="3">
        <f t="shared" si="19"/>
        <v>50.918399999999998</v>
      </c>
      <c r="W115" s="3">
        <f t="shared" si="20"/>
        <v>45.043199999999999</v>
      </c>
    </row>
    <row r="116" spans="1:24">
      <c r="A116">
        <v>148</v>
      </c>
      <c r="B116" t="s">
        <v>399</v>
      </c>
      <c r="C116" t="s">
        <v>46</v>
      </c>
      <c r="O116" s="3">
        <v>32.64</v>
      </c>
      <c r="P116" s="2">
        <f t="shared" si="17"/>
        <v>9.7919999999999998</v>
      </c>
      <c r="Q116" s="8">
        <f t="shared" si="21"/>
        <v>4.8959999999999999</v>
      </c>
      <c r="R116" s="3">
        <f t="shared" si="18"/>
        <v>42.432000000000002</v>
      </c>
      <c r="S116" s="7">
        <v>1</v>
      </c>
      <c r="U116" s="13" t="s">
        <v>422</v>
      </c>
      <c r="V116" s="3">
        <f t="shared" si="19"/>
        <v>50.918399999999998</v>
      </c>
      <c r="W116" s="3">
        <f t="shared" si="20"/>
        <v>45.043199999999999</v>
      </c>
    </row>
    <row r="117" spans="1:24">
      <c r="A117">
        <v>149</v>
      </c>
      <c r="B117" t="s">
        <v>400</v>
      </c>
      <c r="C117" t="s">
        <v>309</v>
      </c>
      <c r="O117" s="3">
        <v>75.37</v>
      </c>
      <c r="P117" s="2">
        <f t="shared" si="17"/>
        <v>22.611000000000001</v>
      </c>
      <c r="Q117" s="8">
        <f t="shared" si="21"/>
        <v>11.3055</v>
      </c>
      <c r="R117" s="3">
        <f t="shared" si="18"/>
        <v>97.981000000000009</v>
      </c>
      <c r="S117" s="7">
        <v>1</v>
      </c>
      <c r="U117" s="13" t="s">
        <v>423</v>
      </c>
      <c r="V117" s="3">
        <f t="shared" si="19"/>
        <v>117.5772</v>
      </c>
      <c r="W117" s="3">
        <f t="shared" si="20"/>
        <v>104.0106</v>
      </c>
    </row>
    <row r="118" spans="1:24">
      <c r="A118">
        <v>150</v>
      </c>
      <c r="B118" t="s">
        <v>401</v>
      </c>
      <c r="C118" t="s">
        <v>224</v>
      </c>
      <c r="O118" s="3">
        <v>95.83</v>
      </c>
      <c r="P118" s="2">
        <f t="shared" si="17"/>
        <v>28.748999999999999</v>
      </c>
      <c r="Q118" s="8">
        <f t="shared" si="21"/>
        <v>14.374499999999999</v>
      </c>
      <c r="R118" s="3">
        <f t="shared" si="18"/>
        <v>124.57899999999999</v>
      </c>
      <c r="S118" s="7">
        <v>1</v>
      </c>
      <c r="U118" s="13" t="s">
        <v>419</v>
      </c>
      <c r="V118" s="3">
        <f t="shared" si="19"/>
        <v>149.4948</v>
      </c>
      <c r="W118" s="3">
        <f t="shared" si="20"/>
        <v>132.24539999999999</v>
      </c>
    </row>
    <row r="119" spans="1:24">
      <c r="A119">
        <v>151</v>
      </c>
      <c r="B119" t="s">
        <v>402</v>
      </c>
      <c r="C119" t="s">
        <v>224</v>
      </c>
      <c r="O119" s="3">
        <v>117.35</v>
      </c>
      <c r="P119" s="2">
        <f t="shared" si="17"/>
        <v>35.204999999999998</v>
      </c>
      <c r="Q119" s="8">
        <f t="shared" si="21"/>
        <v>17.602499999999999</v>
      </c>
      <c r="R119" s="3">
        <f t="shared" si="18"/>
        <v>152.55500000000001</v>
      </c>
      <c r="S119" s="7">
        <v>1</v>
      </c>
      <c r="U119" s="13" t="s">
        <v>420</v>
      </c>
      <c r="V119" s="3">
        <f t="shared" si="19"/>
        <v>183.066</v>
      </c>
      <c r="W119" s="3">
        <f t="shared" si="20"/>
        <v>161.94299999999998</v>
      </c>
    </row>
    <row r="120" spans="1:24">
      <c r="A120">
        <v>152</v>
      </c>
      <c r="B120" t="s">
        <v>404</v>
      </c>
      <c r="C120" t="s">
        <v>224</v>
      </c>
      <c r="O120" s="3">
        <v>211.5</v>
      </c>
      <c r="P120" s="2">
        <f t="shared" si="17"/>
        <v>63.449999999999996</v>
      </c>
      <c r="Q120" s="8">
        <f t="shared" si="21"/>
        <v>31.724999999999998</v>
      </c>
      <c r="R120" s="3">
        <f t="shared" si="18"/>
        <v>274.95</v>
      </c>
      <c r="S120" s="7">
        <v>1</v>
      </c>
      <c r="U120" s="13" t="s">
        <v>410</v>
      </c>
      <c r="V120" s="3">
        <f t="shared" si="19"/>
        <v>329.94</v>
      </c>
      <c r="W120" s="3">
        <f t="shared" si="20"/>
        <v>291.87</v>
      </c>
    </row>
    <row r="121" spans="1:24">
      <c r="A121">
        <v>153</v>
      </c>
      <c r="B121" t="s">
        <v>405</v>
      </c>
      <c r="C121" t="s">
        <v>224</v>
      </c>
      <c r="O121" s="3">
        <v>152.46</v>
      </c>
      <c r="P121" s="2">
        <f t="shared" ref="P121:P130" si="22">O121*0.3</f>
        <v>45.738</v>
      </c>
      <c r="Q121" s="8">
        <f t="shared" si="21"/>
        <v>22.869</v>
      </c>
      <c r="R121" s="3">
        <f t="shared" si="18"/>
        <v>198.19800000000001</v>
      </c>
      <c r="S121" s="7">
        <v>1</v>
      </c>
      <c r="U121" s="13" t="s">
        <v>411</v>
      </c>
      <c r="V121" s="3">
        <f t="shared" si="19"/>
        <v>237.83760000000001</v>
      </c>
      <c r="W121" s="3">
        <f t="shared" si="20"/>
        <v>210.3948</v>
      </c>
    </row>
    <row r="122" spans="1:24">
      <c r="A122">
        <v>154</v>
      </c>
      <c r="B122" t="s">
        <v>406</v>
      </c>
      <c r="C122" t="s">
        <v>224</v>
      </c>
      <c r="O122" s="3">
        <v>70.790000000000006</v>
      </c>
      <c r="P122" s="2">
        <f t="shared" si="22"/>
        <v>21.237000000000002</v>
      </c>
      <c r="Q122" s="8">
        <f t="shared" si="21"/>
        <v>10.618500000000001</v>
      </c>
      <c r="R122" s="3">
        <f t="shared" si="18"/>
        <v>92.027000000000015</v>
      </c>
      <c r="S122" s="7">
        <v>1</v>
      </c>
      <c r="U122" s="13" t="s">
        <v>409</v>
      </c>
      <c r="V122" s="3">
        <f t="shared" si="19"/>
        <v>110.43240000000002</v>
      </c>
      <c r="W122" s="3">
        <f t="shared" si="20"/>
        <v>97.690200000000004</v>
      </c>
    </row>
    <row r="123" spans="1:24">
      <c r="A123">
        <v>155</v>
      </c>
      <c r="B123" t="s">
        <v>407</v>
      </c>
      <c r="C123" t="s">
        <v>224</v>
      </c>
      <c r="O123" s="3">
        <v>79.5</v>
      </c>
      <c r="P123" s="2">
        <f t="shared" si="22"/>
        <v>23.849999999999998</v>
      </c>
      <c r="Q123" s="8">
        <f t="shared" si="21"/>
        <v>11.924999999999999</v>
      </c>
      <c r="R123" s="3">
        <f t="shared" si="18"/>
        <v>103.35</v>
      </c>
      <c r="S123" s="7">
        <v>1</v>
      </c>
      <c r="U123" s="13" t="s">
        <v>408</v>
      </c>
      <c r="V123" s="3">
        <f t="shared" si="19"/>
        <v>124.01999999999998</v>
      </c>
      <c r="W123" s="3">
        <f t="shared" si="20"/>
        <v>109.71</v>
      </c>
    </row>
    <row r="124" spans="1:24">
      <c r="A124">
        <v>156</v>
      </c>
      <c r="B124" t="s">
        <v>412</v>
      </c>
      <c r="C124" t="s">
        <v>309</v>
      </c>
      <c r="O124" s="3">
        <v>45.97</v>
      </c>
      <c r="P124" s="2">
        <f t="shared" si="22"/>
        <v>13.790999999999999</v>
      </c>
      <c r="Q124" s="8">
        <f t="shared" si="21"/>
        <v>6.8954999999999993</v>
      </c>
      <c r="R124" s="3">
        <f t="shared" si="18"/>
        <v>59.760999999999996</v>
      </c>
      <c r="S124" s="7">
        <v>1</v>
      </c>
      <c r="U124" s="13" t="s">
        <v>418</v>
      </c>
      <c r="V124" s="3">
        <f t="shared" si="19"/>
        <v>71.713199999999986</v>
      </c>
      <c r="W124" s="3">
        <f t="shared" si="20"/>
        <v>63.438599999999994</v>
      </c>
    </row>
    <row r="125" spans="1:24">
      <c r="A125">
        <v>157</v>
      </c>
      <c r="B125" t="s">
        <v>414</v>
      </c>
      <c r="C125" t="s">
        <v>415</v>
      </c>
      <c r="O125" s="3">
        <v>131.77000000000001</v>
      </c>
      <c r="P125" s="2">
        <f t="shared" si="22"/>
        <v>39.530999999999999</v>
      </c>
      <c r="Q125" s="8">
        <f t="shared" si="21"/>
        <v>19.765499999999999</v>
      </c>
      <c r="R125" s="3">
        <f t="shared" si="18"/>
        <v>171.30100000000002</v>
      </c>
      <c r="S125" s="7">
        <v>1</v>
      </c>
      <c r="U125" s="13" t="s">
        <v>417</v>
      </c>
      <c r="V125" s="3">
        <f t="shared" si="19"/>
        <v>205.56120000000001</v>
      </c>
      <c r="W125" s="3">
        <f t="shared" si="20"/>
        <v>181.8426</v>
      </c>
    </row>
    <row r="126" spans="1:24">
      <c r="A126">
        <v>158</v>
      </c>
      <c r="B126" t="s">
        <v>416</v>
      </c>
      <c r="C126" t="s">
        <v>415</v>
      </c>
      <c r="O126" s="3">
        <v>103.46</v>
      </c>
      <c r="P126" s="2">
        <f t="shared" si="22"/>
        <v>31.037999999999997</v>
      </c>
      <c r="Q126" s="8">
        <f t="shared" si="21"/>
        <v>15.518999999999998</v>
      </c>
      <c r="R126" s="3">
        <f t="shared" si="18"/>
        <v>134.49799999999999</v>
      </c>
      <c r="S126" s="7">
        <v>1</v>
      </c>
      <c r="U126" s="13" t="s">
        <v>417</v>
      </c>
      <c r="V126" s="3">
        <f t="shared" si="19"/>
        <v>161.39759999999998</v>
      </c>
      <c r="W126" s="3">
        <f t="shared" si="20"/>
        <v>142.77479999999997</v>
      </c>
    </row>
    <row r="127" spans="1:24">
      <c r="A127">
        <v>159</v>
      </c>
      <c r="B127" t="s">
        <v>425</v>
      </c>
      <c r="C127" t="s">
        <v>224</v>
      </c>
      <c r="O127" s="3">
        <v>220.07</v>
      </c>
      <c r="P127" s="2">
        <f t="shared" si="22"/>
        <v>66.021000000000001</v>
      </c>
      <c r="Q127" s="8">
        <f t="shared" si="21"/>
        <v>33.0105</v>
      </c>
      <c r="R127" s="3">
        <f t="shared" si="18"/>
        <v>286.09100000000001</v>
      </c>
      <c r="S127" s="7">
        <v>1</v>
      </c>
      <c r="U127" s="13" t="s">
        <v>426</v>
      </c>
      <c r="V127" s="3">
        <f t="shared" si="19"/>
        <v>343.30919999999998</v>
      </c>
      <c r="W127" s="3">
        <f t="shared" si="20"/>
        <v>303.69659999999999</v>
      </c>
    </row>
    <row r="128" spans="1:24">
      <c r="A128">
        <v>160</v>
      </c>
      <c r="B128" t="s">
        <v>429</v>
      </c>
      <c r="C128" t="s">
        <v>224</v>
      </c>
      <c r="O128" s="3">
        <v>45.75</v>
      </c>
      <c r="P128" s="2">
        <f t="shared" si="22"/>
        <v>13.725</v>
      </c>
      <c r="Q128" s="8">
        <f t="shared" si="21"/>
        <v>6.8624999999999998</v>
      </c>
      <c r="R128" s="3">
        <f t="shared" si="18"/>
        <v>59.475000000000001</v>
      </c>
      <c r="S128" s="7">
        <v>1</v>
      </c>
      <c r="U128" s="13" t="s">
        <v>430</v>
      </c>
      <c r="V128" s="3">
        <f t="shared" si="19"/>
        <v>71.37</v>
      </c>
      <c r="W128" s="3">
        <f t="shared" si="20"/>
        <v>63.134999999999991</v>
      </c>
    </row>
    <row r="129" spans="1:23">
      <c r="A129">
        <v>161</v>
      </c>
      <c r="B129" t="s">
        <v>431</v>
      </c>
      <c r="C129" t="s">
        <v>296</v>
      </c>
      <c r="O129" s="3">
        <v>110.62</v>
      </c>
      <c r="P129" s="2">
        <f t="shared" si="22"/>
        <v>33.186</v>
      </c>
      <c r="Q129" s="8">
        <f t="shared" si="21"/>
        <v>16.593</v>
      </c>
      <c r="R129" s="3">
        <f t="shared" si="18"/>
        <v>143.80600000000001</v>
      </c>
      <c r="S129" s="7">
        <v>1</v>
      </c>
      <c r="U129" s="13" t="s">
        <v>432</v>
      </c>
      <c r="V129" s="3">
        <f t="shared" si="19"/>
        <v>172.56720000000001</v>
      </c>
      <c r="W129" s="3">
        <f t="shared" si="20"/>
        <v>152.65559999999999</v>
      </c>
    </row>
    <row r="130" spans="1:23">
      <c r="A130">
        <v>162</v>
      </c>
      <c r="B130" t="s">
        <v>433</v>
      </c>
      <c r="C130" t="s">
        <v>226</v>
      </c>
      <c r="O130" s="3">
        <v>96.53</v>
      </c>
      <c r="P130" s="2">
        <f t="shared" si="22"/>
        <v>28.959</v>
      </c>
      <c r="Q130" s="8">
        <f t="shared" si="21"/>
        <v>14.4795</v>
      </c>
      <c r="R130" s="3">
        <f t="shared" si="18"/>
        <v>125.489</v>
      </c>
      <c r="S130" s="7">
        <v>1</v>
      </c>
      <c r="U130" s="13" t="s">
        <v>434</v>
      </c>
      <c r="V130" s="3">
        <f t="shared" si="19"/>
        <v>150.58680000000001</v>
      </c>
      <c r="W130" s="3">
        <f t="shared" si="20"/>
        <v>133.2114</v>
      </c>
    </row>
  </sheetData>
  <autoFilter ref="A1:AE130" xr:uid="{F6ACA396-1610-254E-9702-11BFABB3F6C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498B-28D7-C646-898E-27A0EC93DB0E}">
  <dimension ref="A1:AF20"/>
  <sheetViews>
    <sheetView workbookViewId="0">
      <selection activeCell="A20" sqref="A20:XFD20"/>
    </sheetView>
  </sheetViews>
  <sheetFormatPr defaultColWidth="10.6640625" defaultRowHeight="15.5"/>
  <sheetData>
    <row r="1" spans="1:16" ht="18.5">
      <c r="A1" s="4" t="s">
        <v>4</v>
      </c>
      <c r="B1" s="4" t="s">
        <v>5</v>
      </c>
      <c r="C1" s="5" t="s">
        <v>206</v>
      </c>
      <c r="D1" s="4" t="s">
        <v>195</v>
      </c>
      <c r="E1" s="4" t="s">
        <v>196</v>
      </c>
      <c r="F1" s="5" t="s">
        <v>263</v>
      </c>
      <c r="G1" s="6" t="s">
        <v>208</v>
      </c>
      <c r="H1" s="5" t="s">
        <v>201</v>
      </c>
      <c r="I1" s="5" t="s">
        <v>197</v>
      </c>
      <c r="J1" s="5" t="s">
        <v>209</v>
      </c>
      <c r="K1" s="5" t="s">
        <v>210</v>
      </c>
      <c r="L1" s="9" t="s">
        <v>207</v>
      </c>
      <c r="M1" s="14" t="s">
        <v>297</v>
      </c>
      <c r="N1" s="4" t="s">
        <v>242</v>
      </c>
    </row>
    <row r="2" spans="1:16">
      <c r="A2" t="s">
        <v>144</v>
      </c>
      <c r="C2" t="s">
        <v>145</v>
      </c>
      <c r="D2" t="s">
        <v>146</v>
      </c>
      <c r="E2" s="3">
        <v>0</v>
      </c>
      <c r="F2" s="2">
        <v>0</v>
      </c>
      <c r="G2" s="8">
        <v>0</v>
      </c>
      <c r="H2" s="3">
        <v>0</v>
      </c>
      <c r="I2" s="7">
        <v>0</v>
      </c>
      <c r="J2" s="8"/>
      <c r="K2" s="3"/>
      <c r="M2" s="8">
        <v>0</v>
      </c>
      <c r="N2" s="10" t="e">
        <v>#DIV/0!</v>
      </c>
      <c r="O2" s="13"/>
      <c r="P2" t="s">
        <v>249</v>
      </c>
    </row>
    <row r="3" spans="1:16">
      <c r="A3" t="s">
        <v>144</v>
      </c>
      <c r="C3" t="s">
        <v>147</v>
      </c>
      <c r="D3" t="s">
        <v>148</v>
      </c>
      <c r="E3" s="3">
        <v>0</v>
      </c>
      <c r="F3" s="2">
        <v>0</v>
      </c>
      <c r="G3" s="8">
        <v>0</v>
      </c>
      <c r="H3" s="3">
        <v>0</v>
      </c>
      <c r="I3" s="7">
        <v>0</v>
      </c>
      <c r="J3" s="8"/>
      <c r="K3" s="3"/>
      <c r="M3" s="8">
        <v>0</v>
      </c>
      <c r="N3" s="10" t="e">
        <v>#DIV/0!</v>
      </c>
      <c r="O3" s="13"/>
      <c r="P3" t="s">
        <v>249</v>
      </c>
    </row>
    <row r="4" spans="1:16">
      <c r="A4" t="s">
        <v>144</v>
      </c>
      <c r="C4" t="s">
        <v>149</v>
      </c>
      <c r="D4" t="s">
        <v>146</v>
      </c>
      <c r="E4" s="3">
        <v>0</v>
      </c>
      <c r="F4" s="2">
        <v>0</v>
      </c>
      <c r="G4" s="8">
        <v>0</v>
      </c>
      <c r="H4" s="3">
        <v>0</v>
      </c>
      <c r="I4" s="7">
        <v>0</v>
      </c>
      <c r="J4" s="8"/>
      <c r="K4" s="3"/>
      <c r="M4" s="8">
        <v>0</v>
      </c>
      <c r="N4" s="10" t="e">
        <v>#DIV/0!</v>
      </c>
      <c r="O4" s="13"/>
      <c r="P4" t="s">
        <v>249</v>
      </c>
    </row>
    <row r="5" spans="1:16">
      <c r="A5" t="s">
        <v>144</v>
      </c>
      <c r="C5" t="s">
        <v>150</v>
      </c>
      <c r="D5" t="s">
        <v>146</v>
      </c>
      <c r="E5" s="3">
        <v>0</v>
      </c>
      <c r="F5" s="2">
        <v>0</v>
      </c>
      <c r="G5" s="8">
        <v>0</v>
      </c>
      <c r="H5" s="3">
        <v>0</v>
      </c>
      <c r="I5" s="7">
        <v>0</v>
      </c>
      <c r="J5" s="8"/>
      <c r="K5" s="3"/>
      <c r="M5" s="8">
        <v>0</v>
      </c>
      <c r="N5" s="10" t="e">
        <v>#DIV/0!</v>
      </c>
      <c r="O5" s="13"/>
      <c r="P5" t="s">
        <v>249</v>
      </c>
    </row>
    <row r="6" spans="1:16">
      <c r="A6" t="s">
        <v>151</v>
      </c>
      <c r="C6" t="s">
        <v>152</v>
      </c>
      <c r="E6" s="3">
        <v>0</v>
      </c>
      <c r="F6" s="2">
        <v>0</v>
      </c>
      <c r="G6" s="8">
        <v>0</v>
      </c>
      <c r="H6" s="3">
        <v>0</v>
      </c>
      <c r="I6" s="7">
        <v>0</v>
      </c>
      <c r="J6" s="8"/>
      <c r="K6" s="3"/>
      <c r="M6" s="8">
        <v>0</v>
      </c>
      <c r="N6" s="10" t="e">
        <v>#DIV/0!</v>
      </c>
      <c r="O6" s="13"/>
      <c r="P6" t="s">
        <v>249</v>
      </c>
    </row>
    <row r="7" spans="1:16">
      <c r="A7" t="s">
        <v>156</v>
      </c>
      <c r="C7" t="s">
        <v>157</v>
      </c>
      <c r="E7" s="3">
        <v>0</v>
      </c>
      <c r="F7" s="2">
        <v>0</v>
      </c>
      <c r="G7" s="8">
        <v>0.01</v>
      </c>
      <c r="H7" s="3">
        <v>0</v>
      </c>
      <c r="I7" s="7">
        <v>0</v>
      </c>
      <c r="J7" s="8"/>
      <c r="K7" s="3"/>
      <c r="M7" s="8">
        <v>0</v>
      </c>
      <c r="N7" s="10" t="e">
        <v>#DIV/0!</v>
      </c>
      <c r="O7" s="13"/>
      <c r="P7" t="s">
        <v>229</v>
      </c>
    </row>
    <row r="8" spans="1:16">
      <c r="A8" t="s">
        <v>122</v>
      </c>
      <c r="C8" t="s">
        <v>158</v>
      </c>
      <c r="D8" t="s">
        <v>159</v>
      </c>
      <c r="E8" s="3">
        <v>0</v>
      </c>
      <c r="F8" s="2">
        <v>0</v>
      </c>
      <c r="G8" s="8">
        <v>0</v>
      </c>
      <c r="H8" s="3">
        <v>0</v>
      </c>
      <c r="I8" s="7">
        <v>0</v>
      </c>
      <c r="J8" s="8"/>
      <c r="K8" s="3"/>
      <c r="M8" s="8">
        <v>0</v>
      </c>
      <c r="N8" s="10" t="e">
        <v>#DIV/0!</v>
      </c>
      <c r="O8" s="13"/>
      <c r="P8" t="s">
        <v>229</v>
      </c>
    </row>
    <row r="9" spans="1:16">
      <c r="A9" t="s">
        <v>166</v>
      </c>
      <c r="C9" t="s">
        <v>167</v>
      </c>
      <c r="D9" t="s">
        <v>168</v>
      </c>
      <c r="E9" s="3">
        <v>0</v>
      </c>
      <c r="F9" s="2">
        <v>0</v>
      </c>
      <c r="G9" s="8">
        <v>0</v>
      </c>
      <c r="H9" s="3">
        <v>0</v>
      </c>
      <c r="I9" s="7">
        <v>0</v>
      </c>
      <c r="J9" s="8"/>
      <c r="K9" s="3"/>
      <c r="M9" s="8">
        <v>0</v>
      </c>
      <c r="N9" s="10" t="e">
        <v>#DIV/0!</v>
      </c>
      <c r="O9" s="13"/>
      <c r="P9" t="s">
        <v>229</v>
      </c>
    </row>
    <row r="10" spans="1:16">
      <c r="A10" t="s">
        <v>166</v>
      </c>
      <c r="C10" t="s">
        <v>169</v>
      </c>
      <c r="D10" t="s">
        <v>168</v>
      </c>
      <c r="E10" s="3">
        <v>0</v>
      </c>
      <c r="F10" s="2">
        <v>0</v>
      </c>
      <c r="G10" s="8">
        <v>0</v>
      </c>
      <c r="H10" s="3">
        <v>0</v>
      </c>
      <c r="I10" s="7">
        <v>0</v>
      </c>
      <c r="J10" s="8"/>
      <c r="K10" s="3"/>
      <c r="M10" s="8">
        <v>0</v>
      </c>
      <c r="N10" s="10" t="e">
        <v>#DIV/0!</v>
      </c>
      <c r="O10" s="13"/>
      <c r="P10" t="s">
        <v>229</v>
      </c>
    </row>
    <row r="11" spans="1:16">
      <c r="A11" t="s">
        <v>181</v>
      </c>
      <c r="C11" t="s">
        <v>229</v>
      </c>
      <c r="D11" t="s">
        <v>182</v>
      </c>
      <c r="E11" s="3">
        <v>0</v>
      </c>
      <c r="F11" s="2">
        <v>0</v>
      </c>
      <c r="G11" s="8">
        <v>0</v>
      </c>
      <c r="H11" s="3">
        <v>0</v>
      </c>
      <c r="I11" s="7">
        <v>0</v>
      </c>
      <c r="J11" s="8"/>
      <c r="K11" s="3"/>
      <c r="M11" s="8">
        <v>0</v>
      </c>
      <c r="N11" s="10" t="e">
        <v>#DIV/0!</v>
      </c>
      <c r="O11" s="13"/>
      <c r="P11" t="s">
        <v>229</v>
      </c>
    </row>
    <row r="12" spans="1:16">
      <c r="A12" t="s">
        <v>181</v>
      </c>
      <c r="C12" t="s">
        <v>229</v>
      </c>
      <c r="D12" t="s">
        <v>182</v>
      </c>
      <c r="E12" s="3">
        <v>0</v>
      </c>
      <c r="F12" s="2">
        <v>0</v>
      </c>
      <c r="G12" s="8">
        <v>0</v>
      </c>
      <c r="H12" s="3">
        <v>0</v>
      </c>
      <c r="I12" s="7">
        <v>0</v>
      </c>
      <c r="J12" s="8"/>
      <c r="K12" s="3"/>
      <c r="M12" s="8">
        <v>0</v>
      </c>
      <c r="N12" s="10" t="e">
        <v>#DIV/0!</v>
      </c>
      <c r="O12" s="13"/>
      <c r="P12" t="s">
        <v>229</v>
      </c>
    </row>
    <row r="13" spans="1:16">
      <c r="A13" t="s">
        <v>181</v>
      </c>
      <c r="C13" t="s">
        <v>229</v>
      </c>
      <c r="D13" t="s">
        <v>182</v>
      </c>
      <c r="E13" s="3">
        <v>0</v>
      </c>
      <c r="F13" s="2">
        <v>0</v>
      </c>
      <c r="G13" s="8">
        <v>0</v>
      </c>
      <c r="H13" s="3">
        <v>0</v>
      </c>
      <c r="I13" s="7">
        <v>0</v>
      </c>
      <c r="J13" s="8"/>
      <c r="K13" s="3"/>
      <c r="M13" s="8">
        <v>0</v>
      </c>
      <c r="N13" s="10" t="e">
        <v>#DIV/0!</v>
      </c>
      <c r="O13" s="13"/>
      <c r="P13" t="s">
        <v>229</v>
      </c>
    </row>
    <row r="14" spans="1:16">
      <c r="A14" t="s">
        <v>181</v>
      </c>
      <c r="C14" t="s">
        <v>229</v>
      </c>
      <c r="D14" t="s">
        <v>182</v>
      </c>
      <c r="E14" s="3">
        <v>0</v>
      </c>
      <c r="F14" s="2">
        <v>0</v>
      </c>
      <c r="G14" s="8">
        <v>0</v>
      </c>
      <c r="H14" s="3">
        <v>0</v>
      </c>
      <c r="I14" s="7">
        <v>0</v>
      </c>
      <c r="J14" s="8"/>
      <c r="K14" s="3"/>
      <c r="M14" s="8">
        <v>0</v>
      </c>
      <c r="N14" s="10" t="e">
        <v>#DIV/0!</v>
      </c>
      <c r="O14" s="13"/>
      <c r="P14" t="s">
        <v>229</v>
      </c>
    </row>
    <row r="15" spans="1:16">
      <c r="A15" t="s">
        <v>181</v>
      </c>
      <c r="C15" t="s">
        <v>229</v>
      </c>
      <c r="D15" t="s">
        <v>182</v>
      </c>
      <c r="E15" s="3">
        <v>0</v>
      </c>
      <c r="F15" s="2">
        <v>0</v>
      </c>
      <c r="G15" s="8">
        <v>0</v>
      </c>
      <c r="H15" s="3">
        <v>0</v>
      </c>
      <c r="I15" s="7">
        <v>0</v>
      </c>
      <c r="J15" s="8"/>
      <c r="K15" s="3"/>
      <c r="M15" s="8">
        <v>0</v>
      </c>
      <c r="N15" s="10" t="e">
        <v>#DIV/0!</v>
      </c>
      <c r="O15" s="13"/>
      <c r="P15" t="s">
        <v>229</v>
      </c>
    </row>
    <row r="16" spans="1:16">
      <c r="A16" t="s">
        <v>51</v>
      </c>
      <c r="C16" t="s">
        <v>52</v>
      </c>
      <c r="E16" s="3">
        <v>31.3</v>
      </c>
      <c r="F16" s="2">
        <v>9.39</v>
      </c>
      <c r="G16" s="8">
        <v>4.6950000000000003</v>
      </c>
      <c r="H16" s="3">
        <v>40.69</v>
      </c>
      <c r="I16" s="7">
        <v>0</v>
      </c>
      <c r="J16" s="8"/>
      <c r="K16" s="3"/>
      <c r="M16" s="8">
        <v>-31.3</v>
      </c>
      <c r="N16" s="10">
        <v>-1</v>
      </c>
      <c r="O16" s="13"/>
      <c r="P16" t="s">
        <v>229</v>
      </c>
    </row>
    <row r="17" spans="1:32">
      <c r="A17" t="s">
        <v>183</v>
      </c>
      <c r="C17" t="s">
        <v>187</v>
      </c>
      <c r="D17" t="s">
        <v>188</v>
      </c>
      <c r="E17" s="3">
        <v>141.80000000000001</v>
      </c>
      <c r="F17" s="2">
        <v>42.54</v>
      </c>
      <c r="G17" s="8">
        <v>21.27</v>
      </c>
      <c r="H17" s="3">
        <v>184.34</v>
      </c>
      <c r="I17" s="7">
        <v>0</v>
      </c>
      <c r="J17" s="8"/>
      <c r="K17" s="3"/>
      <c r="M17" s="8">
        <v>-141.80000000000001</v>
      </c>
      <c r="N17" s="10">
        <v>-1</v>
      </c>
      <c r="O17" s="13"/>
      <c r="P17" t="s">
        <v>229</v>
      </c>
    </row>
    <row r="18" spans="1:32">
      <c r="A18" t="s">
        <v>48</v>
      </c>
      <c r="C18" t="s">
        <v>136</v>
      </c>
      <c r="E18" s="3">
        <v>37.26</v>
      </c>
      <c r="F18" s="2">
        <v>11.177999999999999</v>
      </c>
      <c r="G18" s="8">
        <v>5.5889999999999995</v>
      </c>
      <c r="H18" s="3">
        <v>48.437999999999995</v>
      </c>
      <c r="I18" s="7">
        <v>1</v>
      </c>
      <c r="J18" s="8"/>
      <c r="K18" s="3"/>
      <c r="M18" s="8">
        <v>-37.26</v>
      </c>
      <c r="N18" s="10">
        <v>-1</v>
      </c>
      <c r="O18" s="10"/>
      <c r="P18" t="s">
        <v>243</v>
      </c>
    </row>
    <row r="19" spans="1:32">
      <c r="A19" t="s">
        <v>127</v>
      </c>
      <c r="C19" t="s">
        <v>239</v>
      </c>
      <c r="D19" t="s">
        <v>128</v>
      </c>
      <c r="E19" s="3">
        <v>0</v>
      </c>
      <c r="F19" s="2">
        <v>0</v>
      </c>
      <c r="G19" s="8">
        <v>0</v>
      </c>
      <c r="H19" s="3">
        <v>0</v>
      </c>
      <c r="I19" s="7">
        <v>1</v>
      </c>
      <c r="J19" s="8"/>
      <c r="K19" s="3"/>
      <c r="M19" s="8">
        <v>0</v>
      </c>
      <c r="N19" s="10" t="e">
        <v>#DIV/0!</v>
      </c>
      <c r="O19" s="10"/>
      <c r="P19" t="s">
        <v>256</v>
      </c>
    </row>
    <row r="20" spans="1:32">
      <c r="A20" s="1" t="s">
        <v>43</v>
      </c>
      <c r="B20">
        <v>314197798</v>
      </c>
      <c r="C20">
        <v>11</v>
      </c>
      <c r="D20" s="12">
        <v>45732</v>
      </c>
      <c r="E20" t="s">
        <v>18</v>
      </c>
      <c r="F20" t="s">
        <v>44</v>
      </c>
      <c r="H20" t="s">
        <v>45</v>
      </c>
      <c r="I20" t="s">
        <v>45</v>
      </c>
      <c r="J20" t="s">
        <v>29</v>
      </c>
      <c r="K20" t="s">
        <v>47</v>
      </c>
      <c r="L20" t="s">
        <v>23</v>
      </c>
      <c r="M20" t="s">
        <v>24</v>
      </c>
      <c r="N20" t="s">
        <v>25</v>
      </c>
      <c r="O20" s="2">
        <v>27</v>
      </c>
      <c r="P20">
        <v>1</v>
      </c>
      <c r="Q20" s="2">
        <v>27</v>
      </c>
      <c r="R20" s="2">
        <v>4.75</v>
      </c>
      <c r="S20" s="2">
        <v>2.82</v>
      </c>
      <c r="T20" t="s">
        <v>25</v>
      </c>
      <c r="U20" s="2">
        <v>0</v>
      </c>
      <c r="V20" s="3">
        <v>34.57</v>
      </c>
      <c r="W20" s="2">
        <f>V20*0.3</f>
        <v>10.371</v>
      </c>
      <c r="X20" s="8">
        <f>V20*0.15</f>
        <v>5.1855000000000002</v>
      </c>
      <c r="Y20" s="3">
        <f>V20+W20</f>
        <v>44.941000000000003</v>
      </c>
      <c r="Z20" s="7">
        <v>1</v>
      </c>
      <c r="AA20" s="8"/>
      <c r="AB20" s="3"/>
      <c r="AD20" s="8">
        <f>AC20-V20</f>
        <v>-34.57</v>
      </c>
      <c r="AE20" s="10">
        <f>AD20/V20</f>
        <v>-1</v>
      </c>
      <c r="AF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EE05-AAB2-334F-A06A-4A610B823A88}">
  <dimension ref="A1:S9"/>
  <sheetViews>
    <sheetView workbookViewId="0">
      <selection activeCell="F30" sqref="F30"/>
    </sheetView>
  </sheetViews>
  <sheetFormatPr defaultColWidth="10.6640625" defaultRowHeight="15.5"/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264</v>
      </c>
    </row>
    <row r="2" spans="1:19">
      <c r="A2" s="1" t="s">
        <v>265</v>
      </c>
      <c r="B2">
        <v>318953207</v>
      </c>
      <c r="C2" t="s">
        <v>18</v>
      </c>
      <c r="D2" t="s">
        <v>266</v>
      </c>
      <c r="E2" t="s">
        <v>267</v>
      </c>
      <c r="F2" t="s">
        <v>268</v>
      </c>
      <c r="G2" t="s">
        <v>21</v>
      </c>
      <c r="H2" t="s">
        <v>269</v>
      </c>
      <c r="I2" t="s">
        <v>23</v>
      </c>
      <c r="J2" t="s">
        <v>24</v>
      </c>
      <c r="K2" t="s">
        <v>25</v>
      </c>
      <c r="L2" s="2">
        <v>19</v>
      </c>
      <c r="M2">
        <v>1</v>
      </c>
      <c r="N2" s="2">
        <v>19</v>
      </c>
      <c r="O2" s="2">
        <v>5.91</v>
      </c>
      <c r="P2" s="2">
        <v>2.2200000000000002</v>
      </c>
      <c r="Q2" t="s">
        <v>25</v>
      </c>
      <c r="R2" s="2">
        <v>0</v>
      </c>
      <c r="S2" s="2">
        <v>27.13</v>
      </c>
    </row>
    <row r="3" spans="1:19">
      <c r="A3" s="1" t="s">
        <v>270</v>
      </c>
      <c r="B3">
        <v>318475659</v>
      </c>
      <c r="C3" t="s">
        <v>18</v>
      </c>
      <c r="D3" t="s">
        <v>48</v>
      </c>
      <c r="E3" t="s">
        <v>271</v>
      </c>
      <c r="G3" t="s">
        <v>21</v>
      </c>
      <c r="H3" t="s">
        <v>272</v>
      </c>
      <c r="I3" t="s">
        <v>23</v>
      </c>
      <c r="J3" t="s">
        <v>24</v>
      </c>
      <c r="K3" t="s">
        <v>25</v>
      </c>
      <c r="L3" s="2">
        <v>45</v>
      </c>
      <c r="M3">
        <v>1</v>
      </c>
      <c r="N3" s="2">
        <v>45</v>
      </c>
      <c r="O3" s="2">
        <v>1.36</v>
      </c>
      <c r="P3" s="2">
        <v>4.13</v>
      </c>
      <c r="Q3" t="s">
        <v>25</v>
      </c>
      <c r="R3" s="2">
        <v>0</v>
      </c>
      <c r="S3" s="2">
        <v>50.49</v>
      </c>
    </row>
    <row r="4" spans="1:19">
      <c r="A4" s="1" t="s">
        <v>273</v>
      </c>
      <c r="B4">
        <v>318361285</v>
      </c>
      <c r="C4" t="s">
        <v>18</v>
      </c>
      <c r="D4" t="s">
        <v>48</v>
      </c>
      <c r="E4" t="s">
        <v>274</v>
      </c>
      <c r="F4" t="s">
        <v>70</v>
      </c>
      <c r="K4" t="s">
        <v>25</v>
      </c>
      <c r="L4" s="2">
        <v>59</v>
      </c>
      <c r="M4">
        <v>1</v>
      </c>
      <c r="N4" s="2">
        <v>59</v>
      </c>
      <c r="O4" s="2">
        <v>1.34</v>
      </c>
      <c r="P4" s="2">
        <v>5.37</v>
      </c>
      <c r="Q4" t="s">
        <v>25</v>
      </c>
      <c r="R4" s="2">
        <v>0</v>
      </c>
      <c r="S4" s="2">
        <v>65.709999999999994</v>
      </c>
    </row>
    <row r="5" spans="1:19">
      <c r="A5" s="1" t="s">
        <v>275</v>
      </c>
      <c r="B5">
        <v>318248032</v>
      </c>
      <c r="C5" t="s">
        <v>18</v>
      </c>
      <c r="D5" t="s">
        <v>48</v>
      </c>
      <c r="E5" t="s">
        <v>276</v>
      </c>
      <c r="F5" t="s">
        <v>287</v>
      </c>
      <c r="K5" t="s">
        <v>25</v>
      </c>
      <c r="L5" s="2">
        <v>85</v>
      </c>
      <c r="M5">
        <v>1</v>
      </c>
      <c r="N5" s="2">
        <v>85</v>
      </c>
      <c r="O5" s="2">
        <v>1.34</v>
      </c>
      <c r="P5" s="2">
        <v>7.69</v>
      </c>
      <c r="Q5" t="s">
        <v>25</v>
      </c>
      <c r="R5" s="2">
        <v>0</v>
      </c>
      <c r="S5" s="2">
        <v>94.03</v>
      </c>
    </row>
    <row r="6" spans="1:19">
      <c r="A6" s="1" t="s">
        <v>277</v>
      </c>
      <c r="B6">
        <v>318246663</v>
      </c>
      <c r="C6" t="s">
        <v>18</v>
      </c>
      <c r="D6" t="s">
        <v>48</v>
      </c>
      <c r="E6" t="s">
        <v>278</v>
      </c>
      <c r="F6" t="s">
        <v>161</v>
      </c>
      <c r="G6" t="s">
        <v>21</v>
      </c>
      <c r="H6" t="s">
        <v>279</v>
      </c>
      <c r="I6" t="s">
        <v>23</v>
      </c>
      <c r="J6" t="s">
        <v>67</v>
      </c>
      <c r="K6" t="s">
        <v>25</v>
      </c>
      <c r="L6" s="2">
        <v>0</v>
      </c>
      <c r="M6">
        <v>1</v>
      </c>
      <c r="N6" s="2">
        <v>0</v>
      </c>
      <c r="O6" s="2">
        <v>0</v>
      </c>
      <c r="P6" s="2">
        <v>0</v>
      </c>
      <c r="Q6" t="s">
        <v>25</v>
      </c>
      <c r="R6" s="2">
        <v>0</v>
      </c>
      <c r="S6" s="2">
        <v>0</v>
      </c>
    </row>
    <row r="7" spans="1:19">
      <c r="A7" s="1" t="s">
        <v>280</v>
      </c>
      <c r="B7">
        <v>318244538</v>
      </c>
      <c r="C7" t="s">
        <v>18</v>
      </c>
      <c r="D7" t="s">
        <v>48</v>
      </c>
      <c r="E7" t="s">
        <v>281</v>
      </c>
      <c r="F7" t="s">
        <v>288</v>
      </c>
      <c r="K7" t="s">
        <v>25</v>
      </c>
      <c r="L7" s="2">
        <v>33</v>
      </c>
      <c r="M7">
        <v>1</v>
      </c>
      <c r="N7" s="2">
        <v>33</v>
      </c>
      <c r="O7" s="2">
        <v>0</v>
      </c>
      <c r="P7" s="2">
        <v>2.94</v>
      </c>
      <c r="Q7" t="s">
        <v>25</v>
      </c>
      <c r="R7" s="2">
        <v>0</v>
      </c>
      <c r="S7" s="2">
        <v>35.94</v>
      </c>
    </row>
    <row r="8" spans="1:19">
      <c r="A8" s="1" t="s">
        <v>282</v>
      </c>
      <c r="B8">
        <v>318200301</v>
      </c>
      <c r="C8" t="s">
        <v>18</v>
      </c>
      <c r="D8" t="s">
        <v>48</v>
      </c>
      <c r="E8" t="s">
        <v>283</v>
      </c>
      <c r="F8" t="s">
        <v>70</v>
      </c>
      <c r="K8" t="s">
        <v>25</v>
      </c>
      <c r="L8" s="2">
        <v>84</v>
      </c>
      <c r="M8">
        <v>1</v>
      </c>
      <c r="N8" s="2">
        <v>84</v>
      </c>
      <c r="O8" s="2">
        <v>9.2100000000000009</v>
      </c>
      <c r="P8" s="2">
        <v>8.3000000000000007</v>
      </c>
      <c r="Q8" t="s">
        <v>25</v>
      </c>
      <c r="R8" s="2">
        <v>0</v>
      </c>
      <c r="S8" s="2">
        <v>101.51</v>
      </c>
    </row>
    <row r="9" spans="1:19">
      <c r="A9" s="1" t="s">
        <v>262</v>
      </c>
      <c r="B9">
        <v>317688118</v>
      </c>
      <c r="C9" t="s">
        <v>18</v>
      </c>
      <c r="D9" t="s">
        <v>39</v>
      </c>
      <c r="E9" t="s">
        <v>284</v>
      </c>
      <c r="F9" t="s">
        <v>285</v>
      </c>
      <c r="G9" t="s">
        <v>29</v>
      </c>
      <c r="H9" t="s">
        <v>286</v>
      </c>
      <c r="I9" t="s">
        <v>23</v>
      </c>
      <c r="J9" t="s">
        <v>24</v>
      </c>
      <c r="K9" t="s">
        <v>25</v>
      </c>
      <c r="L9" s="2">
        <v>16</v>
      </c>
      <c r="M9">
        <v>1</v>
      </c>
      <c r="N9" s="2">
        <v>16</v>
      </c>
      <c r="O9" s="2">
        <v>0</v>
      </c>
      <c r="P9" s="2">
        <v>1.42</v>
      </c>
      <c r="Q9" t="s">
        <v>25</v>
      </c>
      <c r="R9" s="2">
        <v>0</v>
      </c>
      <c r="S9" s="2">
        <v>17.420000000000002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DA50-E78E-5046-A998-931F9350C3DC}">
  <dimension ref="A1:U10"/>
  <sheetViews>
    <sheetView workbookViewId="0">
      <selection sqref="A1:U10"/>
    </sheetView>
  </sheetViews>
  <sheetFormatPr defaultColWidth="10.6640625" defaultRowHeight="15.5"/>
  <sheetData>
    <row r="1" spans="1:21" ht="18.5">
      <c r="A1" s="4" t="s">
        <v>211</v>
      </c>
      <c r="B1" s="11"/>
      <c r="C1" s="4" t="s">
        <v>2</v>
      </c>
      <c r="D1" s="4" t="s">
        <v>3</v>
      </c>
      <c r="E1" s="4" t="s">
        <v>4</v>
      </c>
      <c r="F1" s="4" t="s">
        <v>5</v>
      </c>
      <c r="G1" s="5" t="s">
        <v>206</v>
      </c>
      <c r="H1" s="4" t="s">
        <v>195</v>
      </c>
      <c r="I1" s="4" t="s">
        <v>196</v>
      </c>
      <c r="J1" s="5" t="s">
        <v>263</v>
      </c>
      <c r="K1" s="6" t="s">
        <v>208</v>
      </c>
      <c r="L1" s="5" t="s">
        <v>201</v>
      </c>
      <c r="M1" s="5" t="s">
        <v>197</v>
      </c>
      <c r="N1" s="5" t="s">
        <v>209</v>
      </c>
      <c r="O1" s="5" t="s">
        <v>210</v>
      </c>
      <c r="P1" s="9" t="s">
        <v>207</v>
      </c>
      <c r="Q1" s="14" t="s">
        <v>297</v>
      </c>
      <c r="R1" s="14" t="s">
        <v>355</v>
      </c>
      <c r="S1" s="14" t="s">
        <v>455</v>
      </c>
      <c r="T1" s="5" t="s">
        <v>456</v>
      </c>
      <c r="U1" s="4" t="s">
        <v>242</v>
      </c>
    </row>
    <row r="2" spans="1:21">
      <c r="A2">
        <v>18</v>
      </c>
      <c r="B2" s="12">
        <v>45729</v>
      </c>
      <c r="C2" t="s">
        <v>18</v>
      </c>
      <c r="D2" t="s">
        <v>58</v>
      </c>
      <c r="E2" t="s">
        <v>218</v>
      </c>
      <c r="F2" t="s">
        <v>64</v>
      </c>
      <c r="G2" s="3">
        <v>62.77</v>
      </c>
      <c r="H2" s="2">
        <v>18.831</v>
      </c>
      <c r="I2" s="8">
        <v>9.4154999999999998</v>
      </c>
      <c r="J2" s="3">
        <v>81.600999999999999</v>
      </c>
      <c r="K2" s="7" t="s">
        <v>294</v>
      </c>
      <c r="L2" s="8"/>
      <c r="M2" s="3"/>
      <c r="O2" s="3">
        <v>-62.77</v>
      </c>
      <c r="P2" s="10">
        <v>-1</v>
      </c>
      <c r="Q2" s="10"/>
      <c r="R2" s="10"/>
      <c r="S2" s="3">
        <v>97.921199999999999</v>
      </c>
      <c r="T2" s="3">
        <v>86.622600000000006</v>
      </c>
      <c r="U2" t="s">
        <v>229</v>
      </c>
    </row>
    <row r="3" spans="1:21">
      <c r="A3">
        <v>19</v>
      </c>
      <c r="B3" s="12">
        <v>45729</v>
      </c>
      <c r="C3" t="s">
        <v>18</v>
      </c>
      <c r="D3" t="s">
        <v>58</v>
      </c>
      <c r="E3" t="s">
        <v>219</v>
      </c>
      <c r="F3" t="s">
        <v>64</v>
      </c>
      <c r="G3" s="3">
        <v>92.11</v>
      </c>
      <c r="H3" s="2">
        <v>27.632999999999999</v>
      </c>
      <c r="I3" s="8">
        <v>13.8165</v>
      </c>
      <c r="J3" s="3">
        <v>119.74299999999999</v>
      </c>
      <c r="K3" s="7" t="s">
        <v>294</v>
      </c>
      <c r="L3" s="8"/>
      <c r="M3" s="3"/>
      <c r="O3" s="3">
        <v>-92.11</v>
      </c>
      <c r="P3" s="10">
        <v>-1</v>
      </c>
      <c r="Q3" s="13"/>
      <c r="R3" s="10" t="s">
        <v>298</v>
      </c>
      <c r="S3" s="3">
        <v>143.69159999999999</v>
      </c>
      <c r="T3" s="3">
        <v>127.1118</v>
      </c>
    </row>
    <row r="4" spans="1:21">
      <c r="A4">
        <v>21</v>
      </c>
      <c r="B4" s="12">
        <v>45728</v>
      </c>
      <c r="C4" t="s">
        <v>18</v>
      </c>
      <c r="D4" t="s">
        <v>48</v>
      </c>
      <c r="E4" t="s">
        <v>338</v>
      </c>
      <c r="F4" t="s">
        <v>68</v>
      </c>
      <c r="G4" s="3">
        <v>57.95</v>
      </c>
      <c r="H4" s="2">
        <v>17.385000000000002</v>
      </c>
      <c r="I4" s="8">
        <v>8.6925000000000008</v>
      </c>
      <c r="J4" s="3">
        <v>75.335000000000008</v>
      </c>
      <c r="K4" s="7" t="s">
        <v>294</v>
      </c>
      <c r="L4" s="8"/>
      <c r="M4" s="3"/>
      <c r="O4" s="3">
        <v>-57.95</v>
      </c>
      <c r="P4" s="10">
        <v>-1</v>
      </c>
      <c r="Q4" s="10"/>
      <c r="R4" s="10"/>
      <c r="S4" s="3">
        <v>90.402000000000001</v>
      </c>
      <c r="T4" s="3">
        <v>79.970999999999989</v>
      </c>
      <c r="U4" t="s">
        <v>229</v>
      </c>
    </row>
    <row r="5" spans="1:21">
      <c r="A5">
        <v>25</v>
      </c>
      <c r="B5" s="12">
        <v>45727</v>
      </c>
      <c r="C5" t="s">
        <v>18</v>
      </c>
      <c r="D5" t="s">
        <v>48</v>
      </c>
      <c r="E5" t="s">
        <v>341</v>
      </c>
      <c r="F5" t="s">
        <v>71</v>
      </c>
      <c r="G5" s="3">
        <v>41.12</v>
      </c>
      <c r="H5" s="2">
        <v>121.31699999999999</v>
      </c>
      <c r="I5" s="8">
        <v>60.658499999999997</v>
      </c>
      <c r="J5" s="3">
        <v>162.43699999999998</v>
      </c>
      <c r="K5" s="7" t="s">
        <v>294</v>
      </c>
      <c r="L5" s="8"/>
      <c r="M5" s="3"/>
      <c r="O5" s="3">
        <v>-404.39</v>
      </c>
      <c r="P5" s="10">
        <v>-1</v>
      </c>
      <c r="Q5" s="10"/>
      <c r="R5" s="10"/>
      <c r="S5" s="3">
        <v>194.92439999999996</v>
      </c>
      <c r="T5" s="3">
        <v>122.13419999999999</v>
      </c>
      <c r="U5" t="s">
        <v>229</v>
      </c>
    </row>
    <row r="6" spans="1:21">
      <c r="A6">
        <v>26</v>
      </c>
      <c r="B6" s="12">
        <v>45727</v>
      </c>
      <c r="C6" t="s">
        <v>18</v>
      </c>
      <c r="D6" t="s">
        <v>48</v>
      </c>
      <c r="E6" t="s">
        <v>337</v>
      </c>
      <c r="F6" t="s">
        <v>69</v>
      </c>
      <c r="G6" s="3">
        <v>59.9</v>
      </c>
      <c r="H6" s="2">
        <v>12.335999999999999</v>
      </c>
      <c r="I6" s="8">
        <v>6.1679999999999993</v>
      </c>
      <c r="J6" s="3">
        <v>72.23599999999999</v>
      </c>
      <c r="K6" s="7" t="s">
        <v>294</v>
      </c>
      <c r="L6" s="8"/>
      <c r="M6" s="3"/>
      <c r="O6" s="3">
        <v>-41.12</v>
      </c>
      <c r="P6" s="10">
        <v>-1</v>
      </c>
      <c r="Q6" s="10"/>
      <c r="R6" s="10"/>
      <c r="S6" s="3">
        <v>86.683199999999985</v>
      </c>
      <c r="T6" s="3">
        <v>79.281599999999997</v>
      </c>
      <c r="U6" t="s">
        <v>229</v>
      </c>
    </row>
    <row r="7" spans="1:21">
      <c r="A7">
        <v>62</v>
      </c>
      <c r="B7" s="12">
        <v>32874</v>
      </c>
      <c r="C7" t="s">
        <v>18</v>
      </c>
      <c r="D7" t="s">
        <v>118</v>
      </c>
      <c r="E7" t="s">
        <v>119</v>
      </c>
      <c r="F7" t="s">
        <v>120</v>
      </c>
      <c r="G7" s="3">
        <v>0.01</v>
      </c>
      <c r="H7" s="2">
        <v>3.0000000000000001E-3</v>
      </c>
      <c r="I7" s="8">
        <v>1.5E-3</v>
      </c>
      <c r="J7" s="3">
        <v>1.3000000000000001E-2</v>
      </c>
      <c r="K7" s="7" t="s">
        <v>294</v>
      </c>
      <c r="L7" s="8"/>
      <c r="M7" s="3"/>
      <c r="O7" s="3">
        <v>-0.01</v>
      </c>
      <c r="P7" s="10">
        <v>-1</v>
      </c>
      <c r="Q7" s="10"/>
      <c r="R7" s="10"/>
      <c r="S7" s="3">
        <v>2.9630000000000001</v>
      </c>
      <c r="T7" s="3">
        <v>2.9615</v>
      </c>
    </row>
    <row r="8" spans="1:21">
      <c r="A8">
        <v>66</v>
      </c>
      <c r="B8" s="12">
        <v>45722</v>
      </c>
      <c r="C8" t="s">
        <v>18</v>
      </c>
      <c r="D8" t="s">
        <v>39</v>
      </c>
      <c r="E8" t="s">
        <v>129</v>
      </c>
      <c r="F8" t="s">
        <v>130</v>
      </c>
      <c r="G8" s="3">
        <v>31.81</v>
      </c>
      <c r="H8" s="2">
        <v>9.5429999999999993</v>
      </c>
      <c r="I8" s="8">
        <v>4.7714999999999996</v>
      </c>
      <c r="J8" s="3">
        <v>41.352999999999994</v>
      </c>
      <c r="K8" s="7" t="s">
        <v>294</v>
      </c>
      <c r="L8" s="8"/>
      <c r="M8" s="3"/>
      <c r="O8" s="3">
        <v>-31.81</v>
      </c>
      <c r="P8" s="10">
        <v>-1</v>
      </c>
      <c r="Q8" s="10"/>
      <c r="R8" s="10"/>
      <c r="S8" s="3">
        <v>49.623599999999989</v>
      </c>
      <c r="T8" s="3">
        <v>43.897799999999997</v>
      </c>
      <c r="U8" t="s">
        <v>457</v>
      </c>
    </row>
    <row r="9" spans="1:21">
      <c r="A9">
        <v>97</v>
      </c>
      <c r="B9" s="12">
        <v>45717</v>
      </c>
      <c r="C9" t="s">
        <v>18</v>
      </c>
      <c r="D9" t="s">
        <v>39</v>
      </c>
      <c r="E9" t="s">
        <v>170</v>
      </c>
      <c r="G9" s="3">
        <v>41.61</v>
      </c>
      <c r="H9" s="2">
        <v>12.482999999999999</v>
      </c>
      <c r="I9" s="8">
        <v>6.2414999999999994</v>
      </c>
      <c r="J9" s="3">
        <v>54.092999999999996</v>
      </c>
      <c r="K9" s="7" t="s">
        <v>294</v>
      </c>
      <c r="L9" s="8">
        <v>70</v>
      </c>
      <c r="M9" s="3"/>
      <c r="O9" s="3">
        <v>-41.61</v>
      </c>
      <c r="P9" s="10">
        <v>-1</v>
      </c>
      <c r="Q9" s="10"/>
      <c r="R9" s="10"/>
      <c r="S9" s="3">
        <v>64.911599999999993</v>
      </c>
      <c r="T9" s="3">
        <v>57.421799999999998</v>
      </c>
      <c r="U9" t="s">
        <v>457</v>
      </c>
    </row>
    <row r="10" spans="1:21">
      <c r="A10">
        <v>110</v>
      </c>
      <c r="B10" s="12">
        <v>45736</v>
      </c>
      <c r="C10" t="s">
        <v>18</v>
      </c>
      <c r="D10" t="s">
        <v>39</v>
      </c>
      <c r="E10" t="s">
        <v>261</v>
      </c>
      <c r="G10" s="3">
        <v>17.420000000000002</v>
      </c>
      <c r="H10" s="2">
        <v>5.226</v>
      </c>
      <c r="I10" s="8">
        <v>2.613</v>
      </c>
      <c r="J10" s="3">
        <v>22.646000000000001</v>
      </c>
      <c r="K10" s="7" t="s">
        <v>294</v>
      </c>
      <c r="L10" s="3"/>
      <c r="M10" s="3"/>
      <c r="N10" s="3"/>
      <c r="O10" s="3">
        <v>-17.420000000000002</v>
      </c>
      <c r="P10" s="10">
        <v>-1</v>
      </c>
      <c r="Q10" s="10"/>
      <c r="R10" s="10"/>
      <c r="S10" s="3">
        <v>27.1752</v>
      </c>
      <c r="T10" s="3">
        <v>24.0396</v>
      </c>
      <c r="U10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For Listing PM</vt:lpstr>
      <vt:lpstr>Admin Costs</vt:lpstr>
      <vt:lpstr>Sheet2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Kaminski</dc:creator>
  <cp:lastModifiedBy>Lacey Kaminski</cp:lastModifiedBy>
  <dcterms:created xsi:type="dcterms:W3CDTF">2025-03-19T17:25:16Z</dcterms:created>
  <dcterms:modified xsi:type="dcterms:W3CDTF">2025-07-28T16:13:22Z</dcterms:modified>
</cp:coreProperties>
</file>