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6320" windowWidth="29016" windowHeight="15840" tabRatio="790" firstSheet="2" activeTab="2"/>
  </bookViews>
  <sheets>
    <sheet name="SOX - Q1 (2)" sheetId="41" state="hidden" r:id="rId1"/>
    <sheet name="Prisma Campaigns Breakdown" sheetId="42" state="hidden" r:id="rId2"/>
    <sheet name="FINALS" sheetId="9" r:id="rId3"/>
    <sheet name="Facebook campaigns" sheetId="39" state="hidden" r:id="rId4"/>
    <sheet name="Teens (UK)" sheetId="44" state="hidden" r:id="rId5"/>
    <sheet name="Facebook &amp; Instagram" sheetId="6" r:id="rId6"/>
    <sheet name="Discovery Ads" sheetId="24" r:id="rId7"/>
    <sheet name="Sheet1" sheetId="45" state="hidden" r:id="rId8"/>
    <sheet name="Paid Search" sheetId="5" r:id="rId9"/>
    <sheet name="Display" sheetId="43" r:id="rId10"/>
    <sheet name="Snapchat" sheetId="33" r:id="rId11"/>
    <sheet name="Tik Tok" sheetId="34" r:id="rId12"/>
    <sheet name="YouTube" sheetId="21" r:id="rId13"/>
    <sheet name="Dentaly" sheetId="7" state="hidden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_FilterDatabase" localSheetId="2" hidden="1">FINALS!#REF!</definedName>
    <definedName name="_LB2" localSheetId="0">'[1]Rich Media Options'!$C$4:$C$7</definedName>
    <definedName name="_LB2">'[1]Rich Media Options'!$C$4:$C$7</definedName>
    <definedName name="Accepted_Media_Types" localSheetId="6">#REF!</definedName>
    <definedName name="Accepted_Media_Types" localSheetId="9">#REF!</definedName>
    <definedName name="Accepted_Media_Types" localSheetId="10">#REF!</definedName>
    <definedName name="Accepted_Media_Types" localSheetId="0">#REF!</definedName>
    <definedName name="Accepted_Media_Types">#REF!</definedName>
    <definedName name="Ad_Tag" localSheetId="6">#REF!</definedName>
    <definedName name="Ad_Tag" localSheetId="9">#REF!</definedName>
    <definedName name="Ad_Tag" localSheetId="10">#REF!</definedName>
    <definedName name="Ad_Tag" localSheetId="0">#REF!</definedName>
    <definedName name="Ad_Tag">#REF!</definedName>
    <definedName name="AdServer" localSheetId="0">[2]Data!$U$2:$U$6</definedName>
    <definedName name="AdServer">[2]Data!$U$2:$U$6</definedName>
    <definedName name="Advertiser_Code" localSheetId="6">#REF!</definedName>
    <definedName name="Advertiser_Code" localSheetId="9">#REF!</definedName>
    <definedName name="Advertiser_Code" localSheetId="10">#REF!</definedName>
    <definedName name="Advertiser_Code" localSheetId="0">#REF!</definedName>
    <definedName name="Advertiser_Code">#REF!</definedName>
    <definedName name="AggASFCostMethodNamesCPM" localSheetId="6">#REF!</definedName>
    <definedName name="AggASFCostMethodNamesCPM" localSheetId="9">#REF!</definedName>
    <definedName name="AggASFCostMethodNamesCPM" localSheetId="10">#REF!</definedName>
    <definedName name="AggASFCostMethodNamesCPM" localSheetId="0">#REF!</definedName>
    <definedName name="AggASFCostMethodNamesCPM">#REF!</definedName>
    <definedName name="AggASFCostMethodNamesOther" localSheetId="6">#REF!</definedName>
    <definedName name="AggASFCostMethodNamesOther" localSheetId="9">#REF!</definedName>
    <definedName name="AggASFCostMethodNamesOther" localSheetId="10">#REF!</definedName>
    <definedName name="AggASFCostMethodNamesOther" localSheetId="0">#REF!</definedName>
    <definedName name="AggASFCostMethodNamesOther">#REF!</definedName>
    <definedName name="AggCostMethodNames" localSheetId="6">#REF!</definedName>
    <definedName name="AggCostMethodNames" localSheetId="9">#REF!</definedName>
    <definedName name="AggCostMethodNames" localSheetId="10">#REF!</definedName>
    <definedName name="AggCostMethodNames" localSheetId="0">#REF!</definedName>
    <definedName name="AggCostMethodNames">#REF!</definedName>
    <definedName name="AggCostMethodNamesCPM" localSheetId="6">#REF!</definedName>
    <definedName name="AggCostMethodNamesCPM" localSheetId="9">#REF!</definedName>
    <definedName name="AggCostMethodNamesCPM" localSheetId="10">#REF!</definedName>
    <definedName name="AggCostMethodNamesCPM" localSheetId="0">#REF!</definedName>
    <definedName name="AggCostMethodNamesCPM">#REF!</definedName>
    <definedName name="AggCostMethodNamesOther" localSheetId="6">#REF!</definedName>
    <definedName name="AggCostMethodNamesOther" localSheetId="9">#REF!</definedName>
    <definedName name="AggCostMethodNamesOther" localSheetId="10">#REF!</definedName>
    <definedName name="AggCostMethodNamesOther" localSheetId="0">#REF!</definedName>
    <definedName name="AggCostMethodNamesOther">#REF!</definedName>
    <definedName name="AggCreativeCategoryNames" localSheetId="6">#REF!</definedName>
    <definedName name="AggCreativeCategoryNames" localSheetId="9">#REF!</definedName>
    <definedName name="AggCreativeCategoryNames" localSheetId="10">#REF!</definedName>
    <definedName name="AggCreativeCategoryNames" localSheetId="0">#REF!</definedName>
    <definedName name="AggCreativeCategoryNames">#REF!</definedName>
    <definedName name="AggCreativeSizeNames" localSheetId="6">#REF!</definedName>
    <definedName name="AggCreativeSizeNames" localSheetId="9">#REF!</definedName>
    <definedName name="AggCreativeSizeNames" localSheetId="10">#REF!</definedName>
    <definedName name="AggCreativeSizeNames" localSheetId="0">#REF!</definedName>
    <definedName name="AggCreativeSizeNames">#REF!</definedName>
    <definedName name="AggCreativeSizeNamesCPM" localSheetId="6">#REF!</definedName>
    <definedName name="AggCreativeSizeNamesCPM" localSheetId="9">#REF!</definedName>
    <definedName name="AggCreativeSizeNamesCPM" localSheetId="10">#REF!</definedName>
    <definedName name="AggCreativeSizeNamesCPM" localSheetId="0">#REF!</definedName>
    <definedName name="AggCreativeSizeNamesCPM">#REF!</definedName>
    <definedName name="AggCreativeSizeNamesOther" localSheetId="6">#REF!</definedName>
    <definedName name="AggCreativeSizeNamesOther" localSheetId="9">#REF!</definedName>
    <definedName name="AggCreativeSizeNamesOther" localSheetId="10">#REF!</definedName>
    <definedName name="AggCreativeSizeNamesOther" localSheetId="0">#REF!</definedName>
    <definedName name="AggCreativeSizeNamesOther">#REF!</definedName>
    <definedName name="AggCreativeTypeNames" localSheetId="6">#REF!</definedName>
    <definedName name="AggCreativeTypeNames" localSheetId="9">#REF!</definedName>
    <definedName name="AggCreativeTypeNames" localSheetId="10">#REF!</definedName>
    <definedName name="AggCreativeTypeNames" localSheetId="0">#REF!</definedName>
    <definedName name="AggCreativeTypeNames">#REF!</definedName>
    <definedName name="AggCreativeTypeNamesOther" localSheetId="6">#REF!</definedName>
    <definedName name="AggCreativeTypeNamesOther" localSheetId="9">#REF!</definedName>
    <definedName name="AggCreativeTypeNamesOther" localSheetId="10">#REF!</definedName>
    <definedName name="AggCreativeTypeNamesOther" localSheetId="0">#REF!</definedName>
    <definedName name="AggCreativeTypeNamesOther">#REF!</definedName>
    <definedName name="AggPlacementGenre" localSheetId="6">#REF!</definedName>
    <definedName name="AggPlacementGenre" localSheetId="9">#REF!</definedName>
    <definedName name="AggPlacementGenre" localSheetId="10">#REF!</definedName>
    <definedName name="AggPlacementGenre" localSheetId="0">#REF!</definedName>
    <definedName name="AggPlacementGenre">#REF!</definedName>
    <definedName name="AggPlacementGenreCPM" localSheetId="6">#REF!</definedName>
    <definedName name="AggPlacementGenreCPM" localSheetId="9">#REF!</definedName>
    <definedName name="AggPlacementGenreCPM" localSheetId="10">#REF!</definedName>
    <definedName name="AggPlacementGenreCPM" localSheetId="0">#REF!</definedName>
    <definedName name="AggPlacementGenreCPM">#REF!</definedName>
    <definedName name="AggPlacementGenreNames" localSheetId="6">#REF!</definedName>
    <definedName name="AggPlacementGenreNames" localSheetId="9">#REF!</definedName>
    <definedName name="AggPlacementGenreNames" localSheetId="10">#REF!</definedName>
    <definedName name="AggPlacementGenreNames" localSheetId="0">#REF!</definedName>
    <definedName name="AggPlacementGenreNames">#REF!</definedName>
    <definedName name="AggPlacementGenreNamesCPM" localSheetId="6">#REF!</definedName>
    <definedName name="AggPlacementGenreNamesCPM" localSheetId="9">#REF!</definedName>
    <definedName name="AggPlacementGenreNamesCPM" localSheetId="10">#REF!</definedName>
    <definedName name="AggPlacementGenreNamesCPM" localSheetId="0">#REF!</definedName>
    <definedName name="AggPlacementGenreNamesCPM">#REF!</definedName>
    <definedName name="AggPlacementGenreNamesOther" localSheetId="6">#REF!</definedName>
    <definedName name="AggPlacementGenreNamesOther" localSheetId="9">#REF!</definedName>
    <definedName name="AggPlacementGenreNamesOther" localSheetId="10">#REF!</definedName>
    <definedName name="AggPlacementGenreNamesOther" localSheetId="0">#REF!</definedName>
    <definedName name="AggPlacementGenreNamesOther">#REF!</definedName>
    <definedName name="AggPlacementGenreOther" localSheetId="6">#REF!</definedName>
    <definedName name="AggPlacementGenreOther" localSheetId="9">#REF!</definedName>
    <definedName name="AggPlacementGenreOther" localSheetId="10">#REF!</definedName>
    <definedName name="AggPlacementGenreOther" localSheetId="0">#REF!</definedName>
    <definedName name="AggPlacementGenreOther">#REF!</definedName>
    <definedName name="AggPlacementNames" localSheetId="6">#REF!</definedName>
    <definedName name="AggPlacementNames" localSheetId="9">#REF!</definedName>
    <definedName name="AggPlacementNames" localSheetId="10">#REF!</definedName>
    <definedName name="AggPlacementNames" localSheetId="0">#REF!</definedName>
    <definedName name="AggPlacementNames">#REF!</definedName>
    <definedName name="AggPlacementNamesCPM" localSheetId="6">#REF!</definedName>
    <definedName name="AggPlacementNamesCPM" localSheetId="9">#REF!</definedName>
    <definedName name="AggPlacementNamesCPM" localSheetId="10">#REF!</definedName>
    <definedName name="AggPlacementNamesCPM" localSheetId="0">#REF!</definedName>
    <definedName name="AggPlacementNamesCPM">#REF!</definedName>
    <definedName name="AggPlacementNamesOther" localSheetId="6">#REF!</definedName>
    <definedName name="AggPlacementNamesOther" localSheetId="9">#REF!</definedName>
    <definedName name="AggPlacementNamesOther" localSheetId="10">#REF!</definedName>
    <definedName name="AggPlacementNamesOther" localSheetId="0">#REF!</definedName>
    <definedName name="AggPlacementNamesOther">#REF!</definedName>
    <definedName name="AggPlacementTypeNames" localSheetId="6">#REF!</definedName>
    <definedName name="AggPlacementTypeNames" localSheetId="9">#REF!</definedName>
    <definedName name="AggPlacementTypeNames" localSheetId="10">#REF!</definedName>
    <definedName name="AggPlacementTypeNames" localSheetId="0">#REF!</definedName>
    <definedName name="AggPlacementTypeNames">#REF!</definedName>
    <definedName name="AggRichMediaTypeNames" localSheetId="6">#REF!</definedName>
    <definedName name="AggRichMediaTypeNames" localSheetId="9">#REF!</definedName>
    <definedName name="AggRichMediaTypeNames" localSheetId="10">#REF!</definedName>
    <definedName name="AggRichMediaTypeNames" localSheetId="0">#REF!</definedName>
    <definedName name="AggRichMediaTypeNames">#REF!</definedName>
    <definedName name="AggSiteGenreNames" localSheetId="6">#REF!</definedName>
    <definedName name="AggSiteGenreNames" localSheetId="9">#REF!</definedName>
    <definedName name="AggSiteGenreNames" localSheetId="10">#REF!</definedName>
    <definedName name="AggSiteGenreNames" localSheetId="0">#REF!</definedName>
    <definedName name="AggSiteGenreNames">#REF!</definedName>
    <definedName name="AggSiteGenreNamesCPM" localSheetId="6">#REF!</definedName>
    <definedName name="AggSiteGenreNamesCPM" localSheetId="9">#REF!</definedName>
    <definedName name="AggSiteGenreNamesCPM" localSheetId="10">#REF!</definedName>
    <definedName name="AggSiteGenreNamesCPM" localSheetId="0">#REF!</definedName>
    <definedName name="AggSiteGenreNamesCPM">#REF!</definedName>
    <definedName name="AggSiteGenreNamesOther" localSheetId="6">#REF!</definedName>
    <definedName name="AggSiteGenreNamesOther" localSheetId="9">#REF!</definedName>
    <definedName name="AggSiteGenreNamesOther" localSheetId="10">#REF!</definedName>
    <definedName name="AggSiteGenreNamesOther" localSheetId="0">#REF!</definedName>
    <definedName name="AggSiteGenreNamesOther">#REF!</definedName>
    <definedName name="AggSiteNames" localSheetId="6">#REF!</definedName>
    <definedName name="AggSiteNames" localSheetId="9">#REF!</definedName>
    <definedName name="AggSiteNames" localSheetId="10">#REF!</definedName>
    <definedName name="AggSiteNames" localSheetId="0">#REF!</definedName>
    <definedName name="AggSiteNames">#REF!</definedName>
    <definedName name="AggSiteNamesCPM" localSheetId="6">#REF!</definedName>
    <definedName name="AggSiteNamesCPM" localSheetId="9">#REF!</definedName>
    <definedName name="AggSiteNamesCPM" localSheetId="10">#REF!</definedName>
    <definedName name="AggSiteNamesCPM" localSheetId="0">#REF!</definedName>
    <definedName name="AggSiteNamesCPM">#REF!</definedName>
    <definedName name="AggSiteNamesOther" localSheetId="6">#REF!</definedName>
    <definedName name="AggSiteNamesOther" localSheetId="9">#REF!</definedName>
    <definedName name="AggSiteNamesOther" localSheetId="10">#REF!</definedName>
    <definedName name="AggSiteNamesOther" localSheetId="0">#REF!</definedName>
    <definedName name="AggSiteNamesOther">#REF!</definedName>
    <definedName name="Alt_Text" localSheetId="6">#REF!</definedName>
    <definedName name="Alt_Text" localSheetId="9">#REF!</definedName>
    <definedName name="Alt_Text" localSheetId="10">#REF!</definedName>
    <definedName name="Alt_Text" localSheetId="0">#REF!</definedName>
    <definedName name="Alt_Text">#REF!</definedName>
    <definedName name="_xlnm.Print_Area" localSheetId="0">'SOX - Q1 (2)'!$A$5:$P$75</definedName>
    <definedName name="_xlnm.Print_Area">#N/A</definedName>
    <definedName name="asd" localSheetId="0">'[1]Rich Media Options'!$E$14:$E$17</definedName>
    <definedName name="asd">'[1]Rich Media Options'!$E$14:$E$17</definedName>
    <definedName name="ASFCostMethodName" localSheetId="6">#REF!</definedName>
    <definedName name="ASFCostMethodName" localSheetId="9">#REF!</definedName>
    <definedName name="ASFCostMethodName" localSheetId="10">#REF!</definedName>
    <definedName name="ASFCostMethodName" localSheetId="0">#REF!</definedName>
    <definedName name="ASFCostMethodName">#REF!</definedName>
    <definedName name="AudVidInitiate">'[3]Rich Media Options'!$T$4:$T$9</definedName>
    <definedName name="AudVidIntitiat" localSheetId="0">'[1]Rich Media Options'!$T$4:$T$9</definedName>
    <definedName name="AudVidIntitiat">'[1]Rich Media Options'!$T$4:$T$9</definedName>
    <definedName name="BannerSize">'[3]Rich Media Options'!$H$4:$H$6</definedName>
    <definedName name="BFX_BRANDFX">60122</definedName>
    <definedName name="Branch_Code" localSheetId="6">#REF!</definedName>
    <definedName name="Branch_Code" localSheetId="9">#REF!</definedName>
    <definedName name="Branch_Code" localSheetId="10">#REF!</definedName>
    <definedName name="Branch_Code" localSheetId="0">#REF!</definedName>
    <definedName name="Branch_Code">#REF!</definedName>
    <definedName name="CalcAdservingFee" localSheetId="6">#REF!</definedName>
    <definedName name="CalcAdservingFee" localSheetId="9">#REF!</definedName>
    <definedName name="CalcAdservingFee" localSheetId="10">#REF!</definedName>
    <definedName name="CalcAdservingFee" localSheetId="0">#REF!</definedName>
    <definedName name="CalcAdservingFee">#REF!</definedName>
    <definedName name="CalcAdservingFeeCPM" localSheetId="6">#REF!</definedName>
    <definedName name="CalcAdservingFeeCPM" localSheetId="9">#REF!</definedName>
    <definedName name="CalcAdservingFeeCPM" localSheetId="10">#REF!</definedName>
    <definedName name="CalcAdservingFeeCPM" localSheetId="0">#REF!</definedName>
    <definedName name="CalcAdservingFeeCPM">#REF!</definedName>
    <definedName name="CalcAdservingFeeOther" localSheetId="6">#REF!</definedName>
    <definedName name="CalcAdservingFeeOther" localSheetId="9">#REF!</definedName>
    <definedName name="CalcAdservingFeeOther" localSheetId="10">#REF!</definedName>
    <definedName name="CalcAdservingFeeOther" localSheetId="0">#REF!</definedName>
    <definedName name="CalcAdservingFeeOther">#REF!</definedName>
    <definedName name="CalcEndDate" localSheetId="6">#REF!</definedName>
    <definedName name="CalcEndDate" localSheetId="9">#REF!</definedName>
    <definedName name="CalcEndDate" localSheetId="10">#REF!</definedName>
    <definedName name="CalcEndDate" localSheetId="0">#REF!</definedName>
    <definedName name="CalcEndDate">#REF!</definedName>
    <definedName name="CalcGrossAverageCostBasis" localSheetId="6">#REF!</definedName>
    <definedName name="CalcGrossAverageCostBasis" localSheetId="9">#REF!</definedName>
    <definedName name="CalcGrossAverageCostBasis" localSheetId="10">#REF!</definedName>
    <definedName name="CalcGrossAverageCostBasis" localSheetId="0">#REF!</definedName>
    <definedName name="CalcGrossAverageCostBasis">#REF!</definedName>
    <definedName name="CalcGrossAverageCostBasisCPM" localSheetId="6">#REF!</definedName>
    <definedName name="CalcGrossAverageCostBasisCPM" localSheetId="9">#REF!</definedName>
    <definedName name="CalcGrossAverageCostBasisCPM" localSheetId="10">#REF!</definedName>
    <definedName name="CalcGrossAverageCostBasisCPM" localSheetId="0">#REF!</definedName>
    <definedName name="CalcGrossAverageCostBasisCPM">#REF!</definedName>
    <definedName name="CalcGrossAverageCostBasisOther" localSheetId="6">#REF!</definedName>
    <definedName name="CalcGrossAverageCostBasisOther" localSheetId="9">#REF!</definedName>
    <definedName name="CalcGrossAverageCostBasisOther" localSheetId="10">#REF!</definedName>
    <definedName name="CalcGrossAverageCostBasisOther" localSheetId="0">#REF!</definedName>
    <definedName name="CalcGrossAverageCostBasisOther">#REF!</definedName>
    <definedName name="CalcGrossCostBasis" localSheetId="6">#REF!</definedName>
    <definedName name="CalcGrossCostBasis" localSheetId="9">#REF!</definedName>
    <definedName name="CalcGrossCostBasis" localSheetId="10">#REF!</definedName>
    <definedName name="CalcGrossCostBasis" localSheetId="0">#REF!</definedName>
    <definedName name="CalcGrossCostBasis">#REF!</definedName>
    <definedName name="CalcGrossMediaSpend" localSheetId="6">#REF!</definedName>
    <definedName name="CalcGrossMediaSpend" localSheetId="9">#REF!</definedName>
    <definedName name="CalcGrossMediaSpend" localSheetId="10">#REF!</definedName>
    <definedName name="CalcGrossMediaSpend" localSheetId="0">#REF!</definedName>
    <definedName name="CalcGrossMediaSpend">#REF!</definedName>
    <definedName name="CalcGrossMediaSpendCPM" localSheetId="6">#REF!</definedName>
    <definedName name="CalcGrossMediaSpendCPM" localSheetId="9">#REF!</definedName>
    <definedName name="CalcGrossMediaSpendCPM" localSheetId="10">#REF!</definedName>
    <definedName name="CalcGrossMediaSpendCPM" localSheetId="0">#REF!</definedName>
    <definedName name="CalcGrossMediaSpendCPM">#REF!</definedName>
    <definedName name="CalcGrossMediaSpendOther" localSheetId="6">#REF!</definedName>
    <definedName name="CalcGrossMediaSpendOther" localSheetId="9">#REF!</definedName>
    <definedName name="CalcGrossMediaSpendOther" localSheetId="10">#REF!</definedName>
    <definedName name="CalcGrossMediaSpendOther" localSheetId="0">#REF!</definedName>
    <definedName name="CalcGrossMediaSpendOther">#REF!</definedName>
    <definedName name="CalcGrossSpend" localSheetId="6">#REF!</definedName>
    <definedName name="CalcGrossSpend" localSheetId="9">#REF!</definedName>
    <definedName name="CalcGrossSpend" localSheetId="10">#REF!</definedName>
    <definedName name="CalcGrossSpend" localSheetId="0">#REF!</definedName>
    <definedName name="CalcGrossSpend">#REF!</definedName>
    <definedName name="CalcGrossSpendCPM" localSheetId="6">#REF!</definedName>
    <definedName name="CalcGrossSpendCPM" localSheetId="9">#REF!</definedName>
    <definedName name="CalcGrossSpendCPM" localSheetId="10">#REF!</definedName>
    <definedName name="CalcGrossSpendCPM" localSheetId="0">#REF!</definedName>
    <definedName name="CalcGrossSpendCPM">#REF!</definedName>
    <definedName name="CalcGrossSpendOther" localSheetId="6">#REF!</definedName>
    <definedName name="CalcGrossSpendOther" localSheetId="9">#REF!</definedName>
    <definedName name="CalcGrossSpendOther" localSheetId="10">#REF!</definedName>
    <definedName name="CalcGrossSpendOther" localSheetId="0">#REF!</definedName>
    <definedName name="CalcGrossSpendOther">#REF!</definedName>
    <definedName name="CalcIsValueAdd" localSheetId="6">#REF!</definedName>
    <definedName name="CalcIsValueAdd" localSheetId="9">#REF!</definedName>
    <definedName name="CalcIsValueAdd" localSheetId="10">#REF!</definedName>
    <definedName name="CalcIsValueAdd" localSheetId="0">#REF!</definedName>
    <definedName name="CalcIsValueAdd">#REF!</definedName>
    <definedName name="CalcIsValueAddCPM" localSheetId="6">#REF!</definedName>
    <definedName name="CalcIsValueAddCPM" localSheetId="9">#REF!</definedName>
    <definedName name="CalcIsValueAddCPM" localSheetId="10">#REF!</definedName>
    <definedName name="CalcIsValueAddCPM" localSheetId="0">#REF!</definedName>
    <definedName name="CalcIsValueAddCPM">#REF!</definedName>
    <definedName name="CalcIsValueAddOther" localSheetId="6">#REF!</definedName>
    <definedName name="CalcIsValueAddOther" localSheetId="9">#REF!</definedName>
    <definedName name="CalcIsValueAddOther" localSheetId="10">#REF!</definedName>
    <definedName name="CalcIsValueAddOther" localSheetId="0">#REF!</definedName>
    <definedName name="CalcIsValueAddOther">#REF!</definedName>
    <definedName name="CalcNetAverageCostBasis" localSheetId="6">#REF!</definedName>
    <definedName name="CalcNetAverageCostBasis" localSheetId="9">#REF!</definedName>
    <definedName name="CalcNetAverageCostBasis" localSheetId="10">#REF!</definedName>
    <definedName name="CalcNetAverageCostBasis" localSheetId="0">#REF!</definedName>
    <definedName name="CalcNetAverageCostBasis">#REF!</definedName>
    <definedName name="CalcNetAverageCostBasisCPM" localSheetId="6">#REF!</definedName>
    <definedName name="CalcNetAverageCostBasisCPM" localSheetId="9">#REF!</definedName>
    <definedName name="CalcNetAverageCostBasisCPM" localSheetId="10">#REF!</definedName>
    <definedName name="CalcNetAverageCostBasisCPM" localSheetId="0">#REF!</definedName>
    <definedName name="CalcNetAverageCostBasisCPM">#REF!</definedName>
    <definedName name="CalcNetAverageCostBasisOther" localSheetId="6">#REF!</definedName>
    <definedName name="CalcNetAverageCostBasisOther" localSheetId="9">#REF!</definedName>
    <definedName name="CalcNetAverageCostBasisOther" localSheetId="10">#REF!</definedName>
    <definedName name="CalcNetAverageCostBasisOther" localSheetId="0">#REF!</definedName>
    <definedName name="CalcNetAverageCostBasisOther">#REF!</definedName>
    <definedName name="CalcNetMediaSpend" localSheetId="6">#REF!</definedName>
    <definedName name="CalcNetMediaSpend" localSheetId="9">#REF!</definedName>
    <definedName name="CalcNetMediaSpend" localSheetId="10">#REF!</definedName>
    <definedName name="CalcNetMediaSpend" localSheetId="0">#REF!</definedName>
    <definedName name="CalcNetMediaSpend">#REF!</definedName>
    <definedName name="CalcNetMediaSpendCPM" localSheetId="6">#REF!</definedName>
    <definedName name="CalcNetMediaSpendCPM" localSheetId="9">#REF!</definedName>
    <definedName name="CalcNetMediaSpendCPM" localSheetId="10">#REF!</definedName>
    <definedName name="CalcNetMediaSpendCPM" localSheetId="0">#REF!</definedName>
    <definedName name="CalcNetMediaSpendCPM">#REF!</definedName>
    <definedName name="CalcNetMediaSpendOther" localSheetId="6">#REF!</definedName>
    <definedName name="CalcNetMediaSpendOther" localSheetId="9">#REF!</definedName>
    <definedName name="CalcNetMediaSpendOther" localSheetId="10">#REF!</definedName>
    <definedName name="CalcNetMediaSpendOther" localSheetId="0">#REF!</definedName>
    <definedName name="CalcNetMediaSpendOther">#REF!</definedName>
    <definedName name="CalcStartDate" localSheetId="6">#REF!</definedName>
    <definedName name="CalcStartDate" localSheetId="9">#REF!</definedName>
    <definedName name="CalcStartDate" localSheetId="10">#REF!</definedName>
    <definedName name="CalcStartDate" localSheetId="0">#REF!</definedName>
    <definedName name="CalcStartDate">#REF!</definedName>
    <definedName name="CalcTotalEstImpressions" localSheetId="6">#REF!</definedName>
    <definedName name="CalcTotalEstImpressions" localSheetId="9">#REF!</definedName>
    <definedName name="CalcTotalEstImpressions" localSheetId="10">#REF!</definedName>
    <definedName name="CalcTotalEstImpressions" localSheetId="0">#REF!</definedName>
    <definedName name="CalcTotalEstImpressions">#REF!</definedName>
    <definedName name="CalcTotalEstImpressionsCPM" localSheetId="6">#REF!</definedName>
    <definedName name="CalcTotalEstImpressionsCPM" localSheetId="9">#REF!</definedName>
    <definedName name="CalcTotalEstImpressionsCPM" localSheetId="10">#REF!</definedName>
    <definedName name="CalcTotalEstImpressionsCPM" localSheetId="0">#REF!</definedName>
    <definedName name="CalcTotalEstImpressionsCPM">#REF!</definedName>
    <definedName name="CalcTotalEstImpressionsOther" localSheetId="6">#REF!</definedName>
    <definedName name="CalcTotalEstImpressionsOther" localSheetId="9">#REF!</definedName>
    <definedName name="CalcTotalEstImpressionsOther" localSheetId="10">#REF!</definedName>
    <definedName name="CalcTotalEstImpressionsOther" localSheetId="0">#REF!</definedName>
    <definedName name="CalcTotalEstImpressionsOther">#REF!</definedName>
    <definedName name="CalcTotalQuantity" localSheetId="6">#REF!</definedName>
    <definedName name="CalcTotalQuantity" localSheetId="9">#REF!</definedName>
    <definedName name="CalcTotalQuantity" localSheetId="10">#REF!</definedName>
    <definedName name="CalcTotalQuantity" localSheetId="0">#REF!</definedName>
    <definedName name="CalcTotalQuantity">#REF!</definedName>
    <definedName name="CalcTotalQuantityCPM" localSheetId="6">#REF!</definedName>
    <definedName name="CalcTotalQuantityCPM" localSheetId="9">#REF!</definedName>
    <definedName name="CalcTotalQuantityCPM" localSheetId="10">#REF!</definedName>
    <definedName name="CalcTotalQuantityCPM" localSheetId="0">#REF!</definedName>
    <definedName name="CalcTotalQuantityCPM">#REF!</definedName>
    <definedName name="CalcTotalQuantityOther" localSheetId="6">#REF!</definedName>
    <definedName name="CalcTotalQuantityOther" localSheetId="9">#REF!</definedName>
    <definedName name="CalcTotalQuantityOther" localSheetId="10">#REF!</definedName>
    <definedName name="CalcTotalQuantityOther" localSheetId="0">#REF!</definedName>
    <definedName name="CalcTotalQuantityOther">#REF!</definedName>
    <definedName name="Channel" localSheetId="0">[2]Data!$CA$2:$CA$5</definedName>
    <definedName name="Channel">[2]Data!$CA$2:$CA$5</definedName>
    <definedName name="Click_Tag" localSheetId="6">#REF!</definedName>
    <definedName name="Click_Tag" localSheetId="9">#REF!</definedName>
    <definedName name="Click_Tag" localSheetId="10">#REF!</definedName>
    <definedName name="Click_Tag" localSheetId="0">#REF!</definedName>
    <definedName name="Click_Tag">#REF!</definedName>
    <definedName name="Clickthrough_URL" localSheetId="6">#REF!</definedName>
    <definedName name="Clickthrough_URL" localSheetId="9">#REF!</definedName>
    <definedName name="Clickthrough_URL" localSheetId="10">#REF!</definedName>
    <definedName name="Clickthrough_URL" localSheetId="0">#REF!</definedName>
    <definedName name="Clickthrough_URL">#REF!</definedName>
    <definedName name="CloseButton" localSheetId="0">'[1]Rich Media Options'!$P$4:$P$8</definedName>
    <definedName name="CloseButton">'[1]Rich Media Options'!$P$4:$P$8</definedName>
    <definedName name="CloseMethod" localSheetId="0">'[1]Rich Media Options'!$M$4:$M$7</definedName>
    <definedName name="CloseMethod">'[1]Rich Media Options'!$M$4:$M$7</definedName>
    <definedName name="CollapseSectionStart" localSheetId="6">#REF!</definedName>
    <definedName name="CollapseSectionStart" localSheetId="9">#REF!</definedName>
    <definedName name="CollapseSectionStart" localSheetId="10">#REF!</definedName>
    <definedName name="CollapseSectionStart" localSheetId="0">#REF!</definedName>
    <definedName name="CollapseSectionStart">#REF!</definedName>
    <definedName name="commission1" localSheetId="6">#REF!</definedName>
    <definedName name="commission1" localSheetId="9">#REF!</definedName>
    <definedName name="commission1" localSheetId="10">#REF!</definedName>
    <definedName name="commission1" localSheetId="0">#REF!</definedName>
    <definedName name="commission1">#REF!</definedName>
    <definedName name="ContentCategory" localSheetId="0">[2]Data!$AV$2:$AV$25</definedName>
    <definedName name="ContentCategory">[2]Data!$AV$2:$AV$25</definedName>
    <definedName name="Control" localSheetId="0">'[1]Rich Media Options'!$U$4:$U$7</definedName>
    <definedName name="Control">'[1]Rich Media Options'!$U$4:$U$7</definedName>
    <definedName name="CostBasis" localSheetId="6">#REF!</definedName>
    <definedName name="CostBasis" localSheetId="9">#REF!</definedName>
    <definedName name="CostBasis" localSheetId="10">#REF!</definedName>
    <definedName name="CostBasis" localSheetId="0">#REF!</definedName>
    <definedName name="CostBasis">#REF!</definedName>
    <definedName name="CostMethodName" localSheetId="6">#REF!</definedName>
    <definedName name="CostMethodName" localSheetId="9">#REF!</definedName>
    <definedName name="CostMethodName" localSheetId="10">#REF!</definedName>
    <definedName name="CostMethodName" localSheetId="0">#REF!</definedName>
    <definedName name="CostMethodName">#REF!</definedName>
    <definedName name="CostPackageName" localSheetId="6">#REF!</definedName>
    <definedName name="CostPackageName" localSheetId="9">#REF!</definedName>
    <definedName name="CostPackageName" localSheetId="10">#REF!</definedName>
    <definedName name="CostPackageName" localSheetId="0">#REF!</definedName>
    <definedName name="CostPackageName">#REF!</definedName>
    <definedName name="CPMRows" localSheetId="6">#REF!</definedName>
    <definedName name="CPMRows" localSheetId="9">#REF!</definedName>
    <definedName name="CPMRows" localSheetId="10">#REF!</definedName>
    <definedName name="CPMRows" localSheetId="0">#REF!</definedName>
    <definedName name="CPMRows">#REF!</definedName>
    <definedName name="CPMSubTotalRow" localSheetId="6">#REF!</definedName>
    <definedName name="CPMSubTotalRow" localSheetId="9">#REF!</definedName>
    <definedName name="CPMSubTotalRow" localSheetId="10">#REF!</definedName>
    <definedName name="CPMSubTotalRow" localSheetId="0">#REF!</definedName>
    <definedName name="CPMSubTotalRow">#REF!</definedName>
    <definedName name="Creative_Class" localSheetId="6">#REF!</definedName>
    <definedName name="Creative_Class" localSheetId="9">#REF!</definedName>
    <definedName name="Creative_Class" localSheetId="10">#REF!</definedName>
    <definedName name="Creative_Class" localSheetId="0">#REF!</definedName>
    <definedName name="Creative_Class">#REF!</definedName>
    <definedName name="Creative_Delivery_Method" localSheetId="6">#REF!</definedName>
    <definedName name="Creative_Delivery_Method" localSheetId="9">#REF!</definedName>
    <definedName name="Creative_Delivery_Method" localSheetId="10">#REF!</definedName>
    <definedName name="Creative_Delivery_Method" localSheetId="0">#REF!</definedName>
    <definedName name="Creative_Delivery_Method">#REF!</definedName>
    <definedName name="Creative_Description" localSheetId="6">#REF!</definedName>
    <definedName name="Creative_Description" localSheetId="9">#REF!</definedName>
    <definedName name="Creative_Description" localSheetId="10">#REF!</definedName>
    <definedName name="Creative_Description" localSheetId="0">#REF!</definedName>
    <definedName name="Creative_Description">#REF!</definedName>
    <definedName name="Creative_File_Location" localSheetId="6">#REF!</definedName>
    <definedName name="Creative_File_Location" localSheetId="9">#REF!</definedName>
    <definedName name="Creative_File_Location" localSheetId="10">#REF!</definedName>
    <definedName name="Creative_File_Location" localSheetId="0">#REF!</definedName>
    <definedName name="Creative_File_Location">#REF!</definedName>
    <definedName name="Creative_Height" localSheetId="6">#REF!</definedName>
    <definedName name="Creative_Height" localSheetId="9">#REF!</definedName>
    <definedName name="Creative_Height" localSheetId="10">#REF!</definedName>
    <definedName name="Creative_Height" localSheetId="0">#REF!</definedName>
    <definedName name="Creative_Height">#REF!</definedName>
    <definedName name="Creative_Media_Code" localSheetId="6">#REF!</definedName>
    <definedName name="Creative_Media_Code" localSheetId="9">#REF!</definedName>
    <definedName name="Creative_Media_Code" localSheetId="10">#REF!</definedName>
    <definedName name="Creative_Media_Code" localSheetId="0">#REF!</definedName>
    <definedName name="Creative_Media_Code">#REF!</definedName>
    <definedName name="Creative_Media_Code_Enabled" localSheetId="6">#REF!</definedName>
    <definedName name="Creative_Media_Code_Enabled" localSheetId="9">#REF!</definedName>
    <definedName name="Creative_Media_Code_Enabled" localSheetId="10">#REF!</definedName>
    <definedName name="Creative_Media_Code_Enabled" localSheetId="0">#REF!</definedName>
    <definedName name="Creative_Media_Code_Enabled">#REF!</definedName>
    <definedName name="Creative_Type" localSheetId="6">#REF!</definedName>
    <definedName name="Creative_Type" localSheetId="9">#REF!</definedName>
    <definedName name="Creative_Type" localSheetId="10">#REF!</definedName>
    <definedName name="Creative_Type" localSheetId="0">#REF!</definedName>
    <definedName name="Creative_Type">#REF!</definedName>
    <definedName name="Creative_Width" localSheetId="6">#REF!</definedName>
    <definedName name="Creative_Width" localSheetId="9">#REF!</definedName>
    <definedName name="Creative_Width" localSheetId="10">#REF!</definedName>
    <definedName name="Creative_Width" localSheetId="0">#REF!</definedName>
    <definedName name="Creative_Width">#REF!</definedName>
    <definedName name="CreativeFormat" localSheetId="0">[2]Data!$CI$2:$CI$5</definedName>
    <definedName name="CreativeFormat">[2]Data!$CI$2:$CI$5</definedName>
    <definedName name="Delivery_Method" localSheetId="6">#REF!</definedName>
    <definedName name="Delivery_Method" localSheetId="9">#REF!</definedName>
    <definedName name="Delivery_Method" localSheetId="10">#REF!</definedName>
    <definedName name="Delivery_Method" localSheetId="0">#REF!</definedName>
    <definedName name="Delivery_Method">#REF!</definedName>
    <definedName name="DetailFormat" localSheetId="6">#REF!</definedName>
    <definedName name="DetailFormat" localSheetId="9">#REF!</definedName>
    <definedName name="DetailFormat" localSheetId="10">#REF!</definedName>
    <definedName name="DetailFormat" localSheetId="0">#REF!</definedName>
    <definedName name="DetailFormat">#REF!</definedName>
    <definedName name="ElementTypeName" localSheetId="6">#REF!</definedName>
    <definedName name="ElementTypeName" localSheetId="9">#REF!</definedName>
    <definedName name="ElementTypeName" localSheetId="10">#REF!</definedName>
    <definedName name="ElementTypeName" localSheetId="0">#REF!</definedName>
    <definedName name="ElementTypeName">#REF!</definedName>
    <definedName name="End_Date" localSheetId="6">#REF!</definedName>
    <definedName name="End_Date" localSheetId="9">#REF!</definedName>
    <definedName name="End_Date" localSheetId="10">#REF!</definedName>
    <definedName name="End_Date" localSheetId="0">#REF!</definedName>
    <definedName name="End_Date">#REF!</definedName>
    <definedName name="EndDate" localSheetId="6">#REF!</definedName>
    <definedName name="EndDate" localSheetId="9">#REF!</definedName>
    <definedName name="EndDate" localSheetId="10">#REF!</definedName>
    <definedName name="EndDate" localSheetId="0">#REF!</definedName>
    <definedName name="EndDate">#REF!</definedName>
    <definedName name="EstImpressions" localSheetId="6">#REF!</definedName>
    <definedName name="EstImpressions" localSheetId="9">#REF!</definedName>
    <definedName name="EstImpressions" localSheetId="10">#REF!</definedName>
    <definedName name="EstImpressions" localSheetId="0">#REF!</definedName>
    <definedName name="EstImpressions">#REF!</definedName>
    <definedName name="Event_Description" localSheetId="6">#REF!</definedName>
    <definedName name="Event_Description" localSheetId="9">#REF!</definedName>
    <definedName name="Event_Description" localSheetId="10">#REF!</definedName>
    <definedName name="Event_Description" localSheetId="0">#REF!</definedName>
    <definedName name="Event_Description">#REF!</definedName>
    <definedName name="ExpandDirection" localSheetId="0">'[1]Rich Media Options'!$N$4:$N$6</definedName>
    <definedName name="ExpandDirection">'[1]Rich Media Options'!$N$4:$N$6</definedName>
    <definedName name="ExpandMethod">'[3]Rich Media Options'!$L$4:$L$7</definedName>
    <definedName name="File_Name" localSheetId="6">#REF!</definedName>
    <definedName name="File_Name" localSheetId="9">#REF!</definedName>
    <definedName name="File_Name" localSheetId="10">#REF!</definedName>
    <definedName name="File_Name" localSheetId="0">#REF!</definedName>
    <definedName name="File_Name">#REF!</definedName>
    <definedName name="File_Size_KB" localSheetId="6">#REF!</definedName>
    <definedName name="File_Size_KB" localSheetId="9">#REF!</definedName>
    <definedName name="File_Size_KB" localSheetId="10">#REF!</definedName>
    <definedName name="File_Size_KB" localSheetId="0">#REF!</definedName>
    <definedName name="File_Size_KB">#REF!</definedName>
    <definedName name="FirstCPMBuyRow" localSheetId="6">#REF!</definedName>
    <definedName name="FirstCPMBuyRow" localSheetId="9">#REF!</definedName>
    <definedName name="FirstCPMBuyRow" localSheetId="10">#REF!</definedName>
    <definedName name="FirstCPMBuyRow" localSheetId="0">#REF!</definedName>
    <definedName name="FirstCPMBuyRow">#REF!</definedName>
    <definedName name="FirstOtherCostMethodBuyRow" localSheetId="6">#REF!</definedName>
    <definedName name="FirstOtherCostMethodBuyRow" localSheetId="9">#REF!</definedName>
    <definedName name="FirstOtherCostMethodBuyRow" localSheetId="10">#REF!</definedName>
    <definedName name="FirstOtherCostMethodBuyRow" localSheetId="0">#REF!</definedName>
    <definedName name="FirstOtherCostMethodBuyRow">#REF!</definedName>
    <definedName name="FlashVrsn">'[3]Rich Media Options'!$F$4:$F$8</definedName>
    <definedName name="form1" localSheetId="6">#REF!</definedName>
    <definedName name="form1" localSheetId="9">#REF!</definedName>
    <definedName name="form1" localSheetId="10">#REF!</definedName>
    <definedName name="form1" localSheetId="0">#REF!</definedName>
    <definedName name="form1">#REF!</definedName>
    <definedName name="FormatRows" localSheetId="6">#REF!</definedName>
    <definedName name="FormatRows" localSheetId="9">#REF!</definedName>
    <definedName name="FormatRows" localSheetId="10">#REF!</definedName>
    <definedName name="FormatRows" localSheetId="0">#REF!</definedName>
    <definedName name="FormatRows">#REF!</definedName>
    <definedName name="fps">'[3]Rich Media Options'!$E$4:$E$7</definedName>
    <definedName name="g" localSheetId="6">#REF!</definedName>
    <definedName name="g" localSheetId="9">#REF!</definedName>
    <definedName name="g" localSheetId="10">#REF!</definedName>
    <definedName name="g" localSheetId="0">#REF!</definedName>
    <definedName name="g">#REF!</definedName>
    <definedName name="GrandTotalRow" localSheetId="6">#REF!</definedName>
    <definedName name="GrandTotalRow" localSheetId="9">#REF!</definedName>
    <definedName name="GrandTotalRow" localSheetId="10">#REF!</definedName>
    <definedName name="GrandTotalRow" localSheetId="0">#REF!</definedName>
    <definedName name="GrandTotalRow">#REF!</definedName>
    <definedName name="header.CalcEndDate" localSheetId="6">#REF!</definedName>
    <definedName name="header.CalcEndDate" localSheetId="9">#REF!</definedName>
    <definedName name="header.CalcEndDate" localSheetId="10">#REF!</definedName>
    <definedName name="header.CalcEndDate" localSheetId="0">#REF!</definedName>
    <definedName name="header.CalcEndDate">#REF!</definedName>
    <definedName name="header.CalcGrossSpend" localSheetId="6">#REF!</definedName>
    <definedName name="header.CalcGrossSpend" localSheetId="9">#REF!</definedName>
    <definedName name="header.CalcGrossSpend" localSheetId="10">#REF!</definedName>
    <definedName name="header.CalcGrossSpend" localSheetId="0">#REF!</definedName>
    <definedName name="header.CalcGrossSpend">#REF!</definedName>
    <definedName name="header.CalcStartDate" localSheetId="6">#REF!</definedName>
    <definedName name="header.CalcStartDate" localSheetId="9">#REF!</definedName>
    <definedName name="header.CalcStartDate" localSheetId="10">#REF!</definedName>
    <definedName name="header.CalcStartDate" localSheetId="0">#REF!</definedName>
    <definedName name="header.CalcStartDate">#REF!</definedName>
    <definedName name="header.ClientAdvertiser" localSheetId="6">#REF!</definedName>
    <definedName name="header.ClientAdvertiser" localSheetId="9">#REF!</definedName>
    <definedName name="header.ClientAdvertiser" localSheetId="10">#REF!</definedName>
    <definedName name="header.ClientAdvertiser" localSheetId="0">#REF!</definedName>
    <definedName name="header.ClientAdvertiser">#REF!</definedName>
    <definedName name="header.MediaPlanName" localSheetId="6">#REF!</definedName>
    <definedName name="header.MediaPlanName" localSheetId="9">#REF!</definedName>
    <definedName name="header.MediaPlanName" localSheetId="10">#REF!</definedName>
    <definedName name="header.MediaPlanName" localSheetId="0">#REF!</definedName>
    <definedName name="header.MediaPlanName">#REF!</definedName>
    <definedName name="header.MediaPlanNumber" localSheetId="6">#REF!</definedName>
    <definedName name="header.MediaPlanNumber" localSheetId="9">#REF!</definedName>
    <definedName name="header.MediaPlanNumber" localSheetId="10">#REF!</definedName>
    <definedName name="header.MediaPlanNumber" localSheetId="0">#REF!</definedName>
    <definedName name="header.MediaPlanNumber">#REF!</definedName>
    <definedName name="header.ProductName" localSheetId="6">#REF!</definedName>
    <definedName name="header.ProductName" localSheetId="9">#REF!</definedName>
    <definedName name="header.ProductName" localSheetId="10">#REF!</definedName>
    <definedName name="header.ProductName" localSheetId="0">#REF!</definedName>
    <definedName name="header.ProductName">#REF!</definedName>
    <definedName name="HotSpot" localSheetId="0">'[1]Rich Media Options'!$D$24:$D$28</definedName>
    <definedName name="HotSpot">'[1]Rich Media Options'!$D$24:$D$28</definedName>
    <definedName name="InitialSize">'[3]Rich Media Options'!$G$4:$G$6</definedName>
    <definedName name="IntAnimation" localSheetId="0">'[1]Rich Media Options'!$C$4:$C$7</definedName>
    <definedName name="IntAnimation">'[1]Rich Media Options'!$C$4:$C$7</definedName>
    <definedName name="InventoryCat" localSheetId="0">[2]Data!$CG$2:$CG$3</definedName>
    <definedName name="InventoryCat">[2]Data!$CG$2:$CG$3</definedName>
    <definedName name="InventoryPlcmnt" localSheetId="0">[2]Data!$CH$2:$CH$8</definedName>
    <definedName name="InventoryPlcmnt">[2]Data!$CH$2:$CH$8</definedName>
    <definedName name="IsStatic" localSheetId="6">#REF!</definedName>
    <definedName name="IsStatic" localSheetId="9">#REF!</definedName>
    <definedName name="IsStatic" localSheetId="10">#REF!</definedName>
    <definedName name="IsStatic" localSheetId="0">#REF!</definedName>
    <definedName name="IsStatic">#REF!</definedName>
    <definedName name="IsValueAdd" localSheetId="6">#REF!</definedName>
    <definedName name="IsValueAdd" localSheetId="9">#REF!</definedName>
    <definedName name="IsValueAdd" localSheetId="10">#REF!</definedName>
    <definedName name="IsValueAdd" localSheetId="0">#REF!</definedName>
    <definedName name="IsValueAdd">#REF!</definedName>
    <definedName name="k">'[4]Rich Media Options'!$U$4:$U$7</definedName>
    <definedName name="l">'[4]Rich Media Options'!$P$4:$P$8</definedName>
    <definedName name="LB" localSheetId="0">'[1]Rich Media Options'!$G$4:$G$6</definedName>
    <definedName name="LB">'[1]Rich Media Options'!$G$4:$G$6</definedName>
    <definedName name="LBCB" localSheetId="0">'[5]Rich Media Options'!$P$4:$P$8</definedName>
    <definedName name="LBCB">'[5]Rich Media Options'!$P$4:$P$8</definedName>
    <definedName name="LBHot" localSheetId="0">'[1]Rich Media Options'!$D$4:$D$8</definedName>
    <definedName name="LBHot">'[1]Rich Media Options'!$D$4:$D$8</definedName>
    <definedName name="LBPanel" localSheetId="0">'[1]Rich Media Options'!$J$4:$J$7</definedName>
    <definedName name="LBPanel">'[1]Rich Media Options'!$J$4:$J$7</definedName>
    <definedName name="LBPanels2" localSheetId="0">'[1]Rich Media Options'!$K$4:$K$6</definedName>
    <definedName name="LBPanels2">'[1]Rich Media Options'!$K$4:$K$6</definedName>
    <definedName name="Loop_Count" localSheetId="6">#REF!</definedName>
    <definedName name="Loop_Count" localSheetId="9">#REF!</definedName>
    <definedName name="Loop_Count" localSheetId="10">#REF!</definedName>
    <definedName name="Loop_Count" localSheetId="0">#REF!</definedName>
    <definedName name="Loop_Count">#REF!</definedName>
    <definedName name="Max_File_Size_KB" localSheetId="6">#REF!</definedName>
    <definedName name="Max_File_Size_KB" localSheetId="9">#REF!</definedName>
    <definedName name="Max_File_Size_KB" localSheetId="10">#REF!</definedName>
    <definedName name="Max_File_Size_KB" localSheetId="0">#REF!</definedName>
    <definedName name="Max_File_Size_KB">#REF!</definedName>
    <definedName name="Media_Plan_Name" localSheetId="6">#REF!</definedName>
    <definedName name="Media_Plan_Name" localSheetId="9">#REF!</definedName>
    <definedName name="Media_Plan_Name" localSheetId="10">#REF!</definedName>
    <definedName name="Media_Plan_Name" localSheetId="0">#REF!</definedName>
    <definedName name="Media_Plan_Name">#REF!</definedName>
    <definedName name="Media_Plan_Number" localSheetId="6">#REF!</definedName>
    <definedName name="Media_Plan_Number" localSheetId="9">#REF!</definedName>
    <definedName name="Media_Plan_Number" localSheetId="10">#REF!</definedName>
    <definedName name="Media_Plan_Number" localSheetId="0">#REF!</definedName>
    <definedName name="Media_Plan_Number">#REF!</definedName>
    <definedName name="Month" localSheetId="0">[2]Data!$K$2:$K$13</definedName>
    <definedName name="Month">[2]Data!$K$2:$K$13</definedName>
    <definedName name="monthcolumn.072007" localSheetId="6">#REF!</definedName>
    <definedName name="monthcolumn.072007" localSheetId="9">#REF!</definedName>
    <definedName name="monthcolumn.072007" localSheetId="10">#REF!</definedName>
    <definedName name="monthcolumn.072007" localSheetId="0">#REF!</definedName>
    <definedName name="monthcolumn.072007">#REF!</definedName>
    <definedName name="monthcolumn.082007" localSheetId="6">#REF!</definedName>
    <definedName name="monthcolumn.082007" localSheetId="9">#REF!</definedName>
    <definedName name="monthcolumn.082007" localSheetId="10">#REF!</definedName>
    <definedName name="monthcolumn.082007" localSheetId="0">#REF!</definedName>
    <definedName name="monthcolumn.082007">#REF!</definedName>
    <definedName name="monthcolumn.092007" localSheetId="6">#REF!</definedName>
    <definedName name="monthcolumn.092007" localSheetId="9">#REF!</definedName>
    <definedName name="monthcolumn.092007" localSheetId="10">#REF!</definedName>
    <definedName name="monthcolumn.092007" localSheetId="0">#REF!</definedName>
    <definedName name="monthcolumn.092007">#REF!</definedName>
    <definedName name="MonthDetailFormat" localSheetId="6">#REF!</definedName>
    <definedName name="MonthDetailFormat" localSheetId="9">#REF!</definedName>
    <definedName name="MonthDetailFormat" localSheetId="10">#REF!</definedName>
    <definedName name="MonthDetailFormat" localSheetId="0">#REF!</definedName>
    <definedName name="MonthDetailFormat">#REF!</definedName>
    <definedName name="MonthGrandTotalFormat" localSheetId="6">#REF!</definedName>
    <definedName name="MonthGrandTotalFormat" localSheetId="9">#REF!</definedName>
    <definedName name="MonthGrandTotalFormat" localSheetId="10">#REF!</definedName>
    <definedName name="MonthGrandTotalFormat" localSheetId="0">#REF!</definedName>
    <definedName name="MonthGrandTotalFormat">#REF!</definedName>
    <definedName name="MonthLabel1" localSheetId="6">#REF!</definedName>
    <definedName name="MonthLabel1" localSheetId="9">#REF!</definedName>
    <definedName name="MonthLabel1" localSheetId="10">#REF!</definedName>
    <definedName name="MonthLabel1" localSheetId="0">#REF!</definedName>
    <definedName name="MonthLabel1">#REF!</definedName>
    <definedName name="MonthParentFormat" localSheetId="6">#REF!</definedName>
    <definedName name="MonthParentFormat" localSheetId="9">#REF!</definedName>
    <definedName name="MonthParentFormat" localSheetId="10">#REF!</definedName>
    <definedName name="MonthParentFormat" localSheetId="0">#REF!</definedName>
    <definedName name="MonthParentFormat">#REF!</definedName>
    <definedName name="MonthSubtotalFormat" localSheetId="6">#REF!</definedName>
    <definedName name="MonthSubtotalFormat" localSheetId="9">#REF!</definedName>
    <definedName name="MonthSubtotalFormat" localSheetId="10">#REF!</definedName>
    <definedName name="MonthSubtotalFormat" localSheetId="0">#REF!</definedName>
    <definedName name="MonthSubtotalFormat">#REF!</definedName>
    <definedName name="NetCostBasis" localSheetId="6">#REF!</definedName>
    <definedName name="NetCostBasis" localSheetId="9">#REF!</definedName>
    <definedName name="NetCostBasis" localSheetId="10">#REF!</definedName>
    <definedName name="NetCostBasis" localSheetId="0">#REF!</definedName>
    <definedName name="NetCostBasis">#REF!</definedName>
    <definedName name="o">'[4]Rich Media Options'!$N$4:$N$6</definedName>
    <definedName name="Objective" localSheetId="0">[2]Data!$CE$2:$CE$8</definedName>
    <definedName name="Objective">[2]Data!$CE$2:$CE$8</definedName>
    <definedName name="OOH" localSheetId="6">#REF!</definedName>
    <definedName name="OOH" localSheetId="9">#REF!</definedName>
    <definedName name="OOH" localSheetId="10">#REF!</definedName>
    <definedName name="OOH" localSheetId="0">#REF!</definedName>
    <definedName name="OOH">#REF!</definedName>
    <definedName name="Other_Creative_Information" localSheetId="6">#REF!</definedName>
    <definedName name="Other_Creative_Information" localSheetId="9">#REF!</definedName>
    <definedName name="Other_Creative_Information" localSheetId="10">#REF!</definedName>
    <definedName name="Other_Creative_Information" localSheetId="0">#REF!</definedName>
    <definedName name="Other_Creative_Information">#REF!</definedName>
    <definedName name="OtherCostMethodRows" localSheetId="6">#REF!</definedName>
    <definedName name="OtherCostMethodRows" localSheetId="9">#REF!</definedName>
    <definedName name="OtherCostMethodRows" localSheetId="10">#REF!</definedName>
    <definedName name="OtherCostMethodRows" localSheetId="0">#REF!</definedName>
    <definedName name="OtherCostMethodRows">#REF!</definedName>
    <definedName name="OtherCostMethodSubTotalRow" localSheetId="6">#REF!</definedName>
    <definedName name="OtherCostMethodSubTotalRow" localSheetId="9">#REF!</definedName>
    <definedName name="OtherCostMethodSubTotalRow" localSheetId="10">#REF!</definedName>
    <definedName name="OtherCostMethodSubTotalRow" localSheetId="0">#REF!</definedName>
    <definedName name="OtherCostMethodSubTotalRow">#REF!</definedName>
    <definedName name="OutClause" localSheetId="6">#REF!</definedName>
    <definedName name="OutClause" localSheetId="9">#REF!</definedName>
    <definedName name="OutClause" localSheetId="10">#REF!</definedName>
    <definedName name="OutClause" localSheetId="0">#REF!</definedName>
    <definedName name="OutClause">#REF!</definedName>
    <definedName name="Package_Name" localSheetId="6">#REF!</definedName>
    <definedName name="Package_Name" localSheetId="9">#REF!</definedName>
    <definedName name="Package_Name" localSheetId="10">#REF!</definedName>
    <definedName name="Package_Name" localSheetId="0">#REF!</definedName>
    <definedName name="Package_Name">#REF!</definedName>
    <definedName name="ParentFormat" localSheetId="6">#REF!</definedName>
    <definedName name="ParentFormat" localSheetId="9">#REF!</definedName>
    <definedName name="ParentFormat" localSheetId="10">#REF!</definedName>
    <definedName name="ParentFormat" localSheetId="0">#REF!</definedName>
    <definedName name="ParentFormat">#REF!</definedName>
    <definedName name="Placement_GUID" localSheetId="6">#REF!</definedName>
    <definedName name="Placement_GUID" localSheetId="9">#REF!</definedName>
    <definedName name="Placement_GUID" localSheetId="10">#REF!</definedName>
    <definedName name="Placement_GUID" localSheetId="0">#REF!</definedName>
    <definedName name="Placement_GUID">#REF!</definedName>
    <definedName name="Placement_Height" localSheetId="6">#REF!</definedName>
    <definedName name="Placement_Height" localSheetId="9">#REF!</definedName>
    <definedName name="Placement_Height" localSheetId="10">#REF!</definedName>
    <definedName name="Placement_Height" localSheetId="0">#REF!</definedName>
    <definedName name="Placement_Height">#REF!</definedName>
    <definedName name="Placement_Media_Code" localSheetId="6">#REF!</definedName>
    <definedName name="Placement_Media_Code" localSheetId="9">#REF!</definedName>
    <definedName name="Placement_Media_Code" localSheetId="10">#REF!</definedName>
    <definedName name="Placement_Media_Code" localSheetId="0">#REF!</definedName>
    <definedName name="Placement_Media_Code">#REF!</definedName>
    <definedName name="Placement_Media_Code_Enabled" localSheetId="6">#REF!</definedName>
    <definedName name="Placement_Media_Code_Enabled" localSheetId="9">#REF!</definedName>
    <definedName name="Placement_Media_Code_Enabled" localSheetId="10">#REF!</definedName>
    <definedName name="Placement_Media_Code_Enabled" localSheetId="0">#REF!</definedName>
    <definedName name="Placement_Media_Code_Enabled">#REF!</definedName>
    <definedName name="Placement_Name" localSheetId="6">#REF!</definedName>
    <definedName name="Placement_Name" localSheetId="9">#REF!</definedName>
    <definedName name="Placement_Name" localSheetId="10">#REF!</definedName>
    <definedName name="Placement_Name" localSheetId="0">#REF!</definedName>
    <definedName name="Placement_Name">#REF!</definedName>
    <definedName name="Placement_Width" localSheetId="6">#REF!</definedName>
    <definedName name="Placement_Width" localSheetId="9">#REF!</definedName>
    <definedName name="Placement_Width" localSheetId="10">#REF!</definedName>
    <definedName name="Placement_Width" localSheetId="0">#REF!</definedName>
    <definedName name="Placement_Width">#REF!</definedName>
    <definedName name="PlacementName" localSheetId="6">#REF!</definedName>
    <definedName name="PlacementName" localSheetId="9">#REF!</definedName>
    <definedName name="PlacementName" localSheetId="10">#REF!</definedName>
    <definedName name="PlacementName" localSheetId="0">#REF!</definedName>
    <definedName name="PlacementName">#REF!</definedName>
    <definedName name="PlacementRule" localSheetId="0">[2]Data!$Y$2:$Y$4</definedName>
    <definedName name="PlacementRule">[2]Data!$Y$2:$Y$4</definedName>
    <definedName name="PlacementSubcategoryName" localSheetId="6">#REF!</definedName>
    <definedName name="PlacementSubcategoryName" localSheetId="9">#REF!</definedName>
    <definedName name="PlacementSubcategoryName" localSheetId="10">#REF!</definedName>
    <definedName name="PlacementSubcategoryName" localSheetId="0">#REF!</definedName>
    <definedName name="PlacementSubcategoryName">#REF!</definedName>
    <definedName name="PlacementTypeName" localSheetId="6">#REF!</definedName>
    <definedName name="PlacementTypeName" localSheetId="9">#REF!</definedName>
    <definedName name="PlacementTypeName" localSheetId="10">#REF!</definedName>
    <definedName name="PlacementTypeName" localSheetId="0">#REF!</definedName>
    <definedName name="PlacementTypeName">#REF!</definedName>
    <definedName name="PlacementURL" localSheetId="6">#REF!</definedName>
    <definedName name="PlacementURL" localSheetId="9">#REF!</definedName>
    <definedName name="PlacementURL" localSheetId="10">#REF!</definedName>
    <definedName name="PlacementURL" localSheetId="0">#REF!</definedName>
    <definedName name="PlacementURL">#REF!</definedName>
    <definedName name="PLAN_BRANDFX" localSheetId="6">#REF!</definedName>
    <definedName name="PLAN_BRANDFX" localSheetId="9">#REF!</definedName>
    <definedName name="PLAN_BRANDFX" localSheetId="10">#REF!</definedName>
    <definedName name="PLAN_BRANDFX" localSheetId="0">#REF!</definedName>
    <definedName name="PLAN_BRANDFX">#REF!</definedName>
    <definedName name="PlayTime" localSheetId="0">'[1]Rich Media Options'!$S$4:$S$9</definedName>
    <definedName name="PlayTime">'[1]Rich Media Options'!$S$4:$S$9</definedName>
    <definedName name="PoliteLoad">'[3]Rich Media Options'!$I$4:$I$5</definedName>
    <definedName name="PrimaryTargetDemo" localSheetId="0">[2]Data!$F$2:$F$23</definedName>
    <definedName name="PrimaryTargetDemo">[2]Data!$F$2:$F$23</definedName>
    <definedName name="ProductDescription" localSheetId="0">[2]Data!$A$2:$A$324</definedName>
    <definedName name="ProductDescription">[2]Data!$A$2:$A$324</definedName>
    <definedName name="Production_Email" localSheetId="6">#REF!</definedName>
    <definedName name="Production_Email" localSheetId="9">#REF!</definedName>
    <definedName name="Production_Email" localSheetId="10">#REF!</definedName>
    <definedName name="Production_Email" localSheetId="0">#REF!</definedName>
    <definedName name="Production_Email">#REF!</definedName>
    <definedName name="Production_Name" localSheetId="6">#REF!</definedName>
    <definedName name="Production_Name" localSheetId="9">#REF!</definedName>
    <definedName name="Production_Name" localSheetId="10">#REF!</definedName>
    <definedName name="Production_Name" localSheetId="0">#REF!</definedName>
    <definedName name="Production_Name">#REF!</definedName>
    <definedName name="Publisher" localSheetId="6">#REF!</definedName>
    <definedName name="Publisher" localSheetId="9">#REF!</definedName>
    <definedName name="Publisher" localSheetId="10">#REF!</definedName>
    <definedName name="Publisher" localSheetId="0">#REF!</definedName>
    <definedName name="Publisher">#REF!</definedName>
    <definedName name="Publisher_Name" localSheetId="6">#REF!</definedName>
    <definedName name="Publisher_Name" localSheetId="9">#REF!</definedName>
    <definedName name="Publisher_Name" localSheetId="10">#REF!</definedName>
    <definedName name="Publisher_Name" localSheetId="0">#REF!</definedName>
    <definedName name="Publisher_Name">#REF!</definedName>
    <definedName name="PublishingSiteName" localSheetId="6">#REF!</definedName>
    <definedName name="PublishingSiteName" localSheetId="9">#REF!</definedName>
    <definedName name="PublishingSiteName" localSheetId="10">#REF!</definedName>
    <definedName name="PublishingSiteName" localSheetId="0">#REF!</definedName>
    <definedName name="PublishingSiteName">#REF!</definedName>
    <definedName name="Quantity" localSheetId="6">#REF!</definedName>
    <definedName name="Quantity" localSheetId="9">#REF!</definedName>
    <definedName name="Quantity" localSheetId="10">#REF!</definedName>
    <definedName name="Quantity" localSheetId="0">#REF!</definedName>
    <definedName name="Quantity">#REF!</definedName>
    <definedName name="RateType" localSheetId="0">[2]Data!$W$2:$W$11</definedName>
    <definedName name="RateType">[2]Data!$W$2:$W$11</definedName>
    <definedName name="RPT_BRANDFX" localSheetId="6">#REF!</definedName>
    <definedName name="RPT_BRANDFX" localSheetId="9">#REF!</definedName>
    <definedName name="RPT_BRANDFX" localSheetId="10">#REF!</definedName>
    <definedName name="RPT_BRANDFX" localSheetId="0">#REF!</definedName>
    <definedName name="RPT_BRANDFX">#REF!</definedName>
    <definedName name="RPT_BRANDFX_1" localSheetId="6">#REF!</definedName>
    <definedName name="RPT_BRANDFX_1" localSheetId="9">#REF!</definedName>
    <definedName name="RPT_BRANDFX_1" localSheetId="10">#REF!</definedName>
    <definedName name="RPT_BRANDFX_1" localSheetId="0">#REF!</definedName>
    <definedName name="RPT_BRANDFX_1">#REF!</definedName>
    <definedName name="Sales_Email" localSheetId="6">#REF!</definedName>
    <definedName name="Sales_Email" localSheetId="9">#REF!</definedName>
    <definedName name="Sales_Email" localSheetId="10">#REF!</definedName>
    <definedName name="Sales_Email" localSheetId="0">#REF!</definedName>
    <definedName name="Sales_Email">#REF!</definedName>
    <definedName name="Sales_Name" localSheetId="6">#REF!</definedName>
    <definedName name="Sales_Name" localSheetId="9">#REF!</definedName>
    <definedName name="Sales_Name" localSheetId="10">#REF!</definedName>
    <definedName name="Sales_Name" localSheetId="0">#REF!</definedName>
    <definedName name="Sales_Name">#REF!</definedName>
    <definedName name="SecondaryTargetDemo" localSheetId="0">[2]Data!$H$2:$H$7</definedName>
    <definedName name="SecondaryTargetDemo">[2]Data!$H$2:$H$7</definedName>
    <definedName name="Sequence" localSheetId="6">#REF!</definedName>
    <definedName name="Sequence" localSheetId="9">#REF!</definedName>
    <definedName name="Sequence" localSheetId="10">#REF!</definedName>
    <definedName name="Sequence" localSheetId="0">#REF!</definedName>
    <definedName name="Sequence">#REF!</definedName>
    <definedName name="sf" localSheetId="6">#REF!</definedName>
    <definedName name="sf" localSheetId="9">#REF!</definedName>
    <definedName name="sf" localSheetId="10">#REF!</definedName>
    <definedName name="sf" localSheetId="0">#REF!</definedName>
    <definedName name="sf">#REF!</definedName>
    <definedName name="ShareOfVoice" localSheetId="0">[2]Data!$CC$2:$CC$24</definedName>
    <definedName name="ShareOfVoice">[2]Data!$CC$2:$CC$24</definedName>
    <definedName name="Site_Alias" localSheetId="6">#REF!</definedName>
    <definedName name="Site_Alias" localSheetId="9">#REF!</definedName>
    <definedName name="Site_Alias" localSheetId="10">#REF!</definedName>
    <definedName name="Site_Alias" localSheetId="0">#REF!</definedName>
    <definedName name="Site_Alias">#REF!</definedName>
    <definedName name="Site_Name" localSheetId="6">#REF!</definedName>
    <definedName name="Site_Name" localSheetId="9">#REF!</definedName>
    <definedName name="Site_Name" localSheetId="10">#REF!</definedName>
    <definedName name="Site_Name" localSheetId="0">#REF!</definedName>
    <definedName name="Site_Name">#REF!</definedName>
    <definedName name="SiteName" localSheetId="6">#REF!</definedName>
    <definedName name="SiteName" localSheetId="9">#REF!</definedName>
    <definedName name="SiteName" localSheetId="10">#REF!</definedName>
    <definedName name="SiteName" localSheetId="0">#REF!</definedName>
    <definedName name="SiteName">#REF!</definedName>
    <definedName name="SiteSubcategoryName" localSheetId="6">#REF!</definedName>
    <definedName name="SiteSubcategoryName" localSheetId="9">#REF!</definedName>
    <definedName name="SiteSubcategoryName" localSheetId="10">#REF!</definedName>
    <definedName name="SiteSubcategoryName" localSheetId="0">#REF!</definedName>
    <definedName name="SiteSubcategoryName">#REF!</definedName>
    <definedName name="SSPlayTime" localSheetId="0">'[6]Rich Media Options'!$S$24:$S$29</definedName>
    <definedName name="SSPlayTime">'[6]Rich Media Options'!$S$24:$S$29</definedName>
    <definedName name="SSVideoWeight" localSheetId="0">'[6]Rich Media Options'!$Q$24:$Q$26</definedName>
    <definedName name="SSVideoWeight">'[6]Rich Media Options'!$Q$24:$Q$26</definedName>
    <definedName name="Start_Date" localSheetId="6">#REF!</definedName>
    <definedName name="Start_Date" localSheetId="9">#REF!</definedName>
    <definedName name="Start_Date" localSheetId="10">#REF!</definedName>
    <definedName name="Start_Date" localSheetId="0">#REF!</definedName>
    <definedName name="Start_Date">#REF!</definedName>
    <definedName name="StartDate" localSheetId="6">#REF!</definedName>
    <definedName name="StartDate" localSheetId="9">#REF!</definedName>
    <definedName name="StartDate" localSheetId="10">#REF!</definedName>
    <definedName name="StartDate" localSheetId="0">#REF!</definedName>
    <definedName name="StartDate">#REF!</definedName>
    <definedName name="StatCountTypeName" localSheetId="6">#REF!</definedName>
    <definedName name="StatCountTypeName" localSheetId="9">#REF!</definedName>
    <definedName name="StatCountTypeName" localSheetId="10">#REF!</definedName>
    <definedName name="StatCountTypeName" localSheetId="0">#REF!</definedName>
    <definedName name="StatCountTypeName">#REF!</definedName>
    <definedName name="Static" localSheetId="6">#REF!</definedName>
    <definedName name="Static" localSheetId="9">#REF!</definedName>
    <definedName name="Static" localSheetId="10">#REF!</definedName>
    <definedName name="Static" localSheetId="0">#REF!</definedName>
    <definedName name="Static">#REF!</definedName>
    <definedName name="SubcategoryName" localSheetId="6">#REF!</definedName>
    <definedName name="SubcategoryName" localSheetId="9">#REF!</definedName>
    <definedName name="SubcategoryName" localSheetId="10">#REF!</definedName>
    <definedName name="SubcategoryName" localSheetId="0">#REF!</definedName>
    <definedName name="SubcategoryName">#REF!</definedName>
    <definedName name="SumEstImpressions" localSheetId="6">#REF!</definedName>
    <definedName name="SumEstImpressions" localSheetId="9">#REF!</definedName>
    <definedName name="SumEstImpressions" localSheetId="10">#REF!</definedName>
    <definedName name="SumEstImpressions" localSheetId="0">#REF!</definedName>
    <definedName name="SumEstImpressions">#REF!</definedName>
    <definedName name="SumQuantity" localSheetId="6">#REF!</definedName>
    <definedName name="SumQuantity" localSheetId="9">#REF!</definedName>
    <definedName name="SumQuantity" localSheetId="10">#REF!</definedName>
    <definedName name="SumQuantity" localSheetId="0">#REF!</definedName>
    <definedName name="SumQuantity">#REF!</definedName>
    <definedName name="TacticType" localSheetId="0">[2]Data!$P$2:$P$21</definedName>
    <definedName name="TacticType">[2]Data!$P$2:$P$21</definedName>
    <definedName name="Value_Add" localSheetId="6">#REF!</definedName>
    <definedName name="Value_Add" localSheetId="9">#REF!</definedName>
    <definedName name="Value_Add" localSheetId="10">#REF!</definedName>
    <definedName name="Value_Add" localSheetId="0">#REF!</definedName>
    <definedName name="Value_Add">#REF!</definedName>
    <definedName name="VidControls">'[3]Rich Media Options'!$U$4:$U$7</definedName>
    <definedName name="VideoAdServer" localSheetId="0">[2]Data!$AA$2:$AA$7</definedName>
    <definedName name="VideoAdServer">[2]Data!$AA$2:$AA$7</definedName>
    <definedName name="VideoLength" localSheetId="0">[2]Data!$R$2:$R$7</definedName>
    <definedName name="VideoLength">[2]Data!$R$2:$R$7</definedName>
    <definedName name="VideoWeight" localSheetId="0">'[1]Rich Media Options'!$Q$4:$Q$6</definedName>
    <definedName name="VideoWeight">'[1]Rich Media Options'!$Q$4:$Q$6</definedName>
    <definedName name="VisibleRangeFirstColumn" localSheetId="6">#REF!</definedName>
    <definedName name="VisibleRangeFirstColumn" localSheetId="9">#REF!</definedName>
    <definedName name="VisibleRangeFirstColumn" localSheetId="10">#REF!</definedName>
    <definedName name="VisibleRangeFirstColumn" localSheetId="0">#REF!</definedName>
    <definedName name="VisibleRangeFirstColumn">#REF!</definedName>
    <definedName name="Weight" localSheetId="6">#REF!</definedName>
    <definedName name="Weight" localSheetId="9">#REF!</definedName>
    <definedName name="Weight" localSheetId="10">#REF!</definedName>
    <definedName name="Weight" localSheetId="0">#REF!</definedName>
    <definedName name="Weight">#REF!</definedName>
    <definedName name="y">'[4]Rich Media Options'!$S$14:$S$19</definedName>
    <definedName name="Year" localSheetId="0">[2]Data!$J$2:$J$9</definedName>
    <definedName name="Year">[2]Data!$J$2:$J$9</definedName>
    <definedName name="YesNo" localSheetId="0">[2]Data!$Z$2:$Z$3</definedName>
    <definedName name="YesNo">[2]Data!$Z$2:$Z$3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33"/>
  <c r="L34" i="21"/>
  <c r="G20" i="5"/>
  <c r="G10"/>
  <c r="U20" i="7"/>
  <c r="T20"/>
  <c r="S20"/>
  <c r="P20"/>
  <c r="L20"/>
  <c r="T19"/>
  <c r="U19" s="1"/>
  <c r="S19"/>
  <c r="P19"/>
  <c r="L19"/>
  <c r="T18"/>
  <c r="U18" s="1"/>
  <c r="S18"/>
  <c r="R18"/>
  <c r="P18"/>
  <c r="L18"/>
  <c r="T17"/>
  <c r="U17" s="1"/>
  <c r="S17"/>
  <c r="R17" s="1"/>
  <c r="P17"/>
  <c r="L17"/>
  <c r="T16"/>
  <c r="U16" s="1"/>
  <c r="S16"/>
  <c r="P16"/>
  <c r="L16"/>
  <c r="R16" s="1"/>
  <c r="R20" l="1"/>
  <c r="R19"/>
  <c r="K35" i="34"/>
  <c r="M45" i="45"/>
  <c r="M44"/>
  <c r="M46" s="1"/>
  <c r="K37"/>
  <c r="M24"/>
  <c r="M25"/>
  <c r="M26"/>
  <c r="M27"/>
  <c r="M28"/>
  <c r="M29"/>
  <c r="M30"/>
  <c r="M31"/>
  <c r="M32"/>
  <c r="M33"/>
  <c r="M34"/>
  <c r="M35"/>
  <c r="M36"/>
  <c r="M23"/>
  <c r="J23"/>
  <c r="J25"/>
  <c r="H25"/>
  <c r="H23"/>
  <c r="L25" l="1"/>
  <c r="L23"/>
  <c r="M37"/>
  <c r="I16"/>
  <c r="J7" i="43" l="1"/>
  <c r="M7" s="1"/>
  <c r="K9" i="44" l="1"/>
  <c r="T9" s="1"/>
  <c r="U9" s="1"/>
  <c r="K7"/>
  <c r="T7" s="1"/>
  <c r="U7" s="1"/>
  <c r="K14"/>
  <c r="T14" s="1"/>
  <c r="U14" s="1"/>
  <c r="K13"/>
  <c r="S13" s="1"/>
  <c r="K12"/>
  <c r="T12" s="1"/>
  <c r="U12" s="1"/>
  <c r="K11"/>
  <c r="T11" s="1"/>
  <c r="K27" i="33"/>
  <c r="K8" i="34"/>
  <c r="P9" i="44" l="1"/>
  <c r="S9"/>
  <c r="I9"/>
  <c r="L9" s="1"/>
  <c r="P7"/>
  <c r="I7"/>
  <c r="S7"/>
  <c r="T13"/>
  <c r="U13" s="1"/>
  <c r="I13"/>
  <c r="G13" s="1"/>
  <c r="H13" s="1"/>
  <c r="P12"/>
  <c r="V14"/>
  <c r="P14"/>
  <c r="I14"/>
  <c r="S12"/>
  <c r="S14"/>
  <c r="I12"/>
  <c r="U11"/>
  <c r="I11"/>
  <c r="P11"/>
  <c r="S11"/>
  <c r="P13"/>
  <c r="K15"/>
  <c r="V13"/>
  <c r="G9" l="1"/>
  <c r="H9" s="1"/>
  <c r="U15"/>
  <c r="G7"/>
  <c r="H7" s="1"/>
  <c r="L7"/>
  <c r="L13"/>
  <c r="R13" s="1"/>
  <c r="I15"/>
  <c r="T15"/>
  <c r="S15"/>
  <c r="L14"/>
  <c r="R14" s="1"/>
  <c r="G14"/>
  <c r="H14" s="1"/>
  <c r="G12"/>
  <c r="H12" s="1"/>
  <c r="L12"/>
  <c r="R12" s="1"/>
  <c r="G11"/>
  <c r="H11" s="1"/>
  <c r="L11"/>
  <c r="P15"/>
  <c r="V12"/>
  <c r="R11" l="1"/>
  <c r="L15"/>
  <c r="V15"/>
  <c r="V11"/>
  <c r="T9" i="33" l="1"/>
  <c r="U9" s="1"/>
  <c r="S9"/>
  <c r="P9"/>
  <c r="I9"/>
  <c r="L9" s="1"/>
  <c r="T8"/>
  <c r="S8"/>
  <c r="P8"/>
  <c r="I8"/>
  <c r="S27" l="1"/>
  <c r="R9"/>
  <c r="P27"/>
  <c r="G8"/>
  <c r="H8" s="1"/>
  <c r="I27"/>
  <c r="U8"/>
  <c r="T27"/>
  <c r="G9"/>
  <c r="H9" s="1"/>
  <c r="L8"/>
  <c r="R8" l="1"/>
  <c r="L27"/>
  <c r="U27"/>
  <c r="T32" i="34" l="1"/>
  <c r="U32" s="1"/>
  <c r="Q32"/>
  <c r="S32" s="1"/>
  <c r="P32"/>
  <c r="I32"/>
  <c r="L32" s="1"/>
  <c r="R32" l="1"/>
  <c r="G32"/>
  <c r="H32" s="1"/>
  <c r="K33"/>
  <c r="F33" i="5" l="1"/>
  <c r="F16" i="43"/>
  <c r="AJ4" i="42" l="1"/>
  <c r="O29"/>
  <c r="O28"/>
  <c r="L29"/>
  <c r="L28"/>
  <c r="I29"/>
  <c r="I28"/>
  <c r="F29"/>
  <c r="F28"/>
  <c r="C29"/>
  <c r="C28"/>
  <c r="K29" i="21"/>
  <c r="K26"/>
  <c r="K23"/>
  <c r="K18"/>
  <c r="T31" i="34"/>
  <c r="U31" s="1"/>
  <c r="S31"/>
  <c r="P31"/>
  <c r="I31"/>
  <c r="G31" s="1"/>
  <c r="H31" s="1"/>
  <c r="T30"/>
  <c r="S30"/>
  <c r="P30"/>
  <c r="I30"/>
  <c r="G30" s="1"/>
  <c r="H30" s="1"/>
  <c r="K17"/>
  <c r="T16"/>
  <c r="U16" s="1"/>
  <c r="S16"/>
  <c r="P16"/>
  <c r="I16"/>
  <c r="L16" s="1"/>
  <c r="T15"/>
  <c r="U15" s="1"/>
  <c r="S15"/>
  <c r="P15"/>
  <c r="I15"/>
  <c r="L15" s="1"/>
  <c r="T14"/>
  <c r="U14" s="1"/>
  <c r="S14"/>
  <c r="P14"/>
  <c r="I14"/>
  <c r="G14" s="1"/>
  <c r="H14" s="1"/>
  <c r="K13"/>
  <c r="R12"/>
  <c r="P12"/>
  <c r="G12"/>
  <c r="T11"/>
  <c r="U11" s="1"/>
  <c r="S11"/>
  <c r="P11"/>
  <c r="I11"/>
  <c r="G11" s="1"/>
  <c r="H11" s="1"/>
  <c r="T10"/>
  <c r="U10" s="1"/>
  <c r="S10"/>
  <c r="P10"/>
  <c r="I10"/>
  <c r="G10" s="1"/>
  <c r="H10" s="1"/>
  <c r="T9"/>
  <c r="S9"/>
  <c r="P9"/>
  <c r="I9"/>
  <c r="T7"/>
  <c r="U7" s="1"/>
  <c r="S7"/>
  <c r="P7"/>
  <c r="I7"/>
  <c r="L7" s="1"/>
  <c r="T6"/>
  <c r="U6" s="1"/>
  <c r="S6"/>
  <c r="P6"/>
  <c r="I6"/>
  <c r="L6" s="1"/>
  <c r="T5"/>
  <c r="S5"/>
  <c r="P5"/>
  <c r="I5"/>
  <c r="L5" s="1"/>
  <c r="T11" i="7"/>
  <c r="U11" s="1"/>
  <c r="S11"/>
  <c r="P11"/>
  <c r="I11"/>
  <c r="L11" s="1"/>
  <c r="R11" s="1"/>
  <c r="T10"/>
  <c r="U10" s="1"/>
  <c r="V8" s="1"/>
  <c r="W8" s="1"/>
  <c r="S10"/>
  <c r="P10"/>
  <c r="I10"/>
  <c r="L10" s="1"/>
  <c r="R10" s="1"/>
  <c r="T9"/>
  <c r="U9" s="1"/>
  <c r="V9" s="1"/>
  <c r="S9"/>
  <c r="P9"/>
  <c r="I9"/>
  <c r="L9" s="1"/>
  <c r="T8"/>
  <c r="U8" s="1"/>
  <c r="S8"/>
  <c r="P8"/>
  <c r="I8"/>
  <c r="L8" s="1"/>
  <c r="T7"/>
  <c r="U7" s="1"/>
  <c r="V7" s="1"/>
  <c r="S7"/>
  <c r="P7"/>
  <c r="I7"/>
  <c r="L7" s="1"/>
  <c r="K25" i="33"/>
  <c r="K22"/>
  <c r="W15" i="9" s="1"/>
  <c r="T20" i="33"/>
  <c r="U20" s="1"/>
  <c r="S20"/>
  <c r="P20"/>
  <c r="I20"/>
  <c r="G20" s="1"/>
  <c r="H20" s="1"/>
  <c r="T19"/>
  <c r="S19"/>
  <c r="P19"/>
  <c r="I19"/>
  <c r="K18"/>
  <c r="T16"/>
  <c r="S16"/>
  <c r="P16"/>
  <c r="I16"/>
  <c r="G16" s="1"/>
  <c r="H16" s="1"/>
  <c r="T15"/>
  <c r="U15" s="1"/>
  <c r="S15"/>
  <c r="P15"/>
  <c r="I15"/>
  <c r="L15" s="1"/>
  <c r="K14"/>
  <c r="T12"/>
  <c r="U12" s="1"/>
  <c r="S12"/>
  <c r="P12"/>
  <c r="I12"/>
  <c r="G12" s="1"/>
  <c r="H12" s="1"/>
  <c r="T11"/>
  <c r="S11"/>
  <c r="P11"/>
  <c r="I11"/>
  <c r="G11" s="1"/>
  <c r="H11" s="1"/>
  <c r="K10"/>
  <c r="T7"/>
  <c r="U7" s="1"/>
  <c r="S7"/>
  <c r="P7"/>
  <c r="I7"/>
  <c r="G7" s="1"/>
  <c r="H7" s="1"/>
  <c r="T6"/>
  <c r="U6" s="1"/>
  <c r="S6"/>
  <c r="P6"/>
  <c r="I6"/>
  <c r="F36" i="43"/>
  <c r="F35"/>
  <c r="F31"/>
  <c r="S30"/>
  <c r="O30"/>
  <c r="L30"/>
  <c r="J30"/>
  <c r="M30" s="1"/>
  <c r="S29"/>
  <c r="O29"/>
  <c r="L29"/>
  <c r="J29"/>
  <c r="N29" s="1"/>
  <c r="S28"/>
  <c r="O28"/>
  <c r="L28"/>
  <c r="J28"/>
  <c r="M28" s="1"/>
  <c r="S27"/>
  <c r="O27"/>
  <c r="L27"/>
  <c r="J27"/>
  <c r="N27" s="1"/>
  <c r="F26"/>
  <c r="R11" i="9" s="1"/>
  <c r="S25" i="43"/>
  <c r="O25"/>
  <c r="L25"/>
  <c r="J25"/>
  <c r="N25" s="1"/>
  <c r="S24"/>
  <c r="O24"/>
  <c r="L24"/>
  <c r="J24"/>
  <c r="N24" s="1"/>
  <c r="S23"/>
  <c r="O23"/>
  <c r="L23"/>
  <c r="J23"/>
  <c r="N23" s="1"/>
  <c r="S22"/>
  <c r="S26" s="1"/>
  <c r="O22"/>
  <c r="L22"/>
  <c r="L26" s="1"/>
  <c r="J22"/>
  <c r="N22" s="1"/>
  <c r="F21"/>
  <c r="R9" i="9" s="1"/>
  <c r="S20" i="43"/>
  <c r="O20"/>
  <c r="L20"/>
  <c r="J20"/>
  <c r="M20" s="1"/>
  <c r="S19"/>
  <c r="O19"/>
  <c r="L19"/>
  <c r="J19"/>
  <c r="M19" s="1"/>
  <c r="S18"/>
  <c r="O18"/>
  <c r="L18"/>
  <c r="J18"/>
  <c r="N18" s="1"/>
  <c r="S17"/>
  <c r="O17"/>
  <c r="L17"/>
  <c r="L21" s="1"/>
  <c r="J17"/>
  <c r="J21" s="1"/>
  <c r="R8" i="9"/>
  <c r="S15" i="43"/>
  <c r="O15"/>
  <c r="N15"/>
  <c r="L15"/>
  <c r="J15"/>
  <c r="M15" s="1"/>
  <c r="S14"/>
  <c r="O14"/>
  <c r="L14"/>
  <c r="J14"/>
  <c r="N14" s="1"/>
  <c r="S13"/>
  <c r="O13"/>
  <c r="L13"/>
  <c r="J13"/>
  <c r="M13" s="1"/>
  <c r="S12"/>
  <c r="O12"/>
  <c r="L12"/>
  <c r="J12"/>
  <c r="M12" s="1"/>
  <c r="F11"/>
  <c r="R7" i="9" s="1"/>
  <c r="S10" i="43"/>
  <c r="O10"/>
  <c r="L10"/>
  <c r="J10"/>
  <c r="N10" s="1"/>
  <c r="S9"/>
  <c r="O9"/>
  <c r="L9"/>
  <c r="J9"/>
  <c r="M9" s="1"/>
  <c r="S8"/>
  <c r="O8"/>
  <c r="L8"/>
  <c r="J8"/>
  <c r="S7"/>
  <c r="O7"/>
  <c r="L7"/>
  <c r="N7"/>
  <c r="P7" s="1"/>
  <c r="N57" i="6"/>
  <c r="N56"/>
  <c r="W52"/>
  <c r="X52" s="1"/>
  <c r="I52"/>
  <c r="W51"/>
  <c r="X51" s="1"/>
  <c r="V51"/>
  <c r="S51"/>
  <c r="L51"/>
  <c r="O51" s="1"/>
  <c r="N50"/>
  <c r="W49"/>
  <c r="X49" s="1"/>
  <c r="V49"/>
  <c r="S49"/>
  <c r="L49"/>
  <c r="O49" s="1"/>
  <c r="W48"/>
  <c r="X48" s="1"/>
  <c r="V48"/>
  <c r="S48"/>
  <c r="L48"/>
  <c r="J48" s="1"/>
  <c r="K48" s="1"/>
  <c r="N47"/>
  <c r="W46"/>
  <c r="X46" s="1"/>
  <c r="V46"/>
  <c r="S46"/>
  <c r="L46"/>
  <c r="J46" s="1"/>
  <c r="I46"/>
  <c r="W45"/>
  <c r="V45"/>
  <c r="S45"/>
  <c r="L45"/>
  <c r="J45" s="1"/>
  <c r="K45" s="1"/>
  <c r="W44"/>
  <c r="X44" s="1"/>
  <c r="V44"/>
  <c r="S44"/>
  <c r="L44"/>
  <c r="O44" s="1"/>
  <c r="W43"/>
  <c r="X43" s="1"/>
  <c r="V43"/>
  <c r="S43"/>
  <c r="L43"/>
  <c r="J43" s="1"/>
  <c r="K43"/>
  <c r="N42"/>
  <c r="W41"/>
  <c r="X41" s="1"/>
  <c r="V41"/>
  <c r="S41"/>
  <c r="L41"/>
  <c r="J41" s="1"/>
  <c r="I41"/>
  <c r="W40"/>
  <c r="V40"/>
  <c r="V42" s="1"/>
  <c r="S40"/>
  <c r="L40"/>
  <c r="L42" s="1"/>
  <c r="N39"/>
  <c r="W38"/>
  <c r="V38"/>
  <c r="S38"/>
  <c r="L38"/>
  <c r="O38" s="1"/>
  <c r="I38"/>
  <c r="W37"/>
  <c r="X37" s="1"/>
  <c r="V37"/>
  <c r="S37"/>
  <c r="L37"/>
  <c r="J37" s="1"/>
  <c r="K37" s="1"/>
  <c r="N36"/>
  <c r="X35"/>
  <c r="W35"/>
  <c r="V35"/>
  <c r="S35"/>
  <c r="L35"/>
  <c r="J35" s="1"/>
  <c r="K35" s="1"/>
  <c r="W34"/>
  <c r="X34" s="1"/>
  <c r="V34"/>
  <c r="S34"/>
  <c r="L34"/>
  <c r="W33"/>
  <c r="V33"/>
  <c r="S33"/>
  <c r="L33"/>
  <c r="O33" s="1"/>
  <c r="N32"/>
  <c r="W31"/>
  <c r="X31" s="1"/>
  <c r="V31"/>
  <c r="S31"/>
  <c r="L31"/>
  <c r="O31" s="1"/>
  <c r="W30"/>
  <c r="X30" s="1"/>
  <c r="V30"/>
  <c r="S30"/>
  <c r="L30"/>
  <c r="J30" s="1"/>
  <c r="K30" s="1"/>
  <c r="W29"/>
  <c r="V29"/>
  <c r="S29"/>
  <c r="L29"/>
  <c r="J29" s="1"/>
  <c r="K29" s="1"/>
  <c r="N28"/>
  <c r="W27"/>
  <c r="X27" s="1"/>
  <c r="V27"/>
  <c r="S27"/>
  <c r="L27"/>
  <c r="J27" s="1"/>
  <c r="K27" s="1"/>
  <c r="W26"/>
  <c r="X26" s="1"/>
  <c r="V26"/>
  <c r="S26"/>
  <c r="L26"/>
  <c r="W25"/>
  <c r="V25"/>
  <c r="S25"/>
  <c r="L25"/>
  <c r="O25" s="1"/>
  <c r="N24"/>
  <c r="W23"/>
  <c r="X23" s="1"/>
  <c r="V23"/>
  <c r="S23"/>
  <c r="L23"/>
  <c r="O23" s="1"/>
  <c r="W22"/>
  <c r="X22" s="1"/>
  <c r="V22"/>
  <c r="S22"/>
  <c r="L22"/>
  <c r="J22" s="1"/>
  <c r="K22" s="1"/>
  <c r="W21"/>
  <c r="V21"/>
  <c r="S21"/>
  <c r="L21"/>
  <c r="J21" s="1"/>
  <c r="K21" s="1"/>
  <c r="N20"/>
  <c r="W19"/>
  <c r="X19" s="1"/>
  <c r="V19"/>
  <c r="S19"/>
  <c r="L19"/>
  <c r="J19" s="1"/>
  <c r="K19" s="1"/>
  <c r="W18"/>
  <c r="X18" s="1"/>
  <c r="V18"/>
  <c r="S18"/>
  <c r="L18"/>
  <c r="W17"/>
  <c r="V17"/>
  <c r="S17"/>
  <c r="L17"/>
  <c r="O17" s="1"/>
  <c r="N16"/>
  <c r="U15"/>
  <c r="S15"/>
  <c r="J15"/>
  <c r="W14"/>
  <c r="X14" s="1"/>
  <c r="V14"/>
  <c r="S14"/>
  <c r="L14"/>
  <c r="W13"/>
  <c r="X13" s="1"/>
  <c r="V13"/>
  <c r="S13"/>
  <c r="L13"/>
  <c r="J13" s="1"/>
  <c r="K13" s="1"/>
  <c r="W12"/>
  <c r="V12"/>
  <c r="S12"/>
  <c r="L12"/>
  <c r="W10"/>
  <c r="W57" s="1"/>
  <c r="T10"/>
  <c r="V10" s="1"/>
  <c r="V57" s="1"/>
  <c r="S10"/>
  <c r="S57" s="1"/>
  <c r="L10"/>
  <c r="J10" s="1"/>
  <c r="K10" s="1"/>
  <c r="T9"/>
  <c r="W8"/>
  <c r="X8" s="1"/>
  <c r="V8"/>
  <c r="S8"/>
  <c r="L8"/>
  <c r="O8" s="1"/>
  <c r="W7"/>
  <c r="X7" s="1"/>
  <c r="V7"/>
  <c r="S7"/>
  <c r="L7"/>
  <c r="W6"/>
  <c r="V6"/>
  <c r="S6"/>
  <c r="L6"/>
  <c r="O6" s="1"/>
  <c r="Y44"/>
  <c r="C44"/>
  <c r="D44" s="1"/>
  <c r="Y45"/>
  <c r="C45"/>
  <c r="D45" s="1"/>
  <c r="I13" i="34" l="1"/>
  <c r="O45" i="6"/>
  <c r="N26" i="43"/>
  <c r="L31" i="42" s="1"/>
  <c r="S28" i="6"/>
  <c r="J31"/>
  <c r="K31" s="1"/>
  <c r="O30"/>
  <c r="U30" s="1"/>
  <c r="W32"/>
  <c r="X50"/>
  <c r="V50"/>
  <c r="R15" i="9"/>
  <c r="F33" i="43"/>
  <c r="N8"/>
  <c r="J11"/>
  <c r="G11" s="1"/>
  <c r="M8"/>
  <c r="N28"/>
  <c r="P28" s="1"/>
  <c r="S31"/>
  <c r="R31" s="1"/>
  <c r="M29"/>
  <c r="Q29" s="1"/>
  <c r="O31"/>
  <c r="O33" s="1"/>
  <c r="N30"/>
  <c r="N31" s="1"/>
  <c r="N19"/>
  <c r="Q19" s="1"/>
  <c r="S21"/>
  <c r="R21" s="1"/>
  <c r="G6" i="34"/>
  <c r="H6" s="1"/>
  <c r="R6"/>
  <c r="G7"/>
  <c r="H7" s="1"/>
  <c r="T18" i="33"/>
  <c r="P10"/>
  <c r="S18"/>
  <c r="P8" i="34"/>
  <c r="G5"/>
  <c r="H5" s="1"/>
  <c r="T8"/>
  <c r="R15"/>
  <c r="S39" i="6"/>
  <c r="R9" i="7"/>
  <c r="J8" i="6"/>
  <c r="K8" s="1"/>
  <c r="J17"/>
  <c r="K17" s="1"/>
  <c r="U17"/>
  <c r="O22"/>
  <c r="U22" s="1"/>
  <c r="J23"/>
  <c r="K23" s="1"/>
  <c r="X29"/>
  <c r="X32" s="1"/>
  <c r="S32"/>
  <c r="J33"/>
  <c r="K33" s="1"/>
  <c r="V36"/>
  <c r="L36"/>
  <c r="J38"/>
  <c r="V39"/>
  <c r="K41"/>
  <c r="V47"/>
  <c r="J49"/>
  <c r="K49" s="1"/>
  <c r="W50"/>
  <c r="S11" i="43"/>
  <c r="R11" s="1"/>
  <c r="L36"/>
  <c r="K36" s="1"/>
  <c r="N20"/>
  <c r="Q20" s="1"/>
  <c r="L31"/>
  <c r="I10" i="33"/>
  <c r="G15"/>
  <c r="H15" s="1"/>
  <c r="L16"/>
  <c r="R16" s="1"/>
  <c r="S8" i="34"/>
  <c r="G15"/>
  <c r="H15" s="1"/>
  <c r="U8" i="6"/>
  <c r="U45"/>
  <c r="M10" i="43"/>
  <c r="N13"/>
  <c r="P13" s="1"/>
  <c r="N17"/>
  <c r="R26"/>
  <c r="M27"/>
  <c r="J31"/>
  <c r="G31" s="1"/>
  <c r="X10" i="6"/>
  <c r="L20"/>
  <c r="V32"/>
  <c r="K46"/>
  <c r="S50"/>
  <c r="L57"/>
  <c r="P15" i="43"/>
  <c r="O21"/>
  <c r="S10" i="33"/>
  <c r="P18"/>
  <c r="U5" i="34"/>
  <c r="U8" s="1"/>
  <c r="R7"/>
  <c r="P17"/>
  <c r="I22" i="33"/>
  <c r="S25"/>
  <c r="P22"/>
  <c r="T22"/>
  <c r="P25"/>
  <c r="U17" i="34"/>
  <c r="S17"/>
  <c r="G16"/>
  <c r="H16" s="1"/>
  <c r="R16"/>
  <c r="P33"/>
  <c r="T33"/>
  <c r="T13"/>
  <c r="P13"/>
  <c r="I35"/>
  <c r="G9"/>
  <c r="H9" s="1"/>
  <c r="L9"/>
  <c r="R9" s="1"/>
  <c r="S36" i="6"/>
  <c r="S20"/>
  <c r="O11" i="43"/>
  <c r="N9"/>
  <c r="Q9" s="1"/>
  <c r="R7" i="7"/>
  <c r="I25" i="33"/>
  <c r="T25"/>
  <c r="P14"/>
  <c r="T14"/>
  <c r="O13" i="6"/>
  <c r="U13" s="1"/>
  <c r="L16"/>
  <c r="J12"/>
  <c r="K12" s="1"/>
  <c r="V24"/>
  <c r="W24"/>
  <c r="V56"/>
  <c r="X56"/>
  <c r="S56"/>
  <c r="S16"/>
  <c r="W16"/>
  <c r="W56"/>
  <c r="V28"/>
  <c r="L56"/>
  <c r="J25"/>
  <c r="K25" s="1"/>
  <c r="L28"/>
  <c r="S24"/>
  <c r="O12"/>
  <c r="U12" s="1"/>
  <c r="X12"/>
  <c r="X16" s="1"/>
  <c r="J44"/>
  <c r="K44" s="1"/>
  <c r="U44"/>
  <c r="L47"/>
  <c r="J40"/>
  <c r="K40" s="1"/>
  <c r="S42"/>
  <c r="O40"/>
  <c r="J51"/>
  <c r="K51" s="1"/>
  <c r="U51"/>
  <c r="L52"/>
  <c r="O52" s="1"/>
  <c r="O53" s="1"/>
  <c r="S52"/>
  <c r="S53" s="1"/>
  <c r="O36" i="43"/>
  <c r="O16"/>
  <c r="J36"/>
  <c r="G36" s="1"/>
  <c r="S16"/>
  <c r="R16" s="1"/>
  <c r="S36"/>
  <c r="R36" s="1"/>
  <c r="M14"/>
  <c r="P14" s="1"/>
  <c r="O38"/>
  <c r="L16"/>
  <c r="N12"/>
  <c r="O35"/>
  <c r="J35"/>
  <c r="G35" s="1"/>
  <c r="J16"/>
  <c r="L35"/>
  <c r="R5" i="34"/>
  <c r="S13"/>
  <c r="T17"/>
  <c r="I33"/>
  <c r="I8"/>
  <c r="U9"/>
  <c r="U13" s="1"/>
  <c r="L10"/>
  <c r="R10" s="1"/>
  <c r="L30"/>
  <c r="S33"/>
  <c r="L11"/>
  <c r="R11" s="1"/>
  <c r="L14"/>
  <c r="I17"/>
  <c r="U30"/>
  <c r="L31"/>
  <c r="R31" s="1"/>
  <c r="R8" i="7"/>
  <c r="R15" i="33"/>
  <c r="T10"/>
  <c r="L6"/>
  <c r="R6" s="1"/>
  <c r="L11"/>
  <c r="R11" s="1"/>
  <c r="S14"/>
  <c r="U16"/>
  <c r="U18" s="1"/>
  <c r="L19"/>
  <c r="R19" s="1"/>
  <c r="S22"/>
  <c r="I14"/>
  <c r="G6"/>
  <c r="H6" s="1"/>
  <c r="L7"/>
  <c r="R7" s="1"/>
  <c r="U11"/>
  <c r="U14" s="1"/>
  <c r="L12"/>
  <c r="I18"/>
  <c r="G19"/>
  <c r="H19" s="1"/>
  <c r="U19"/>
  <c r="U22" s="1"/>
  <c r="L20"/>
  <c r="R20" s="1"/>
  <c r="P19" i="43"/>
  <c r="Q15"/>
  <c r="S35"/>
  <c r="Q27"/>
  <c r="L11"/>
  <c r="G21"/>
  <c r="M22"/>
  <c r="M23"/>
  <c r="M24"/>
  <c r="M25"/>
  <c r="J26"/>
  <c r="G26" s="1"/>
  <c r="O26"/>
  <c r="F38"/>
  <c r="M17"/>
  <c r="M18"/>
  <c r="W36" i="6"/>
  <c r="X33"/>
  <c r="X36" s="1"/>
  <c r="J7"/>
  <c r="K7" s="1"/>
  <c r="O7"/>
  <c r="U7" s="1"/>
  <c r="O26"/>
  <c r="U26" s="1"/>
  <c r="J26"/>
  <c r="K26" s="1"/>
  <c r="W42"/>
  <c r="X40"/>
  <c r="X42" s="1"/>
  <c r="X45"/>
  <c r="X47" s="1"/>
  <c r="W47"/>
  <c r="U6"/>
  <c r="V16"/>
  <c r="W20"/>
  <c r="X17"/>
  <c r="X20" s="1"/>
  <c r="U23"/>
  <c r="U31"/>
  <c r="U40"/>
  <c r="S47"/>
  <c r="W28"/>
  <c r="X25"/>
  <c r="X28" s="1"/>
  <c r="W39"/>
  <c r="X38"/>
  <c r="X39" s="1"/>
  <c r="J34"/>
  <c r="K34" s="1"/>
  <c r="O34"/>
  <c r="J6"/>
  <c r="K6" s="1"/>
  <c r="X6"/>
  <c r="O14"/>
  <c r="J14"/>
  <c r="K14" s="1"/>
  <c r="J18"/>
  <c r="K18" s="1"/>
  <c r="O18"/>
  <c r="U18" s="1"/>
  <c r="V20"/>
  <c r="U25"/>
  <c r="U33"/>
  <c r="K38"/>
  <c r="U49"/>
  <c r="L50"/>
  <c r="O10"/>
  <c r="O19"/>
  <c r="U19" s="1"/>
  <c r="O21"/>
  <c r="L24"/>
  <c r="O27"/>
  <c r="U27" s="1"/>
  <c r="O29"/>
  <c r="L32"/>
  <c r="O35"/>
  <c r="U35" s="1"/>
  <c r="O37"/>
  <c r="U38"/>
  <c r="L39"/>
  <c r="O41"/>
  <c r="U41" s="1"/>
  <c r="O43"/>
  <c r="O46"/>
  <c r="U46" s="1"/>
  <c r="O48"/>
  <c r="U48" s="1"/>
  <c r="V52"/>
  <c r="N53"/>
  <c r="X21"/>
  <c r="X24" s="1"/>
  <c r="X57" l="1"/>
  <c r="O20"/>
  <c r="Q8" i="43"/>
  <c r="U33" i="34"/>
  <c r="U3"/>
  <c r="P8" i="43"/>
  <c r="Q28"/>
  <c r="P30"/>
  <c r="N16"/>
  <c r="F31" i="42" s="1"/>
  <c r="N11" i="43"/>
  <c r="C31" i="42" s="1"/>
  <c r="O31"/>
  <c r="N33" i="43"/>
  <c r="Q13"/>
  <c r="P29"/>
  <c r="N21"/>
  <c r="I31" i="42" s="1"/>
  <c r="N36" i="43"/>
  <c r="Q30"/>
  <c r="P20"/>
  <c r="M36"/>
  <c r="Q12"/>
  <c r="J38"/>
  <c r="G38" s="1"/>
  <c r="L38"/>
  <c r="U10" i="33"/>
  <c r="L18"/>
  <c r="R18" s="1"/>
  <c r="L8" i="34"/>
  <c r="R8" s="1"/>
  <c r="O36" i="6"/>
  <c r="O42"/>
  <c r="L33" i="34"/>
  <c r="R33" s="1"/>
  <c r="U10" i="6"/>
  <c r="M31" i="43"/>
  <c r="P27"/>
  <c r="Q10"/>
  <c r="P10"/>
  <c r="U25" i="33"/>
  <c r="L53" i="6"/>
  <c r="L55" s="1"/>
  <c r="U34"/>
  <c r="P9" i="43"/>
  <c r="Q14"/>
  <c r="M16"/>
  <c r="F36" i="42" s="1"/>
  <c r="R12" i="33"/>
  <c r="L25"/>
  <c r="O16" i="6"/>
  <c r="J52"/>
  <c r="K52" s="1"/>
  <c r="N55"/>
  <c r="S55"/>
  <c r="S38" i="43"/>
  <c r="R38" s="1"/>
  <c r="K35"/>
  <c r="G16"/>
  <c r="N35"/>
  <c r="P12"/>
  <c r="P16" s="1"/>
  <c r="L17" i="34"/>
  <c r="R17" s="1"/>
  <c r="R14"/>
  <c r="L13"/>
  <c r="R13" s="1"/>
  <c r="R30"/>
  <c r="L14" i="33"/>
  <c r="R14" s="1"/>
  <c r="L22"/>
  <c r="R22" s="1"/>
  <c r="L10"/>
  <c r="R10" s="1"/>
  <c r="Q17" i="43"/>
  <c r="P17"/>
  <c r="M21"/>
  <c r="I36" i="42" s="1"/>
  <c r="P22" i="43"/>
  <c r="Q22"/>
  <c r="M26"/>
  <c r="L36" i="42" s="1"/>
  <c r="Q24" i="43"/>
  <c r="P24"/>
  <c r="R35"/>
  <c r="M11"/>
  <c r="C36" i="42" s="1"/>
  <c r="Q7" i="43"/>
  <c r="M35"/>
  <c r="Q25"/>
  <c r="P25"/>
  <c r="Q18"/>
  <c r="P18"/>
  <c r="P23"/>
  <c r="Q23"/>
  <c r="U21" i="6"/>
  <c r="O24"/>
  <c r="O32"/>
  <c r="U29"/>
  <c r="W53"/>
  <c r="O47"/>
  <c r="U43"/>
  <c r="O39"/>
  <c r="U37"/>
  <c r="U14"/>
  <c r="V53"/>
  <c r="U52"/>
  <c r="O50"/>
  <c r="U50" s="1"/>
  <c r="O28"/>
  <c r="Q31" i="43" l="1"/>
  <c r="Q33" s="1"/>
  <c r="N38"/>
  <c r="P31"/>
  <c r="J8" i="9"/>
  <c r="Q16" i="43"/>
  <c r="O36" i="42"/>
  <c r="M33" i="43"/>
  <c r="M38"/>
  <c r="Q36"/>
  <c r="P26"/>
  <c r="J11" i="9" s="1"/>
  <c r="X53" i="6"/>
  <c r="W55"/>
  <c r="V55"/>
  <c r="P36" i="43"/>
  <c r="P11"/>
  <c r="J7" i="9" s="1"/>
  <c r="P35" i="43"/>
  <c r="Q11"/>
  <c r="Q35"/>
  <c r="P21"/>
  <c r="J9" i="9" s="1"/>
  <c r="Q26" i="43"/>
  <c r="Q21"/>
  <c r="P32" l="1"/>
  <c r="J15" i="9"/>
  <c r="P33" i="43"/>
  <c r="Q38"/>
  <c r="Q32"/>
  <c r="X55" i="6"/>
  <c r="P38" i="43"/>
  <c r="K20" i="9" l="1"/>
  <c r="AP4" i="42"/>
  <c r="AP35"/>
  <c r="AP33"/>
  <c r="AP30"/>
  <c r="AP27"/>
  <c r="AP20"/>
  <c r="AP18"/>
  <c r="AP16"/>
  <c r="AP14"/>
  <c r="AP12"/>
  <c r="AM5"/>
  <c r="AM4"/>
  <c r="AM35"/>
  <c r="AM33"/>
  <c r="AM30"/>
  <c r="AM27"/>
  <c r="AM20"/>
  <c r="AM18"/>
  <c r="AM16"/>
  <c r="AM14"/>
  <c r="AM12"/>
  <c r="AJ5"/>
  <c r="AJ35"/>
  <c r="AJ33"/>
  <c r="AJ30"/>
  <c r="AJ27"/>
  <c r="AJ20"/>
  <c r="AJ18"/>
  <c r="AJ16"/>
  <c r="AJ14"/>
  <c r="AJ12"/>
  <c r="AG5"/>
  <c r="AG4"/>
  <c r="AG35"/>
  <c r="AG33"/>
  <c r="AG30"/>
  <c r="AG27"/>
  <c r="AG20"/>
  <c r="AG18"/>
  <c r="AG16"/>
  <c r="AG14"/>
  <c r="AG12"/>
  <c r="AD5"/>
  <c r="AD4"/>
  <c r="AD35"/>
  <c r="AD33"/>
  <c r="AD30"/>
  <c r="AD27"/>
  <c r="AD20"/>
  <c r="AD18"/>
  <c r="AD16"/>
  <c r="AD14"/>
  <c r="AD12"/>
  <c r="AA11"/>
  <c r="AA10" s="1"/>
  <c r="AA6"/>
  <c r="AA5"/>
  <c r="AA4"/>
  <c r="AA35"/>
  <c r="AA33"/>
  <c r="AA30"/>
  <c r="AA27"/>
  <c r="AA20"/>
  <c r="AA18"/>
  <c r="AA16"/>
  <c r="AA14"/>
  <c r="AA12"/>
  <c r="X15"/>
  <c r="X11"/>
  <c r="X10" s="1"/>
  <c r="X5"/>
  <c r="X6"/>
  <c r="X4"/>
  <c r="X35"/>
  <c r="X33"/>
  <c r="X30"/>
  <c r="X27"/>
  <c r="X20"/>
  <c r="X18"/>
  <c r="X16"/>
  <c r="X14"/>
  <c r="X12"/>
  <c r="U34"/>
  <c r="U33" s="1"/>
  <c r="U15"/>
  <c r="U14" s="1"/>
  <c r="U11"/>
  <c r="U10" s="1"/>
  <c r="U35"/>
  <c r="U30"/>
  <c r="U27"/>
  <c r="U20"/>
  <c r="U18"/>
  <c r="U16"/>
  <c r="U12"/>
  <c r="U3"/>
  <c r="R15"/>
  <c r="R14" s="1"/>
  <c r="R11"/>
  <c r="R10" s="1"/>
  <c r="R35"/>
  <c r="R33"/>
  <c r="R30"/>
  <c r="R27"/>
  <c r="R20"/>
  <c r="R18"/>
  <c r="R16"/>
  <c r="R12"/>
  <c r="R3"/>
  <c r="O27"/>
  <c r="O22"/>
  <c r="O21"/>
  <c r="O19"/>
  <c r="O18" s="1"/>
  <c r="O17"/>
  <c r="O16" s="1"/>
  <c r="O15"/>
  <c r="O14" s="1"/>
  <c r="O11"/>
  <c r="O10" s="1"/>
  <c r="O7"/>
  <c r="O6"/>
  <c r="O5"/>
  <c r="O4"/>
  <c r="O12"/>
  <c r="L35"/>
  <c r="L34"/>
  <c r="L33" s="1"/>
  <c r="L30"/>
  <c r="L27"/>
  <c r="L15"/>
  <c r="L14" s="1"/>
  <c r="L11"/>
  <c r="L10" s="1"/>
  <c r="L7"/>
  <c r="L6"/>
  <c r="L5"/>
  <c r="L4"/>
  <c r="L20"/>
  <c r="L18"/>
  <c r="L16"/>
  <c r="I34"/>
  <c r="I33" s="1"/>
  <c r="I22"/>
  <c r="I23"/>
  <c r="I24"/>
  <c r="I21"/>
  <c r="I19"/>
  <c r="I18" s="1"/>
  <c r="I17"/>
  <c r="I16" s="1"/>
  <c r="I15"/>
  <c r="I14" s="1"/>
  <c r="I11"/>
  <c r="I10" s="1"/>
  <c r="I7"/>
  <c r="I6"/>
  <c r="I5"/>
  <c r="I4"/>
  <c r="F34"/>
  <c r="F33" s="1"/>
  <c r="F22"/>
  <c r="F23"/>
  <c r="F24"/>
  <c r="F21"/>
  <c r="F19"/>
  <c r="F18" s="1"/>
  <c r="F17"/>
  <c r="F16" s="1"/>
  <c r="F15"/>
  <c r="F14" s="1"/>
  <c r="F11"/>
  <c r="F10" s="1"/>
  <c r="F7"/>
  <c r="F6"/>
  <c r="F5"/>
  <c r="F4"/>
  <c r="F12"/>
  <c r="C34"/>
  <c r="C33" s="1"/>
  <c r="C27"/>
  <c r="C22"/>
  <c r="C23"/>
  <c r="C24"/>
  <c r="C25"/>
  <c r="C26"/>
  <c r="C21"/>
  <c r="C15"/>
  <c r="C14" s="1"/>
  <c r="C11"/>
  <c r="C10" s="1"/>
  <c r="C9"/>
  <c r="C7"/>
  <c r="C5"/>
  <c r="C6"/>
  <c r="C4"/>
  <c r="U39" l="1"/>
  <c r="U38" s="1"/>
  <c r="U40" s="1"/>
  <c r="R39"/>
  <c r="R38" s="1"/>
  <c r="R40" s="1"/>
  <c r="C20"/>
  <c r="AM3"/>
  <c r="AG3"/>
  <c r="O20"/>
  <c r="AJ3"/>
  <c r="X3"/>
  <c r="X39" s="1"/>
  <c r="X38" s="1"/>
  <c r="X40" s="1"/>
  <c r="AA3"/>
  <c r="AA39" s="1"/>
  <c r="AA38" s="1"/>
  <c r="AA40" s="1"/>
  <c r="AD3"/>
  <c r="I20"/>
  <c r="I27"/>
  <c r="O3"/>
  <c r="L3"/>
  <c r="L39" s="1"/>
  <c r="L38" s="1"/>
  <c r="I3"/>
  <c r="F27"/>
  <c r="F20"/>
  <c r="F3"/>
  <c r="O15" i="9"/>
  <c r="C53" i="6"/>
  <c r="D53" s="1"/>
  <c r="C52"/>
  <c r="D52" s="1"/>
  <c r="C51"/>
  <c r="D51" s="1"/>
  <c r="C47"/>
  <c r="D47" s="1"/>
  <c r="C46"/>
  <c r="D46" s="1"/>
  <c r="C43"/>
  <c r="D43" s="1"/>
  <c r="C42"/>
  <c r="D42" s="1"/>
  <c r="C41"/>
  <c r="D41" s="1"/>
  <c r="C40"/>
  <c r="D40" s="1"/>
  <c r="C39"/>
  <c r="D39" s="1"/>
  <c r="C38"/>
  <c r="D38" s="1"/>
  <c r="C37"/>
  <c r="D37" s="1"/>
  <c r="Y43"/>
  <c r="Y46"/>
  <c r="Y37"/>
  <c r="Y38"/>
  <c r="F39" i="42" l="1"/>
  <c r="F38" s="1"/>
  <c r="I39"/>
  <c r="I38" s="1"/>
  <c r="W8" i="9"/>
  <c r="O8"/>
  <c r="C19" i="42" l="1"/>
  <c r="C18" s="1"/>
  <c r="W7" i="9" l="1"/>
  <c r="O7" l="1"/>
  <c r="G31" i="5" l="1"/>
  <c r="H31" s="1"/>
  <c r="G30"/>
  <c r="H30" s="1"/>
  <c r="H20" l="1"/>
  <c r="K20" s="1"/>
  <c r="G21"/>
  <c r="H21" s="1"/>
  <c r="K21" s="1"/>
  <c r="G22"/>
  <c r="H22" s="1"/>
  <c r="K22" s="1"/>
  <c r="C17" i="42"/>
  <c r="C16" s="1"/>
  <c r="H10" i="5"/>
  <c r="K10" s="1"/>
  <c r="G11"/>
  <c r="H11" s="1"/>
  <c r="K11" s="1"/>
  <c r="G12"/>
  <c r="H12" s="1"/>
  <c r="K12" s="1"/>
  <c r="C6" i="24" l="1"/>
  <c r="H6" s="1"/>
  <c r="M37" i="5" l="1"/>
  <c r="M35"/>
  <c r="M34"/>
  <c r="M38" l="1"/>
  <c r="F10" i="9" s="1"/>
  <c r="M9" i="24" l="1"/>
  <c r="E25" i="41"/>
  <c r="T12" i="9"/>
  <c r="T11"/>
  <c r="T8"/>
  <c r="T9"/>
  <c r="T7"/>
  <c r="L12"/>
  <c r="L11"/>
  <c r="L8"/>
  <c r="L9"/>
  <c r="L7"/>
  <c r="U13" i="7"/>
  <c r="T13"/>
  <c r="S13"/>
  <c r="P13"/>
  <c r="K13"/>
  <c r="I13"/>
  <c r="L13"/>
  <c r="T21" i="9" l="1"/>
  <c r="E42" i="41" s="1"/>
  <c r="L21" i="9"/>
  <c r="H42" i="41" s="1"/>
  <c r="L42" s="1"/>
  <c r="W9" i="9" l="1"/>
  <c r="W21" s="1"/>
  <c r="E43" i="41" s="1"/>
  <c r="S28" i="33"/>
  <c r="P28"/>
  <c r="X15" i="9"/>
  <c r="P15"/>
  <c r="K37" i="34"/>
  <c r="X9" i="9"/>
  <c r="X8"/>
  <c r="X7"/>
  <c r="T37" i="34"/>
  <c r="P37"/>
  <c r="L7" i="24"/>
  <c r="L8"/>
  <c r="L9"/>
  <c r="L10"/>
  <c r="L6"/>
  <c r="J7"/>
  <c r="J8"/>
  <c r="J9"/>
  <c r="J10"/>
  <c r="J6"/>
  <c r="P31" i="5"/>
  <c r="P30"/>
  <c r="P29"/>
  <c r="M55"/>
  <c r="M54"/>
  <c r="M53"/>
  <c r="M69"/>
  <c r="M68"/>
  <c r="M67"/>
  <c r="M65"/>
  <c r="M64"/>
  <c r="M62"/>
  <c r="M61"/>
  <c r="O59"/>
  <c r="O58"/>
  <c r="O57"/>
  <c r="O51"/>
  <c r="O50"/>
  <c r="O49"/>
  <c r="O48"/>
  <c r="O46"/>
  <c r="O45"/>
  <c r="O44"/>
  <c r="M59"/>
  <c r="M58"/>
  <c r="M57"/>
  <c r="M51"/>
  <c r="M50"/>
  <c r="M49"/>
  <c r="M48"/>
  <c r="M46"/>
  <c r="M45"/>
  <c r="M44"/>
  <c r="M42"/>
  <c r="M41"/>
  <c r="M40"/>
  <c r="M39"/>
  <c r="O42"/>
  <c r="O41"/>
  <c r="O40"/>
  <c r="O39"/>
  <c r="O34"/>
  <c r="M36"/>
  <c r="O37"/>
  <c r="O35"/>
  <c r="M32"/>
  <c r="M31"/>
  <c r="M30"/>
  <c r="M29"/>
  <c r="O32"/>
  <c r="O31"/>
  <c r="O30"/>
  <c r="O29"/>
  <c r="O27"/>
  <c r="O26"/>
  <c r="O25"/>
  <c r="O24"/>
  <c r="M27"/>
  <c r="M26"/>
  <c r="M25"/>
  <c r="M24"/>
  <c r="O22"/>
  <c r="N22" s="1"/>
  <c r="O21"/>
  <c r="O20"/>
  <c r="O19"/>
  <c r="M22"/>
  <c r="M21"/>
  <c r="M20"/>
  <c r="M19"/>
  <c r="O17"/>
  <c r="O16"/>
  <c r="O15"/>
  <c r="O14"/>
  <c r="M17"/>
  <c r="M16"/>
  <c r="M15"/>
  <c r="M14"/>
  <c r="M10"/>
  <c r="M11"/>
  <c r="M12"/>
  <c r="M73" s="1"/>
  <c r="M9"/>
  <c r="O9"/>
  <c r="M60" l="1"/>
  <c r="M43"/>
  <c r="M63"/>
  <c r="M66"/>
  <c r="M70"/>
  <c r="M56"/>
  <c r="M47"/>
  <c r="M52"/>
  <c r="F15" i="9" s="1"/>
  <c r="J12" i="24"/>
  <c r="M23" i="5"/>
  <c r="F9" i="9" s="1"/>
  <c r="M28" i="5"/>
  <c r="F12" i="9" s="1"/>
  <c r="O38" i="5"/>
  <c r="M33"/>
  <c r="F11" i="9" s="1"/>
  <c r="L13" i="42"/>
  <c r="L12" s="1"/>
  <c r="L40" s="1"/>
  <c r="I37" i="34"/>
  <c r="K28" i="33"/>
  <c r="L28"/>
  <c r="M72" i="5"/>
  <c r="M74" s="1"/>
  <c r="T35" i="34"/>
  <c r="I28" i="33"/>
  <c r="O9" i="9"/>
  <c r="O21" s="1"/>
  <c r="H43" i="41" s="1"/>
  <c r="L43" s="1"/>
  <c r="T28" i="33"/>
  <c r="U28"/>
  <c r="P35" i="34"/>
  <c r="X21" i="9"/>
  <c r="E44" i="41" s="1"/>
  <c r="S35" i="34"/>
  <c r="M18" i="5"/>
  <c r="F8" i="9" s="1"/>
  <c r="M13" i="5"/>
  <c r="U37" i="34"/>
  <c r="K38"/>
  <c r="S37"/>
  <c r="L37"/>
  <c r="P9" i="9" l="1"/>
  <c r="P8"/>
  <c r="U35" i="34"/>
  <c r="L35"/>
  <c r="P38"/>
  <c r="T38"/>
  <c r="I38"/>
  <c r="S38"/>
  <c r="U38" l="1"/>
  <c r="P7" i="9"/>
  <c r="P21" s="1"/>
  <c r="H44" i="41" s="1"/>
  <c r="L44" s="1"/>
  <c r="V15" i="9" l="1"/>
  <c r="V11"/>
  <c r="V9"/>
  <c r="V8"/>
  <c r="V7"/>
  <c r="S18"/>
  <c r="S16"/>
  <c r="R21" l="1"/>
  <c r="V21"/>
  <c r="E41" i="41" s="1"/>
  <c r="K34" i="21" l="1"/>
  <c r="K33"/>
  <c r="Q11" i="9"/>
  <c r="Q8"/>
  <c r="Q9"/>
  <c r="Q22" i="21"/>
  <c r="N22"/>
  <c r="H22"/>
  <c r="M22" s="1"/>
  <c r="Q21"/>
  <c r="N21"/>
  <c r="H21"/>
  <c r="M21" s="1"/>
  <c r="Q17"/>
  <c r="N17"/>
  <c r="H17"/>
  <c r="M17" s="1"/>
  <c r="Q16"/>
  <c r="N16"/>
  <c r="H16"/>
  <c r="M16" s="1"/>
  <c r="Q10"/>
  <c r="N10"/>
  <c r="H10"/>
  <c r="M10" s="1"/>
  <c r="Q9"/>
  <c r="N9"/>
  <c r="H9"/>
  <c r="M9" s="1"/>
  <c r="M34" l="1"/>
  <c r="N34"/>
  <c r="Q34"/>
  <c r="L17"/>
  <c r="P17" s="1"/>
  <c r="L21"/>
  <c r="P21" s="1"/>
  <c r="L9"/>
  <c r="L22"/>
  <c r="P22" s="1"/>
  <c r="L16"/>
  <c r="L10"/>
  <c r="P10" s="1"/>
  <c r="O21" l="1"/>
  <c r="O17"/>
  <c r="P9"/>
  <c r="O9"/>
  <c r="O22"/>
  <c r="P16"/>
  <c r="O16"/>
  <c r="O10"/>
  <c r="P34" l="1"/>
  <c r="O34"/>
  <c r="S15" i="9" l="1"/>
  <c r="S14"/>
  <c r="S11"/>
  <c r="S13"/>
  <c r="S9"/>
  <c r="F18"/>
  <c r="F16"/>
  <c r="Y30" i="6"/>
  <c r="S8" i="9"/>
  <c r="Y26" i="6"/>
  <c r="F13" i="9" l="1"/>
  <c r="F14"/>
  <c r="F19" l="1"/>
  <c r="F72" i="5" l="1"/>
  <c r="F13" l="1"/>
  <c r="P73"/>
  <c r="F73"/>
  <c r="F74" s="1"/>
  <c r="Q12"/>
  <c r="S12" s="1"/>
  <c r="U12"/>
  <c r="Q15" i="9"/>
  <c r="F70" i="5"/>
  <c r="F66"/>
  <c r="F63"/>
  <c r="F60"/>
  <c r="F56"/>
  <c r="F52"/>
  <c r="F47"/>
  <c r="F43"/>
  <c r="F38"/>
  <c r="F28"/>
  <c r="F23"/>
  <c r="F18"/>
  <c r="U10" i="9" l="1"/>
  <c r="AD11" i="42"/>
  <c r="AD10" s="1"/>
  <c r="AD39" s="1"/>
  <c r="AD38" s="1"/>
  <c r="AD40" s="1"/>
  <c r="U16" i="9"/>
  <c r="AP11" i="42"/>
  <c r="AP10" s="1"/>
  <c r="U20" i="9"/>
  <c r="U13"/>
  <c r="AG11" i="42"/>
  <c r="AG10" s="1"/>
  <c r="AG39" s="1"/>
  <c r="AG38" s="1"/>
  <c r="AG40" s="1"/>
  <c r="U17" i="9"/>
  <c r="U12"/>
  <c r="U14"/>
  <c r="AJ11" i="42"/>
  <c r="AJ10" s="1"/>
  <c r="AJ39" s="1"/>
  <c r="AJ38" s="1"/>
  <c r="AJ40" s="1"/>
  <c r="U18" i="9"/>
  <c r="U15"/>
  <c r="AM11" i="42"/>
  <c r="AM10" s="1"/>
  <c r="AM39" s="1"/>
  <c r="AM38" s="1"/>
  <c r="AM40" s="1"/>
  <c r="U19" i="9"/>
  <c r="U9"/>
  <c r="U8"/>
  <c r="U7"/>
  <c r="U11"/>
  <c r="S19"/>
  <c r="D12" i="24"/>
  <c r="N7"/>
  <c r="O7" s="1"/>
  <c r="N8" i="9" s="1"/>
  <c r="N8" i="24"/>
  <c r="N9"/>
  <c r="O9" s="1"/>
  <c r="N10"/>
  <c r="O10" s="1"/>
  <c r="N6"/>
  <c r="M6"/>
  <c r="H7"/>
  <c r="H8"/>
  <c r="H9"/>
  <c r="H10"/>
  <c r="R74" i="5"/>
  <c r="Q65"/>
  <c r="S65" s="1"/>
  <c r="Q69"/>
  <c r="S69" s="1"/>
  <c r="Q68"/>
  <c r="S68" s="1"/>
  <c r="Q67"/>
  <c r="Q64"/>
  <c r="Q62"/>
  <c r="S62" s="1"/>
  <c r="Q61"/>
  <c r="S61" s="1"/>
  <c r="Q59"/>
  <c r="S59" s="1"/>
  <c r="Q58"/>
  <c r="S58" s="1"/>
  <c r="Q57"/>
  <c r="Q55"/>
  <c r="S55" s="1"/>
  <c r="Q54"/>
  <c r="S54" s="1"/>
  <c r="Q53"/>
  <c r="Q51"/>
  <c r="Q50"/>
  <c r="S50" s="1"/>
  <c r="Q49"/>
  <c r="S49" s="1"/>
  <c r="Q48"/>
  <c r="S48" s="1"/>
  <c r="Q46"/>
  <c r="S46" s="1"/>
  <c r="Q45"/>
  <c r="S45" s="1"/>
  <c r="Q44"/>
  <c r="S44" s="1"/>
  <c r="Q42"/>
  <c r="S42" s="1"/>
  <c r="Q41"/>
  <c r="S41" s="1"/>
  <c r="Q40"/>
  <c r="S40" s="1"/>
  <c r="Q39"/>
  <c r="S39" s="1"/>
  <c r="Q37"/>
  <c r="S37" s="1"/>
  <c r="Q36"/>
  <c r="S36" s="1"/>
  <c r="Q35"/>
  <c r="S35" s="1"/>
  <c r="Q34"/>
  <c r="S34" s="1"/>
  <c r="Q32"/>
  <c r="S32" s="1"/>
  <c r="Q31"/>
  <c r="S31" s="1"/>
  <c r="Q30"/>
  <c r="S30" s="1"/>
  <c r="Q29"/>
  <c r="S29" s="1"/>
  <c r="Q27"/>
  <c r="S27" s="1"/>
  <c r="Q26"/>
  <c r="Q25"/>
  <c r="Q24"/>
  <c r="Q22"/>
  <c r="S22" s="1"/>
  <c r="Q21"/>
  <c r="Q20"/>
  <c r="Q19"/>
  <c r="Q17"/>
  <c r="Q16"/>
  <c r="S16" s="1"/>
  <c r="Q15"/>
  <c r="S15" s="1"/>
  <c r="Q14"/>
  <c r="Q11"/>
  <c r="Q10"/>
  <c r="H69"/>
  <c r="H68"/>
  <c r="G68" s="1"/>
  <c r="I68" s="1"/>
  <c r="H67"/>
  <c r="G67" s="1"/>
  <c r="I67" s="1"/>
  <c r="H65"/>
  <c r="H64"/>
  <c r="H62"/>
  <c r="H61"/>
  <c r="H59"/>
  <c r="H58"/>
  <c r="H57"/>
  <c r="H55"/>
  <c r="H54"/>
  <c r="G54" s="1"/>
  <c r="I54" s="1"/>
  <c r="H53"/>
  <c r="G53" s="1"/>
  <c r="I53" s="1"/>
  <c r="H51"/>
  <c r="H50"/>
  <c r="H49"/>
  <c r="H48"/>
  <c r="H46"/>
  <c r="H45"/>
  <c r="N45" s="1"/>
  <c r="H44"/>
  <c r="N44" s="1"/>
  <c r="H42"/>
  <c r="N42" s="1"/>
  <c r="H41"/>
  <c r="N41" s="1"/>
  <c r="H40"/>
  <c r="N40" s="1"/>
  <c r="H39"/>
  <c r="N39" s="1"/>
  <c r="H37"/>
  <c r="N37" s="1"/>
  <c r="H36"/>
  <c r="H35"/>
  <c r="N35" s="1"/>
  <c r="H34"/>
  <c r="H32"/>
  <c r="N32" s="1"/>
  <c r="N31"/>
  <c r="H27"/>
  <c r="N27" s="1"/>
  <c r="H26"/>
  <c r="N26" s="1"/>
  <c r="H25"/>
  <c r="N25" s="1"/>
  <c r="H24"/>
  <c r="N24" s="1"/>
  <c r="N21"/>
  <c r="N20"/>
  <c r="H17"/>
  <c r="N17" s="1"/>
  <c r="H16"/>
  <c r="N16" s="1"/>
  <c r="H15"/>
  <c r="N15" s="1"/>
  <c r="H14"/>
  <c r="N14" s="1"/>
  <c r="H38" l="1"/>
  <c r="N34"/>
  <c r="G46"/>
  <c r="I46" s="1"/>
  <c r="N46"/>
  <c r="N15" i="9"/>
  <c r="U21"/>
  <c r="E39" i="41" s="1"/>
  <c r="N11" i="9"/>
  <c r="N30" i="5"/>
  <c r="S33"/>
  <c r="M11" i="9" s="1"/>
  <c r="S43" i="5"/>
  <c r="S63"/>
  <c r="C7" i="24"/>
  <c r="C8"/>
  <c r="E8" s="1"/>
  <c r="S51" i="5"/>
  <c r="S52" s="1"/>
  <c r="M15" i="9" s="1"/>
  <c r="Q73" i="5"/>
  <c r="C9" i="24"/>
  <c r="H73" i="5"/>
  <c r="S47"/>
  <c r="N12" i="24"/>
  <c r="G48" i="5"/>
  <c r="I48" s="1"/>
  <c r="G51"/>
  <c r="I51" s="1"/>
  <c r="G55"/>
  <c r="I55" s="1"/>
  <c r="G61"/>
  <c r="I61" s="1"/>
  <c r="G69"/>
  <c r="I69" s="1"/>
  <c r="Q52"/>
  <c r="Q56"/>
  <c r="S53"/>
  <c r="Q60"/>
  <c r="S57"/>
  <c r="S60" s="1"/>
  <c r="Q66"/>
  <c r="S64"/>
  <c r="Q70"/>
  <c r="S67"/>
  <c r="S70" s="1"/>
  <c r="H12" i="24"/>
  <c r="C10"/>
  <c r="O6"/>
  <c r="G64" i="5"/>
  <c r="I64" s="1"/>
  <c r="G65"/>
  <c r="I65" s="1"/>
  <c r="G62"/>
  <c r="I62" s="1"/>
  <c r="G58"/>
  <c r="I58" s="1"/>
  <c r="G59"/>
  <c r="I59" s="1"/>
  <c r="G57"/>
  <c r="I57" s="1"/>
  <c r="G49"/>
  <c r="I49" s="1"/>
  <c r="G50"/>
  <c r="I50" s="1"/>
  <c r="G45"/>
  <c r="I45" s="1"/>
  <c r="G44"/>
  <c r="I44" s="1"/>
  <c r="G42"/>
  <c r="I42" s="1"/>
  <c r="G40"/>
  <c r="I40" s="1"/>
  <c r="G41"/>
  <c r="I41" s="1"/>
  <c r="G39"/>
  <c r="I39" s="1"/>
  <c r="G35"/>
  <c r="I35" s="1"/>
  <c r="G36"/>
  <c r="I36" s="1"/>
  <c r="G37"/>
  <c r="I37" s="1"/>
  <c r="G34"/>
  <c r="I34" s="1"/>
  <c r="G32"/>
  <c r="I32" s="1"/>
  <c r="G25"/>
  <c r="I25" s="1"/>
  <c r="G26"/>
  <c r="I26" s="1"/>
  <c r="G27"/>
  <c r="I27" s="1"/>
  <c r="G24"/>
  <c r="I24" s="1"/>
  <c r="S17"/>
  <c r="G16"/>
  <c r="I16" s="1"/>
  <c r="G17"/>
  <c r="I17" s="1"/>
  <c r="S14"/>
  <c r="G14"/>
  <c r="I14" s="1"/>
  <c r="G15"/>
  <c r="I15" s="1"/>
  <c r="M14" i="9" l="1"/>
  <c r="M18"/>
  <c r="M20"/>
  <c r="M17"/>
  <c r="M13"/>
  <c r="E10" i="24"/>
  <c r="E7"/>
  <c r="N7" i="9"/>
  <c r="C12" i="24"/>
  <c r="S18" i="5"/>
  <c r="M8" i="9" s="1"/>
  <c r="S73" i="5"/>
  <c r="G73"/>
  <c r="Q28" i="21" l="1"/>
  <c r="N28"/>
  <c r="H28"/>
  <c r="M28" s="1"/>
  <c r="Q27"/>
  <c r="N27"/>
  <c r="H27"/>
  <c r="M27" s="1"/>
  <c r="Q20"/>
  <c r="M29" l="1"/>
  <c r="N29"/>
  <c r="Q29"/>
  <c r="L28"/>
  <c r="P28" s="1"/>
  <c r="L27"/>
  <c r="L29" l="1"/>
  <c r="P27"/>
  <c r="O28"/>
  <c r="O27"/>
  <c r="O29" s="1"/>
  <c r="P29" l="1"/>
  <c r="N19" l="1"/>
  <c r="H19"/>
  <c r="L19" s="1"/>
  <c r="N20"/>
  <c r="H20"/>
  <c r="P24" i="5"/>
  <c r="S24" s="1"/>
  <c r="P25"/>
  <c r="S25" s="1"/>
  <c r="P26"/>
  <c r="S26" s="1"/>
  <c r="N7" i="21"/>
  <c r="H7"/>
  <c r="N8"/>
  <c r="H8"/>
  <c r="L8" s="1"/>
  <c r="Y48" i="6"/>
  <c r="C48"/>
  <c r="D48" s="1"/>
  <c r="Y49"/>
  <c r="C49"/>
  <c r="D49" s="1"/>
  <c r="K37" i="41"/>
  <c r="L37" s="1"/>
  <c r="K36"/>
  <c r="L36" s="1"/>
  <c r="K35"/>
  <c r="L35" s="1"/>
  <c r="K34"/>
  <c r="L34" s="1"/>
  <c r="K33"/>
  <c r="L33" s="1"/>
  <c r="L32"/>
  <c r="Y20" i="6"/>
  <c r="Y16"/>
  <c r="Y36"/>
  <c r="Q19" i="21"/>
  <c r="Q23" s="1"/>
  <c r="Q9" i="24"/>
  <c r="M8"/>
  <c r="Q8"/>
  <c r="Y34" i="6"/>
  <c r="Y21"/>
  <c r="Y17"/>
  <c r="Y13"/>
  <c r="Y8"/>
  <c r="P21" i="5"/>
  <c r="S21" s="1"/>
  <c r="P11"/>
  <c r="S11" s="1"/>
  <c r="P20"/>
  <c r="P19"/>
  <c r="P9"/>
  <c r="H24" i="21"/>
  <c r="M24" s="1"/>
  <c r="H25"/>
  <c r="L25" s="1"/>
  <c r="H15"/>
  <c r="L15" s="1"/>
  <c r="H14"/>
  <c r="L14" s="1"/>
  <c r="Q6" i="24"/>
  <c r="U68" i="5"/>
  <c r="U67"/>
  <c r="U62"/>
  <c r="U61"/>
  <c r="U58"/>
  <c r="U57"/>
  <c r="U54"/>
  <c r="U53"/>
  <c r="U49"/>
  <c r="U48"/>
  <c r="U45"/>
  <c r="U44"/>
  <c r="U42"/>
  <c r="U40"/>
  <c r="U39"/>
  <c r="U37"/>
  <c r="U35"/>
  <c r="U34"/>
  <c r="U32"/>
  <c r="U30"/>
  <c r="U29"/>
  <c r="U27"/>
  <c r="U22"/>
  <c r="U17"/>
  <c r="U15"/>
  <c r="U14"/>
  <c r="P10"/>
  <c r="S10" s="1"/>
  <c r="Q7" i="24"/>
  <c r="Y7" i="6"/>
  <c r="Y12"/>
  <c r="Y14"/>
  <c r="Y18"/>
  <c r="Y19"/>
  <c r="Y25"/>
  <c r="Y27"/>
  <c r="Y22"/>
  <c r="Y23"/>
  <c r="Y29"/>
  <c r="Y31"/>
  <c r="Y33"/>
  <c r="Y35"/>
  <c r="Y39"/>
  <c r="Y47"/>
  <c r="Y6"/>
  <c r="E24" i="39"/>
  <c r="E20"/>
  <c r="F15"/>
  <c r="E15"/>
  <c r="F10"/>
  <c r="E10"/>
  <c r="F20"/>
  <c r="F29"/>
  <c r="E29"/>
  <c r="F24"/>
  <c r="F33"/>
  <c r="E33"/>
  <c r="F38"/>
  <c r="E38"/>
  <c r="F40"/>
  <c r="E40"/>
  <c r="F42"/>
  <c r="E42"/>
  <c r="E45"/>
  <c r="F45"/>
  <c r="F47"/>
  <c r="E47"/>
  <c r="Q25" i="21"/>
  <c r="Q24"/>
  <c r="Q14"/>
  <c r="Q15"/>
  <c r="Q7"/>
  <c r="Q8"/>
  <c r="Y32" i="6"/>
  <c r="K16" i="9"/>
  <c r="K18"/>
  <c r="D18" s="1"/>
  <c r="AJ2" i="42" s="1"/>
  <c r="Q9" i="5"/>
  <c r="Q13" s="1"/>
  <c r="Q47"/>
  <c r="H60"/>
  <c r="N14" i="21"/>
  <c r="N15"/>
  <c r="C50" i="6"/>
  <c r="D50" s="1"/>
  <c r="N25" i="21"/>
  <c r="N24"/>
  <c r="D11" i="6"/>
  <c r="D28"/>
  <c r="D20"/>
  <c r="D32"/>
  <c r="D16"/>
  <c r="D36"/>
  <c r="Q10" i="24"/>
  <c r="U66" i="5" l="1"/>
  <c r="U24"/>
  <c r="L20" i="21"/>
  <c r="L23" s="1"/>
  <c r="F37" i="42" s="1"/>
  <c r="F35" s="1"/>
  <c r="L7" i="21"/>
  <c r="N26"/>
  <c r="O32" i="42" s="1"/>
  <c r="O30" s="1"/>
  <c r="Q26" i="21"/>
  <c r="I13" i="42"/>
  <c r="I12" s="1"/>
  <c r="U52" i="5"/>
  <c r="C13" i="42"/>
  <c r="C12" s="1"/>
  <c r="L24" i="21"/>
  <c r="P24" s="1"/>
  <c r="Q18"/>
  <c r="N18"/>
  <c r="H18" i="9"/>
  <c r="Q33" i="21"/>
  <c r="N33"/>
  <c r="L18"/>
  <c r="I37" i="42" s="1"/>
  <c r="I35" s="1"/>
  <c r="N23" i="21"/>
  <c r="M15"/>
  <c r="P15" s="1"/>
  <c r="F49" i="39"/>
  <c r="U60" i="5"/>
  <c r="K42" i="41"/>
  <c r="U25" i="5"/>
  <c r="U10"/>
  <c r="U73"/>
  <c r="U9"/>
  <c r="P13"/>
  <c r="U47"/>
  <c r="U63"/>
  <c r="S9"/>
  <c r="Q72"/>
  <c r="Q74" s="1"/>
  <c r="E49" i="39"/>
  <c r="O8" i="24"/>
  <c r="M12"/>
  <c r="U19" i="5"/>
  <c r="P72"/>
  <c r="P74" s="1"/>
  <c r="S19"/>
  <c r="U20"/>
  <c r="S20"/>
  <c r="M25" i="21"/>
  <c r="P25" s="1"/>
  <c r="U33" i="5"/>
  <c r="Q63"/>
  <c r="G47"/>
  <c r="M19" i="21"/>
  <c r="O19" s="1"/>
  <c r="M20"/>
  <c r="M8"/>
  <c r="O8" s="1"/>
  <c r="U38" i="5"/>
  <c r="U56"/>
  <c r="G52"/>
  <c r="E15" i="9" s="1"/>
  <c r="Q43" i="5"/>
  <c r="Y24" i="6"/>
  <c r="Q12" i="24"/>
  <c r="Y28" i="6"/>
  <c r="U43" i="5"/>
  <c r="G43"/>
  <c r="H43"/>
  <c r="K43" s="1"/>
  <c r="H47"/>
  <c r="K47" s="1"/>
  <c r="P28"/>
  <c r="S28"/>
  <c r="Q28"/>
  <c r="K38"/>
  <c r="Q38"/>
  <c r="S38"/>
  <c r="S56"/>
  <c r="M16" i="9" s="1"/>
  <c r="D16" s="1"/>
  <c r="AD2" i="42" s="1"/>
  <c r="K19" i="9"/>
  <c r="Y50" i="6"/>
  <c r="S66" i="5"/>
  <c r="U70"/>
  <c r="H70"/>
  <c r="G70"/>
  <c r="I70" s="1"/>
  <c r="U18"/>
  <c r="Q23"/>
  <c r="Q33"/>
  <c r="H28"/>
  <c r="K28" s="1"/>
  <c r="P23"/>
  <c r="G18"/>
  <c r="E8" i="9" s="1"/>
  <c r="Q18" i="5"/>
  <c r="M14" i="21"/>
  <c r="H66" i="5"/>
  <c r="G66"/>
  <c r="H63"/>
  <c r="G63"/>
  <c r="G60"/>
  <c r="I60" s="1"/>
  <c r="G56"/>
  <c r="I56" s="1"/>
  <c r="H56"/>
  <c r="H52"/>
  <c r="G38"/>
  <c r="E10" i="9" s="1"/>
  <c r="O28" i="5"/>
  <c r="G12" i="9" s="1"/>
  <c r="H18" i="5"/>
  <c r="K18" s="1"/>
  <c r="M7" i="21"/>
  <c r="M12" i="9" l="1"/>
  <c r="D12" s="1"/>
  <c r="U28" i="5"/>
  <c r="S13"/>
  <c r="L26" i="21"/>
  <c r="O37" i="42" s="1"/>
  <c r="O35" s="1"/>
  <c r="O24" i="21"/>
  <c r="L33"/>
  <c r="E19" i="9"/>
  <c r="I66" i="5"/>
  <c r="I52"/>
  <c r="I38"/>
  <c r="M19" i="9"/>
  <c r="D19" s="1"/>
  <c r="H10"/>
  <c r="M10"/>
  <c r="D10" s="1"/>
  <c r="R2" i="42" s="1"/>
  <c r="I43" i="5"/>
  <c r="E13" i="9"/>
  <c r="I63" i="5"/>
  <c r="E18" i="9"/>
  <c r="I18" i="5"/>
  <c r="E14" i="9"/>
  <c r="I47" i="5"/>
  <c r="E16" i="9"/>
  <c r="O25" i="21"/>
  <c r="M26"/>
  <c r="N9" i="9"/>
  <c r="N21" s="1"/>
  <c r="H41" i="41" s="1"/>
  <c r="L41" s="1"/>
  <c r="K8" i="9"/>
  <c r="K15"/>
  <c r="H12"/>
  <c r="H16"/>
  <c r="H19"/>
  <c r="M33" i="21"/>
  <c r="P7"/>
  <c r="O14"/>
  <c r="M18"/>
  <c r="I32" i="42" s="1"/>
  <c r="I30" s="1"/>
  <c r="I40" s="1"/>
  <c r="P26" i="21"/>
  <c r="M23"/>
  <c r="F32" i="42" s="1"/>
  <c r="F30" s="1"/>
  <c r="F40" s="1"/>
  <c r="O15" i="21"/>
  <c r="P8"/>
  <c r="P19"/>
  <c r="K44" i="41"/>
  <c r="U23" i="5"/>
  <c r="S72"/>
  <c r="S74" s="1"/>
  <c r="U13"/>
  <c r="O12" i="24"/>
  <c r="U72" i="5"/>
  <c r="S23"/>
  <c r="J43"/>
  <c r="P20" i="21"/>
  <c r="O20"/>
  <c r="J38" i="5"/>
  <c r="O47"/>
  <c r="G14" i="9" s="1"/>
  <c r="O33" i="5"/>
  <c r="G11" i="9" s="1"/>
  <c r="O43" i="5"/>
  <c r="J47"/>
  <c r="G28"/>
  <c r="J18"/>
  <c r="O18"/>
  <c r="G8" i="9" s="1"/>
  <c r="P14" i="21"/>
  <c r="K43" i="41"/>
  <c r="N28" i="5"/>
  <c r="T28"/>
  <c r="O7" i="21"/>
  <c r="M9" i="9" l="1"/>
  <c r="M7"/>
  <c r="AM2" i="42"/>
  <c r="O26" i="21"/>
  <c r="I15" i="9" s="1"/>
  <c r="D15" s="1"/>
  <c r="O2" i="42" s="1"/>
  <c r="J28" i="5"/>
  <c r="E12" i="9"/>
  <c r="I28" i="5"/>
  <c r="N43"/>
  <c r="G13" i="9"/>
  <c r="H13"/>
  <c r="K13"/>
  <c r="D13" s="1"/>
  <c r="X2" i="42" s="1"/>
  <c r="K9" i="9"/>
  <c r="H14"/>
  <c r="K14"/>
  <c r="D14" s="1"/>
  <c r="H11"/>
  <c r="K11"/>
  <c r="O23" i="21"/>
  <c r="I8" i="9" s="1"/>
  <c r="H15"/>
  <c r="K39" i="41"/>
  <c r="P33" i="21"/>
  <c r="O33"/>
  <c r="O18"/>
  <c r="I9" i="9" s="1"/>
  <c r="P23" i="21"/>
  <c r="H8" i="9" s="1"/>
  <c r="P18" i="21"/>
  <c r="U74" i="5"/>
  <c r="K41" i="41"/>
  <c r="T33" i="5"/>
  <c r="T47"/>
  <c r="N47"/>
  <c r="T43"/>
  <c r="N18"/>
  <c r="T18"/>
  <c r="M21" i="9" l="1"/>
  <c r="H39" i="41" s="1"/>
  <c r="L39" s="1"/>
  <c r="AA2" i="42"/>
  <c r="D9" i="9"/>
  <c r="I2" i="42" s="1"/>
  <c r="J21" i="9"/>
  <c r="D8"/>
  <c r="D11"/>
  <c r="L2" i="42" s="1"/>
  <c r="H9" i="9"/>
  <c r="F2" i="42" l="1"/>
  <c r="O11" i="5" l="1"/>
  <c r="N11" s="1"/>
  <c r="O10"/>
  <c r="N10" s="1"/>
  <c r="O12"/>
  <c r="N12" s="1"/>
  <c r="O13" l="1"/>
  <c r="T13" l="1"/>
  <c r="O23" l="1"/>
  <c r="G9" i="9" s="1"/>
  <c r="T23" i="5" l="1"/>
  <c r="O52"/>
  <c r="G15" i="9" s="1"/>
  <c r="O73" i="5"/>
  <c r="T73" s="1"/>
  <c r="N51"/>
  <c r="N48"/>
  <c r="N49"/>
  <c r="N50"/>
  <c r="N52" l="1"/>
  <c r="T52"/>
  <c r="O60"/>
  <c r="T60" s="1"/>
  <c r="N57"/>
  <c r="N59"/>
  <c r="N58"/>
  <c r="N60" l="1"/>
  <c r="O64"/>
  <c r="O65"/>
  <c r="O67"/>
  <c r="O68"/>
  <c r="O69"/>
  <c r="O66" l="1"/>
  <c r="T66" s="1"/>
  <c r="O70"/>
  <c r="G19" i="9" l="1"/>
  <c r="N66" i="5"/>
  <c r="T70"/>
  <c r="N70"/>
  <c r="O61"/>
  <c r="O62"/>
  <c r="O63" l="1"/>
  <c r="G18" i="9" s="1"/>
  <c r="N63" i="5" l="1"/>
  <c r="T63"/>
  <c r="O53"/>
  <c r="N53" l="1"/>
  <c r="O54"/>
  <c r="N54" s="1"/>
  <c r="O55"/>
  <c r="O56" l="1"/>
  <c r="G16" i="9" s="1"/>
  <c r="N55" i="5"/>
  <c r="O72"/>
  <c r="T56" l="1"/>
  <c r="N56"/>
  <c r="O74"/>
  <c r="T74" s="1"/>
  <c r="T72"/>
  <c r="L12" i="24"/>
  <c r="P12" s="1"/>
  <c r="G10" i="9" l="1"/>
  <c r="U2" i="42" s="1"/>
  <c r="N38" i="5"/>
  <c r="T38"/>
  <c r="G9" l="1"/>
  <c r="H9" s="1"/>
  <c r="G13" l="1"/>
  <c r="K9"/>
  <c r="N9"/>
  <c r="H13"/>
  <c r="G19"/>
  <c r="J13" l="1"/>
  <c r="I13"/>
  <c r="G23"/>
  <c r="E9" i="9" s="1"/>
  <c r="H19" i="5"/>
  <c r="K13"/>
  <c r="N13"/>
  <c r="I23" l="1"/>
  <c r="K19"/>
  <c r="N19"/>
  <c r="H23"/>
  <c r="N23" s="1"/>
  <c r="G29"/>
  <c r="G72" s="1"/>
  <c r="G74" s="1"/>
  <c r="G33" l="1"/>
  <c r="E11" i="9" s="1"/>
  <c r="H29" i="5"/>
  <c r="H33" l="1"/>
  <c r="H72"/>
  <c r="H74" s="1"/>
  <c r="N29"/>
  <c r="I33"/>
  <c r="S17" i="9"/>
  <c r="J33" i="5" l="1"/>
  <c r="N33"/>
  <c r="K33"/>
  <c r="H17" i="9"/>
  <c r="K17" l="1"/>
  <c r="E17"/>
  <c r="G17"/>
  <c r="F17"/>
  <c r="D17" l="1"/>
  <c r="AG2" i="42" s="1"/>
  <c r="Y51" i="6"/>
  <c r="Y52" l="1"/>
  <c r="AP5" i="42"/>
  <c r="AP3" s="1"/>
  <c r="AP39" s="1"/>
  <c r="AP38" s="1"/>
  <c r="AP40" s="1"/>
  <c r="Y53" i="6"/>
  <c r="S20" i="9"/>
  <c r="H20" l="1"/>
  <c r="F20"/>
  <c r="E20" l="1"/>
  <c r="G20"/>
  <c r="D20"/>
  <c r="AP2" i="42" l="1"/>
  <c r="O33"/>
  <c r="O39" l="1"/>
  <c r="O38" s="1"/>
  <c r="O40" s="1"/>
  <c r="T36" i="5" l="1"/>
  <c r="N36"/>
  <c r="Q12" i="21"/>
  <c r="H12"/>
  <c r="M12" s="1"/>
  <c r="K19" i="44"/>
  <c r="V19" s="1"/>
  <c r="K17"/>
  <c r="V17" s="1"/>
  <c r="N12" i="21"/>
  <c r="I19" i="44" l="1"/>
  <c r="L12" i="21"/>
  <c r="I17" i="44"/>
  <c r="T19"/>
  <c r="T17"/>
  <c r="O12" i="21" l="1"/>
  <c r="P12"/>
  <c r="U19" i="44"/>
  <c r="U17" l="1"/>
  <c r="K8" l="1"/>
  <c r="S8" s="1"/>
  <c r="W9" i="6"/>
  <c r="W11" s="1"/>
  <c r="W58" s="1"/>
  <c r="C8" i="42"/>
  <c r="C3" s="1"/>
  <c r="C39" s="1"/>
  <c r="C38" s="1"/>
  <c r="S9" i="6"/>
  <c r="S11" s="1"/>
  <c r="V9"/>
  <c r="V11"/>
  <c r="V58" s="1"/>
  <c r="L9"/>
  <c r="J9" s="1"/>
  <c r="K9" s="1"/>
  <c r="N11"/>
  <c r="N58" s="1"/>
  <c r="K6" i="44"/>
  <c r="S6" s="1"/>
  <c r="X9" i="6"/>
  <c r="X11" s="1"/>
  <c r="K7" i="9" s="1"/>
  <c r="S10" i="44" l="1"/>
  <c r="S22" s="1"/>
  <c r="I8"/>
  <c r="L8" s="1"/>
  <c r="S7" i="9"/>
  <c r="S21" s="1"/>
  <c r="E38" i="41" s="1"/>
  <c r="G7" i="9"/>
  <c r="G21" s="1"/>
  <c r="K10" i="44"/>
  <c r="T6"/>
  <c r="U6" s="1"/>
  <c r="L11" i="6"/>
  <c r="S58"/>
  <c r="F7" i="9"/>
  <c r="F21" s="1"/>
  <c r="K21"/>
  <c r="H38" i="41" s="1"/>
  <c r="O9" i="6"/>
  <c r="T8" i="44"/>
  <c r="U8" s="1"/>
  <c r="Y11" i="6"/>
  <c r="Y58" s="1"/>
  <c r="P6" i="44"/>
  <c r="P8"/>
  <c r="X58" i="6"/>
  <c r="I6" i="44"/>
  <c r="G8" l="1"/>
  <c r="H8" s="1"/>
  <c r="K38" i="41"/>
  <c r="U10" i="44"/>
  <c r="V10"/>
  <c r="L58" i="6"/>
  <c r="E7" i="9"/>
  <c r="E21" s="1"/>
  <c r="O11" i="6"/>
  <c r="U9"/>
  <c r="L38" i="41"/>
  <c r="T10" i="44"/>
  <c r="L6"/>
  <c r="L10" s="1"/>
  <c r="I10"/>
  <c r="G6"/>
  <c r="H6" s="1"/>
  <c r="P10"/>
  <c r="P22" s="1"/>
  <c r="K18"/>
  <c r="V18" l="1"/>
  <c r="N11" i="21"/>
  <c r="K16" i="44"/>
  <c r="Q11" i="21"/>
  <c r="K13"/>
  <c r="H11"/>
  <c r="K35"/>
  <c r="K20" i="44" l="1"/>
  <c r="V16"/>
  <c r="N35" i="21"/>
  <c r="T16" i="44"/>
  <c r="N13" i="21"/>
  <c r="N30" s="1"/>
  <c r="T18" i="44"/>
  <c r="Q13" i="21"/>
  <c r="Q35"/>
  <c r="L11"/>
  <c r="M11"/>
  <c r="I16" i="44"/>
  <c r="I18"/>
  <c r="N18" s="1"/>
  <c r="Q7" i="9"/>
  <c r="K30" i="21"/>
  <c r="I20" i="44" l="1"/>
  <c r="I22" s="1"/>
  <c r="M13" i="21"/>
  <c r="M35"/>
  <c r="N16" i="44"/>
  <c r="H7" i="9"/>
  <c r="H21" s="1"/>
  <c r="Q21"/>
  <c r="E40" i="41" s="1"/>
  <c r="L13" i="21"/>
  <c r="L35"/>
  <c r="P11"/>
  <c r="T20" i="44"/>
  <c r="T22" s="1"/>
  <c r="O11" i="21"/>
  <c r="V20" i="44"/>
  <c r="K22"/>
  <c r="O13" i="21" l="1"/>
  <c r="O35"/>
  <c r="U16" i="44"/>
  <c r="L30" i="21"/>
  <c r="C37" i="42"/>
  <c r="C35" s="1"/>
  <c r="P13" i="21"/>
  <c r="P30" s="1"/>
  <c r="P35"/>
  <c r="U18" i="44"/>
  <c r="K40" i="41"/>
  <c r="K48" s="1"/>
  <c r="E48"/>
  <c r="M30" i="21"/>
  <c r="C32" i="42"/>
  <c r="C30" s="1"/>
  <c r="C40" l="1"/>
  <c r="U20" i="44"/>
  <c r="U22" s="1"/>
  <c r="O30" i="21"/>
  <c r="I7" i="9"/>
  <c r="I21" l="1"/>
  <c r="H40" i="41" s="1"/>
  <c r="D7" i="9"/>
  <c r="D21" l="1"/>
  <c r="C2" i="42"/>
  <c r="L40" i="41"/>
  <c r="L48" s="1"/>
  <c r="H48"/>
</calcChain>
</file>

<file path=xl/sharedStrings.xml><?xml version="1.0" encoding="utf-8"?>
<sst xmlns="http://schemas.openxmlformats.org/spreadsheetml/2006/main" count="1328" uniqueCount="435">
  <si>
    <t>SOX MEDIA PLAN CHECKLIST FORM</t>
  </si>
  <si>
    <t>version</t>
  </si>
  <si>
    <t>To be completed &amp; signed by Planner</t>
  </si>
  <si>
    <t>Client Code</t>
  </si>
  <si>
    <t>E1707</t>
  </si>
  <si>
    <t>Client Name</t>
  </si>
  <si>
    <t>ALIGN TECH SWITZERLAND GMBH</t>
  </si>
  <si>
    <t xml:space="preserve">Product Number </t>
  </si>
  <si>
    <t xml:space="preserve">Product Name </t>
  </si>
  <si>
    <t>Consumer</t>
  </si>
  <si>
    <t>Campaign Number (if known)</t>
  </si>
  <si>
    <t>Campaign Name (if known)</t>
  </si>
  <si>
    <t>Invisalign Q1 2022</t>
  </si>
  <si>
    <t>Client PO number (if applicable)</t>
  </si>
  <si>
    <t xml:space="preserve"> - in 'Client Ref' field</t>
  </si>
  <si>
    <t xml:space="preserve">In 'Campaign Ref' field, to repeat PO number again or add any other additional info </t>
  </si>
  <si>
    <t>Client PO Value</t>
  </si>
  <si>
    <t>Campaign Start Date</t>
  </si>
  <si>
    <t>Campaign End Date</t>
  </si>
  <si>
    <t>Financial Summary</t>
  </si>
  <si>
    <t>(Without tax &amp; asbof)</t>
  </si>
  <si>
    <t>MEDIA</t>
  </si>
  <si>
    <t>BOOKING CATEGORY</t>
  </si>
  <si>
    <t>Media Cost</t>
  </si>
  <si>
    <t>Cost to Client (P,B,R,D)</t>
  </si>
  <si>
    <t>Asbof / Basbof</t>
  </si>
  <si>
    <t>Total ex VAT</t>
  </si>
  <si>
    <t>TV - T</t>
  </si>
  <si>
    <t>TV Other - V</t>
  </si>
  <si>
    <t>Press - P</t>
  </si>
  <si>
    <t>Out of Home - B</t>
  </si>
  <si>
    <t>Radio - R</t>
  </si>
  <si>
    <t>Digital - D</t>
  </si>
  <si>
    <t>Social</t>
  </si>
  <si>
    <t>Search</t>
  </si>
  <si>
    <t>Display &amp; Video</t>
  </si>
  <si>
    <t>Discovery Ads</t>
  </si>
  <si>
    <t>Affiliate (Dentaly/Mango Shake)</t>
  </si>
  <si>
    <t>Snapchat</t>
  </si>
  <si>
    <t>TikTok</t>
  </si>
  <si>
    <t>Apex - A</t>
  </si>
  <si>
    <t>Add where applicable</t>
  </si>
  <si>
    <t>Campaign Budget (on DDS)</t>
  </si>
  <si>
    <t xml:space="preserve">Campaign Buidget (PO TOTAL EX VAT) </t>
  </si>
  <si>
    <t>Planner Approval :</t>
  </si>
  <si>
    <t>Print Name</t>
  </si>
  <si>
    <t>Oriana Cravero</t>
  </si>
  <si>
    <t>Signature</t>
  </si>
  <si>
    <t>Date Signed</t>
  </si>
  <si>
    <t>22.12.2021</t>
  </si>
  <si>
    <t>Account Director's Signature - where applicable</t>
  </si>
  <si>
    <t>*** Planner to attach copy of PO or client email approval to this Sox Form - this is Publicis Audit Policy ***</t>
  </si>
  <si>
    <t>To be completed &amp; signed by Buyer</t>
  </si>
  <si>
    <t>Client</t>
  </si>
  <si>
    <t>Product</t>
  </si>
  <si>
    <t>Campaign</t>
  </si>
  <si>
    <t>Campaign Details</t>
  </si>
  <si>
    <t>Buyers Signature</t>
  </si>
  <si>
    <t>Invisalign UK Q1 2022</t>
  </si>
  <si>
    <t>Invisalign DE Q1 2022</t>
  </si>
  <si>
    <t>Invisalign FR Q1 2022</t>
  </si>
  <si>
    <t>Invisalign IT Q1 2022</t>
  </si>
  <si>
    <t>Invisalign NL Q1 2022</t>
  </si>
  <si>
    <t>Invisalign CH Q1 2022</t>
  </si>
  <si>
    <t>Invisalign ES Q1 2022</t>
  </si>
  <si>
    <t>Invisalign PT Q1 2022</t>
  </si>
  <si>
    <t>Invisalign PL Q1 2022</t>
  </si>
  <si>
    <t>Invisalign KSA Q1 2022</t>
  </si>
  <si>
    <t>Invisalign SE Q1 2022</t>
  </si>
  <si>
    <t>Invisalign UAE Q1 2022</t>
  </si>
  <si>
    <t>Invisalign RU Q1 2022</t>
  </si>
  <si>
    <t>Invisalign IE Q1 2022</t>
  </si>
  <si>
    <t>Facebook UK Online Tool</t>
  </si>
  <si>
    <t>Facebook DE Online Tool</t>
  </si>
  <si>
    <t>Invisalign_FB_UK_Traffic_Adult_Q1_2022</t>
  </si>
  <si>
    <t>Invisalign_FB_DE_Traffic_Adult_Q1_2022</t>
  </si>
  <si>
    <t>Invisalign_FB_FR_Traffic_Adult_Q1_2022</t>
  </si>
  <si>
    <t>Invisalign_FB_IT_Traffic_Adult_Q1_2022</t>
  </si>
  <si>
    <t>Invisalign_FB_NL_Traffic_Adult_Q1_2022</t>
  </si>
  <si>
    <t>Invisalign_FB_PT_Traffic_Adult_Q1_2022</t>
  </si>
  <si>
    <t>Invisalign_FB_PL_Traffic_Adult_Q1_2022</t>
  </si>
  <si>
    <t>Invisalign_FB_KSA_Traffic_Adult_Q1_2022</t>
  </si>
  <si>
    <t>Invisalign_FB_SE_Traffic_Adult_Q1_2022</t>
  </si>
  <si>
    <t>Invisalign_FB_UAE_Traffic_Adult_Q1_2022</t>
  </si>
  <si>
    <t>Invisalign_FB_RU_Traffic_Adult_Q1_2022</t>
  </si>
  <si>
    <t>Invisalign_FB_IE_Traffic_Adult_Q1_2022</t>
  </si>
  <si>
    <t>Invisalign_FB_UK_Conv_LAL_Q1_2022</t>
  </si>
  <si>
    <t>Invisalign_FB_DE_Conv_LAL_Q1_2022</t>
  </si>
  <si>
    <t>Invisalign_FB_FR_Conv_LAL_Q1_2022</t>
  </si>
  <si>
    <t>Invisalign_FB_IT_Conv_LAL_Q1_2022</t>
  </si>
  <si>
    <t>Invisalign_FB_NL_Conv_LAL_Q1_2022</t>
  </si>
  <si>
    <t>Invisalign_FB_PT_Conv_LAL_Q1_2022</t>
  </si>
  <si>
    <t>Invisalign_FB_PL_Conv_LAL_Q1_2022</t>
  </si>
  <si>
    <t>Invisalign_FB_KSA_Conv_LAL_Q1_2022</t>
  </si>
  <si>
    <t>Invisalign_FB_SE_Conv_LAL_Q1_2022</t>
  </si>
  <si>
    <t>Invisalign_FB_UAE_Conv_LAL_Q1_2022</t>
  </si>
  <si>
    <t>Invisalign_FB_RU_Conv_LAL_Q1_2022</t>
  </si>
  <si>
    <t>Invisalign_FB_IE_Conv_LAL_Q1_2022</t>
  </si>
  <si>
    <t>Invisalign_FB_UK_Conv_REM_Q1_2022</t>
  </si>
  <si>
    <t>Invisalign_FB_DE_Conv_REM_Q1_2022</t>
  </si>
  <si>
    <t>Invisalign_FB_FR_Conv_REM_Q1_2022</t>
  </si>
  <si>
    <t>Invisalign_FB_IT_Conv_REM_Q1_2022</t>
  </si>
  <si>
    <t>Invisalign_FB_NL_Conv_REM_Q1_2022</t>
  </si>
  <si>
    <t>Invisalign_FB_PT_Conv_REM_Q1_2022</t>
  </si>
  <si>
    <t>Invisalign_FB_PL_Conv_REM_Q1_2022</t>
  </si>
  <si>
    <t>Invisalign_FB_UK_Conv_Parent_Q1_2022</t>
  </si>
  <si>
    <t>Invisalign_FB_DE_Conv_Parent_Q1_2022</t>
  </si>
  <si>
    <t>Invisalign_FB_FR_Conv_Parent_Q1_2022</t>
  </si>
  <si>
    <t>Invisalign_FB_IT_Conv_Parent_Q1_2022</t>
  </si>
  <si>
    <t>Invisalign_FB_NL_Conv_Parent_Q1_2022</t>
  </si>
  <si>
    <t>Invisalign_FB_UK_Traffic_Teen_Q1_2022</t>
  </si>
  <si>
    <t>Invisalign_FB_UK_Conv_Teen_Q1_2022</t>
  </si>
  <si>
    <t>Google Search Order (Search + Discovery)</t>
  </si>
  <si>
    <t>Invisalign_Google_UK_Q1_2022</t>
  </si>
  <si>
    <t>Invisalign_Google_DE_Q1_2022</t>
  </si>
  <si>
    <t>Invisalign_Google_FR_Q1_2022</t>
  </si>
  <si>
    <t>Invisalign_Google_IT_Q1_2022</t>
  </si>
  <si>
    <t>Invisalign_Google_NL_Q1_2022</t>
  </si>
  <si>
    <t>Invisalign_Google_CH_Q1_2022</t>
  </si>
  <si>
    <t>Invisalign_Google_ES_Q1_2022</t>
  </si>
  <si>
    <t>Invisalign_Google_PT_Q1_2022</t>
  </si>
  <si>
    <t>Invisalign_Google_PL_Q1_2022</t>
  </si>
  <si>
    <t>Invisalign_Google_KSA_Q1_2022</t>
  </si>
  <si>
    <t>Invisalign_Google_SE_Q1_2022</t>
  </si>
  <si>
    <t>Invisalign_Google_UAE_Q1_2022</t>
  </si>
  <si>
    <t>Invisalign_Google_RU_Q1_2022</t>
  </si>
  <si>
    <t>Invisalign_Google_IE_Q1_2022</t>
  </si>
  <si>
    <t>DST Fee</t>
  </si>
  <si>
    <t>Microsoft Online Inc Bing</t>
  </si>
  <si>
    <t>Invisalign Bing Ads UK Q1 2022</t>
  </si>
  <si>
    <t>Invisalign Bing Ads DE Q1 2022</t>
  </si>
  <si>
    <t>Invisalign Bing Ads FR Q1 2022</t>
  </si>
  <si>
    <t>Invisalign Bing Ads IT Q1 2022</t>
  </si>
  <si>
    <t>Invisalign Bing Ads NL Q1 2022</t>
  </si>
  <si>
    <t>Invisalign Bing Ads CH Q1 2022</t>
  </si>
  <si>
    <t>Invisalign Bing Ads ES Q1 2022</t>
  </si>
  <si>
    <t>Invisalign Bing Ads PT Q1 2022</t>
  </si>
  <si>
    <t>Invisalign TikTok UK Q1 2022</t>
  </si>
  <si>
    <t>Invisalign TikTok DE Q1 2022</t>
  </si>
  <si>
    <t>Invisalign TikTok FR Q1 2022</t>
  </si>
  <si>
    <t>Invisalign TikTok NL Q1 2022</t>
  </si>
  <si>
    <t>Invisalign Snapchat UK Q1 2022</t>
  </si>
  <si>
    <t>Invisalign Snapchat DE Q1 2022</t>
  </si>
  <si>
    <t>Invisalign Snapchat FR Q1 2022</t>
  </si>
  <si>
    <t>Invisalign Snapchat NL Q1 2022</t>
  </si>
  <si>
    <t>APEX Outcomes - YouTube</t>
  </si>
  <si>
    <t>Invisalign YouTube Skippable Adult UK Q1 2022</t>
  </si>
  <si>
    <t>Invisalign YouTube Skippable Adult DE Q1 2022</t>
  </si>
  <si>
    <t>Invisalign YouTube Skippable Adult FR Q1 2022</t>
  </si>
  <si>
    <t>Invisalign YouTube Skippable Adult NL Q1 2022</t>
  </si>
  <si>
    <t>Invisalign YouTube Bumper Adult UK Q1 2022</t>
  </si>
  <si>
    <t>Invisalign YouTube Bumper Adult DE Q1 2022</t>
  </si>
  <si>
    <t>Invisalign YouTube Bumper Adult FR Q1 2022</t>
  </si>
  <si>
    <t>Invisalign YouTube Bumper Adult NL Q1 2022</t>
  </si>
  <si>
    <t>Invisalign YouTube Skippable Parent UK Q1 2022</t>
  </si>
  <si>
    <t>Invisalign YouTube Skippable Parent DE Q1 2022</t>
  </si>
  <si>
    <t>Invisalign YouTube Skippable Parent FR Q1 2022</t>
  </si>
  <si>
    <t>Invisalign YouTube Bumper Parent UK Q1 2022</t>
  </si>
  <si>
    <t>Invisalign YouTube Bumper Parent DE Q1 2022</t>
  </si>
  <si>
    <t>Invisalign YouTube Bumper Parent FR Q1 2022</t>
  </si>
  <si>
    <t>Invisalign YouTube Skippable Teen UK Q1 2022</t>
  </si>
  <si>
    <t>Invisalign YouTube Bumper Teen UK Q1 2022</t>
  </si>
  <si>
    <t>APEX Outcomes - Display</t>
  </si>
  <si>
    <t>Invisalign Display UK Adult Q1 2022</t>
  </si>
  <si>
    <t>Invisalign Display DE Adult Q1 2022</t>
  </si>
  <si>
    <t>Invisalign Display FR Adult Q1 2022</t>
  </si>
  <si>
    <t>Invisalign Display IT Adult Q1 2022</t>
  </si>
  <si>
    <t>Invisalign Display NL Adult Q1 2022</t>
  </si>
  <si>
    <t>Invisalign Display UK Parent Q1 2022</t>
  </si>
  <si>
    <t>Invisalign Display DE Parent Q1 2022</t>
  </si>
  <si>
    <t>Invisalign Display FR Parent Q1 2022</t>
  </si>
  <si>
    <t>Invisalign Display IT Parent Q1 2022</t>
  </si>
  <si>
    <t>Invisalign Display NL Parent Q1 2022</t>
  </si>
  <si>
    <t>IAS Fee</t>
  </si>
  <si>
    <t>APEX Display IAS UK Q1 2022</t>
  </si>
  <si>
    <t>APEX Display IAS DE Q1 2022</t>
  </si>
  <si>
    <t>APEX Display IAS FR Q1 2022</t>
  </si>
  <si>
    <t>APEX Display IAS IT Q1 2022</t>
  </si>
  <si>
    <t>APEX Display IAS NL Q1 2022</t>
  </si>
  <si>
    <t>APEX YouTube IAS UK Q1 2022</t>
  </si>
  <si>
    <t>APEX YouTube IAS DE Q1 2022</t>
  </si>
  <si>
    <t>APEX YouTube IAS FR Q1 2022</t>
  </si>
  <si>
    <t>APEX YouTube IAS NL Q1 2022</t>
  </si>
  <si>
    <t>Mango Shake Limited / Dentaly.org</t>
  </si>
  <si>
    <t>Invisalign Dentaly UK Q1 2022</t>
  </si>
  <si>
    <t>Invisalign Dentaly DE Q1 2022</t>
  </si>
  <si>
    <t>Invisalign Dentaly FR Q1 2022</t>
  </si>
  <si>
    <t>Invisalign Dentaly IT Q1 2022</t>
  </si>
  <si>
    <t>Invisalign Dentaly ES Q1 2022</t>
  </si>
  <si>
    <t>Doublelick Dart</t>
  </si>
  <si>
    <t>Display Ad Serving</t>
  </si>
  <si>
    <t>YouTube Ad Serving</t>
  </si>
  <si>
    <t>ASBOF</t>
  </si>
  <si>
    <t>TOTAL</t>
  </si>
  <si>
    <t>Q1 Media Plan 2022</t>
  </si>
  <si>
    <t xml:space="preserve"> </t>
  </si>
  <si>
    <t>All Markets</t>
  </si>
  <si>
    <t>Total Client Cost CTC)</t>
  </si>
  <si>
    <t>Impressions</t>
  </si>
  <si>
    <t>New visitors</t>
  </si>
  <si>
    <t>Conversions</t>
  </si>
  <si>
    <t>Total Video</t>
  </si>
  <si>
    <t>Total Display</t>
  </si>
  <si>
    <t>Total Social</t>
  </si>
  <si>
    <t>Total Dentaly</t>
  </si>
  <si>
    <t xml:space="preserve"> Total PPC</t>
  </si>
  <si>
    <t>Total Discovery</t>
  </si>
  <si>
    <t>Total Snapchat</t>
  </si>
  <si>
    <t>Total Tik Tok</t>
  </si>
  <si>
    <t>Media Video</t>
  </si>
  <si>
    <t>Media Display</t>
  </si>
  <si>
    <t>Media Social</t>
  </si>
  <si>
    <t>Media Dentaly</t>
  </si>
  <si>
    <t xml:space="preserve"> Media PPC</t>
  </si>
  <si>
    <t>Media Discovery</t>
  </si>
  <si>
    <t>Media Snapchat</t>
  </si>
  <si>
    <t>Media Tik Tok</t>
  </si>
  <si>
    <t>UK</t>
  </si>
  <si>
    <t>DE</t>
  </si>
  <si>
    <t>FR</t>
  </si>
  <si>
    <t>CH</t>
  </si>
  <si>
    <t>IT</t>
  </si>
  <si>
    <t>ES</t>
  </si>
  <si>
    <t>PT</t>
  </si>
  <si>
    <t>PL</t>
  </si>
  <si>
    <t>NL</t>
  </si>
  <si>
    <t>KSA</t>
  </si>
  <si>
    <t>SE</t>
  </si>
  <si>
    <t>UAE</t>
  </si>
  <si>
    <t>RUS</t>
  </si>
  <si>
    <t>IE</t>
  </si>
  <si>
    <t>Totals</t>
  </si>
  <si>
    <t>PO Value</t>
  </si>
  <si>
    <t>DE Upweigh</t>
  </si>
  <si>
    <t>IT upweight</t>
  </si>
  <si>
    <t>HOLD upweight</t>
  </si>
  <si>
    <t>Adult</t>
  </si>
  <si>
    <t>Market</t>
  </si>
  <si>
    <t>Type</t>
  </si>
  <si>
    <t>Media Amount</t>
  </si>
  <si>
    <t>CTC Amount</t>
  </si>
  <si>
    <t>Invisalign UK</t>
  </si>
  <si>
    <t>PoT</t>
  </si>
  <si>
    <t>Total</t>
  </si>
  <si>
    <t>Invisalign DE</t>
  </si>
  <si>
    <t>adult</t>
  </si>
  <si>
    <t>Invisalign FR</t>
  </si>
  <si>
    <t>Invisalign PT</t>
  </si>
  <si>
    <t>Invisalign_FB_PT_Conv_Adult_Q1_2022</t>
  </si>
  <si>
    <t>Invisalign_FB_PT_Conv_Parent_Q1_2022</t>
  </si>
  <si>
    <t>Invisalign IT</t>
  </si>
  <si>
    <t>Invisalign PL</t>
  </si>
  <si>
    <t>Invisalign_FB_PL_Conv_Adult_Q1_2022</t>
  </si>
  <si>
    <t>Invisalign_FB_PL_Conv_Parent_Q1_2022</t>
  </si>
  <si>
    <t>Invisalign NL</t>
  </si>
  <si>
    <t>Invisalign KSA</t>
  </si>
  <si>
    <t>Invisalign_FB_KSA_Conv_Adult_Q1_2022</t>
  </si>
  <si>
    <t>Invisalign UAE</t>
  </si>
  <si>
    <t>Invisalign_FB_UAE_Conv_Adult_Q1_2022</t>
  </si>
  <si>
    <t>Invisalign RU</t>
  </si>
  <si>
    <t>Invisalign_FB_RU_Conv_Adult_Q1_2022</t>
  </si>
  <si>
    <t>Invisalign IE</t>
  </si>
  <si>
    <t>Invisalign_FB_IE_Conv_Adult_Q1_2022</t>
  </si>
  <si>
    <t>Total Q4</t>
  </si>
  <si>
    <t>Q1 |Social Media Plan</t>
  </si>
  <si>
    <t>Channel</t>
  </si>
  <si>
    <t>Targeting</t>
  </si>
  <si>
    <t>Objective</t>
  </si>
  <si>
    <t>Audience</t>
  </si>
  <si>
    <t xml:space="preserve">Reach </t>
  </si>
  <si>
    <t>Reach %</t>
  </si>
  <si>
    <t>Frequency</t>
  </si>
  <si>
    <t>Media Spend</t>
  </si>
  <si>
    <t>Clicks</t>
  </si>
  <si>
    <t>CTR</t>
  </si>
  <si>
    <t xml:space="preserve">CPM </t>
  </si>
  <si>
    <t>CPUV</t>
  </si>
  <si>
    <t>Unique Visits</t>
  </si>
  <si>
    <t>CPA</t>
  </si>
  <si>
    <t>CR</t>
  </si>
  <si>
    <t>Total Cost (CTC)</t>
  </si>
  <si>
    <t>Total Cost (without Asbof)</t>
  </si>
  <si>
    <t>Facebook/IG</t>
  </si>
  <si>
    <t>Teen (March 2 weeks)</t>
  </si>
  <si>
    <t>Traffic</t>
  </si>
  <si>
    <t>Teen (April 2 weeks)</t>
  </si>
  <si>
    <t>Teen (April 1 week)</t>
  </si>
  <si>
    <t>YouTube</t>
  </si>
  <si>
    <t>Teen (March 2 weeks) Skippable</t>
  </si>
  <si>
    <t>Teen (March 2 weeks) Bumper</t>
  </si>
  <si>
    <t>Teen (April 3 weeks) Skippable</t>
  </si>
  <si>
    <t>Teen (April 3 weeks) Bumper</t>
  </si>
  <si>
    <t>Total Teens</t>
  </si>
  <si>
    <t>Brand Lift Study information</t>
  </si>
  <si>
    <t>Questions</t>
  </si>
  <si>
    <t>Duration</t>
  </si>
  <si>
    <t>Min Media Spend</t>
  </si>
  <si>
    <t>3 questions (1 ad recall)</t>
  </si>
  <si>
    <t>4 weeks</t>
  </si>
  <si>
    <t>4 questions (1 ad recall)</t>
  </si>
  <si>
    <t>6 weeks</t>
  </si>
  <si>
    <t>1 question</t>
  </si>
  <si>
    <t>1  week</t>
  </si>
  <si>
    <t>2 questions</t>
  </si>
  <si>
    <t>3 questions</t>
  </si>
  <si>
    <t>Reach</t>
  </si>
  <si>
    <t>91 Days</t>
  </si>
  <si>
    <t>Format Type</t>
  </si>
  <si>
    <t>Broad + Core</t>
  </si>
  <si>
    <t>LAL REM</t>
  </si>
  <si>
    <t>Teen</t>
  </si>
  <si>
    <t xml:space="preserve">Broad + Core </t>
  </si>
  <si>
    <t xml:space="preserve"> PT</t>
  </si>
  <si>
    <t>Core</t>
  </si>
  <si>
    <t xml:space="preserve"> PL</t>
  </si>
  <si>
    <t xml:space="preserve">Broad </t>
  </si>
  <si>
    <t>LAL + Core</t>
  </si>
  <si>
    <t>LAL</t>
  </si>
  <si>
    <t>Total Adult</t>
  </si>
  <si>
    <t>Total PoT</t>
  </si>
  <si>
    <t>Total Facebook</t>
  </si>
  <si>
    <t>Q1|Discovery Ads</t>
  </si>
  <si>
    <t>Cost</t>
  </si>
  <si>
    <t>CPM</t>
  </si>
  <si>
    <t>Avg CPC</t>
  </si>
  <si>
    <t>Coversion Rate</t>
  </si>
  <si>
    <t>Tax</t>
  </si>
  <si>
    <t>Asbof</t>
  </si>
  <si>
    <t>Total Cost (removing ASBOF)</t>
  </si>
  <si>
    <t>Germany</t>
  </si>
  <si>
    <t>France</t>
  </si>
  <si>
    <t>Italy</t>
  </si>
  <si>
    <t>Netherlands</t>
  </si>
  <si>
    <t>Q1 - Paid Search</t>
  </si>
  <si>
    <t>Engine</t>
  </si>
  <si>
    <t>CPC</t>
  </si>
  <si>
    <t>Conversion Rate</t>
  </si>
  <si>
    <t>Google Tax</t>
  </si>
  <si>
    <t>Ad Serving</t>
  </si>
  <si>
    <t>Total Cost- removing ASBOF</t>
  </si>
  <si>
    <t>Google</t>
  </si>
  <si>
    <t xml:space="preserve">Brand </t>
  </si>
  <si>
    <t>Generic + DSA</t>
  </si>
  <si>
    <t xml:space="preserve">Competitors </t>
  </si>
  <si>
    <t>Bing</t>
  </si>
  <si>
    <t>Brand</t>
  </si>
  <si>
    <t>Total UK</t>
  </si>
  <si>
    <t>Total DE</t>
  </si>
  <si>
    <t>Total FR</t>
  </si>
  <si>
    <t>Total ES</t>
  </si>
  <si>
    <t>Total IT</t>
  </si>
  <si>
    <t>Total CH</t>
  </si>
  <si>
    <t>Total PT</t>
  </si>
  <si>
    <t>Total PL</t>
  </si>
  <si>
    <t>Total NL</t>
  </si>
  <si>
    <t>Total KSA</t>
  </si>
  <si>
    <t>Total SWE</t>
  </si>
  <si>
    <t>Total RUSS</t>
  </si>
  <si>
    <t>Total IE</t>
  </si>
  <si>
    <t>Total Google</t>
  </si>
  <si>
    <t>Total Bing</t>
  </si>
  <si>
    <t>*all metrics estimates based on first week in December</t>
  </si>
  <si>
    <t>Q1 | Display</t>
  </si>
  <si>
    <t xml:space="preserve">Market </t>
  </si>
  <si>
    <t xml:space="preserve">Placement </t>
  </si>
  <si>
    <t>Format</t>
  </si>
  <si>
    <t>Device</t>
  </si>
  <si>
    <t>Goal</t>
  </si>
  <si>
    <t>UVs</t>
  </si>
  <si>
    <t xml:space="preserve">Ad Serving </t>
  </si>
  <si>
    <t>IAS</t>
  </si>
  <si>
    <t>CPA (GA)</t>
  </si>
  <si>
    <t>Standard IAB (120x600, 160x600, 300x250, 728x90)</t>
  </si>
  <si>
    <t>All</t>
  </si>
  <si>
    <t>Parent</t>
  </si>
  <si>
    <t>Q1 | Dentaly Media Plan</t>
  </si>
  <si>
    <t>Dentaly</t>
  </si>
  <si>
    <t>TopView</t>
  </si>
  <si>
    <t>Total TikTok</t>
  </si>
  <si>
    <t>Q1 | Youtube</t>
  </si>
  <si>
    <t>Placement</t>
  </si>
  <si>
    <t>Video Length /Format</t>
  </si>
  <si>
    <t>Views/Impressions</t>
  </si>
  <si>
    <t>CPM/CPV</t>
  </si>
  <si>
    <t>Gross Cost</t>
  </si>
  <si>
    <t xml:space="preserve">Total </t>
  </si>
  <si>
    <t>Total (no ASBOF)</t>
  </si>
  <si>
    <t xml:space="preserve">Invisalign UK Trueview In-Stream | Desktop, Mobile &amp; Tablet Web/App, OTT </t>
  </si>
  <si>
    <t>TrueView: Targeting Adults Only 18+. See the sample targeting list sent through together with Media Plan.</t>
  </si>
  <si>
    <t>:20</t>
  </si>
  <si>
    <t>Skippable</t>
  </si>
  <si>
    <t xml:space="preserve">Invisalign UK Bumper Ad | Desktop, Mobile &amp; Tablet Web/App, OTT </t>
  </si>
  <si>
    <t>Bumper:  Targeting Adults Only 18+. See the sample targeting list sent through together with Media Plan.</t>
  </si>
  <si>
    <t>:06</t>
  </si>
  <si>
    <t xml:space="preserve">Non Skippable </t>
  </si>
  <si>
    <t>TrueView: Targeting Parents. See the sample targeting list sent through together with Media Plan.</t>
  </si>
  <si>
    <t>Bumper:  Targeting Parents. See the sample targeting list sent through together with Media Plan.</t>
  </si>
  <si>
    <t>TrueView: Targeting Teens. See the sample targeting list sent through together with Media Plan.</t>
  </si>
  <si>
    <t>Bumper:  Targeting Teens. See the sample targeting list sent through together with Media Plan.</t>
  </si>
  <si>
    <t>Sub Total</t>
  </si>
  <si>
    <t xml:space="preserve">Invisalign FR Trueview In-Stream | Desktop, Mobile &amp; Tablet Web/App, OTT </t>
  </si>
  <si>
    <t xml:space="preserve">Invisalign FR Bumper Ad | Desktop, Mobile &amp; Tablet Web/App, OTT </t>
  </si>
  <si>
    <t xml:space="preserve">Invisalign DE Trueview In-Stream | Desktop, Mobile &amp; Tablet Web/App, OTT </t>
  </si>
  <si>
    <t xml:space="preserve">Invisalign DE Bumper Ad | Desktop, Mobile &amp; Tablet Web/App, OTT </t>
  </si>
  <si>
    <t>Total Youtube</t>
  </si>
  <si>
    <t>Adults</t>
  </si>
  <si>
    <t>Teens</t>
  </si>
  <si>
    <t> €5,000 Upweight wich is  £4,164 ( £1=€1.2 ex.rate). If we use €1.17 ex.rate the budgets in pounds will be higher ( £4,273.4)</t>
  </si>
  <si>
    <t> €50,000 Upweight witch is  £41,733 ( £1=€1.2 ex.rate). If we use €1.17 ex.rate the budgets in pounds will be higher ( £42,735.4)</t>
  </si>
  <si>
    <t>This is the original budget PO provided by Align in pounds at the beginning of the quarter</t>
  </si>
  <si>
    <t>Original Totals CTC</t>
  </si>
  <si>
    <t>New Total CTC</t>
  </si>
  <si>
    <t>Actuals</t>
  </si>
  <si>
    <t>Region</t>
  </si>
  <si>
    <t>Actual Media Plan</t>
  </si>
  <si>
    <t>New Plan shared 15.03</t>
  </si>
  <si>
    <t>Difference</t>
  </si>
  <si>
    <t>country 1</t>
  </si>
  <si>
    <t>country 2</t>
  </si>
  <si>
    <t>country 3</t>
  </si>
  <si>
    <t>country 4</t>
  </si>
  <si>
    <t>country 5</t>
  </si>
  <si>
    <t>country 6</t>
  </si>
  <si>
    <t>country 7</t>
  </si>
  <si>
    <t>country 8</t>
  </si>
  <si>
    <t>country 9</t>
  </si>
  <si>
    <t>country 10</t>
  </si>
  <si>
    <t>country 11</t>
  </si>
  <si>
    <t>country 12</t>
  </si>
  <si>
    <t>country 13</t>
  </si>
  <si>
    <t>country 14</t>
  </si>
  <si>
    <t xml:space="preserve">country 7 </t>
  </si>
  <si>
    <t>country</t>
  </si>
  <si>
    <t xml:space="preserve"> country 2</t>
  </si>
  <si>
    <t xml:space="preserve">Q1 | Snapchat </t>
  </si>
</sst>
</file>

<file path=xl/styles.xml><?xml version="1.0" encoding="utf-8"?>
<styleSheet xmlns="http://schemas.openxmlformats.org/spreadsheetml/2006/main">
  <numFmts count="24">
    <numFmt numFmtId="164" formatCode="&quot;£&quot;#,##0;[Red]\-&quot;£&quot;#,##0"/>
    <numFmt numFmtId="165" formatCode="&quot;£&quot;#,##0.00;[Red]\-&quot;£&quot;#,##0.00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&quot;£&quot;#,##0.00"/>
    <numFmt numFmtId="169" formatCode="_-* #,##0_-;\-* #,##0_-;_-* &quot;-&quot;??_-;_-@_-"/>
    <numFmt numFmtId="170" formatCode="0.0%"/>
    <numFmt numFmtId="171" formatCode="&quot;£&quot;#,##0"/>
    <numFmt numFmtId="172" formatCode="_-[$£-809]* #,##0_-;\-[$£-809]* #,##0_-;_-[$£-809]* &quot;-&quot;??_-;_-@_-"/>
    <numFmt numFmtId="173" formatCode="_-[$£-809]* #,##0.00_-;\-[$£-809]* #,##0.00_-;_-[$£-809]* &quot;-&quot;??_-;_-@_-"/>
    <numFmt numFmtId="174" formatCode="&quot;£&quot;#,##0.0"/>
    <numFmt numFmtId="175" formatCode="&quot;$&quot;#,##0.00"/>
    <numFmt numFmtId="176" formatCode="_(&quot;$&quot;* #,##0.00_);_(&quot;$&quot;* \(#,##0.00\);_(&quot;$&quot;* &quot;-&quot;??_);_(@_)"/>
    <numFmt numFmtId="177" formatCode="#,##0_ ;\-#,##0\ "/>
    <numFmt numFmtId="178" formatCode="_(* #,##0.00_);_(* \(#,##0.00\);_(* &quot;-&quot;??_);_(@_)"/>
    <numFmt numFmtId="179" formatCode="_(* #,##0_);_(* \(#,##0\);_(* &quot;-&quot;??_);_(@_)"/>
    <numFmt numFmtId="180" formatCode="0.0000"/>
    <numFmt numFmtId="181" formatCode="#,##0.00;[Red]\(#,##0.00\)"/>
    <numFmt numFmtId="182" formatCode="#,##0.000000000000"/>
    <numFmt numFmtId="183" formatCode="#,##0;[Red]\(#,##0\)"/>
    <numFmt numFmtId="184" formatCode="_-* #,##0.0_-;\-* #,##0.0_-;_-* &quot;-&quot;??_-;_-@_-"/>
    <numFmt numFmtId="185" formatCode="#,##0.0;[Red]\(#,##0.0\)"/>
    <numFmt numFmtId="186" formatCode="[$£-809]#,##0.00"/>
    <numFmt numFmtId="187" formatCode="0.000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theme="0"/>
      <name val="Calibri"/>
      <family val="2"/>
      <scheme val="minor"/>
    </font>
    <font>
      <b/>
      <sz val="14"/>
      <color rgb="FF000000"/>
      <name val="Calibri"/>
      <family val="2"/>
    </font>
    <font>
      <sz val="8"/>
      <color rgb="FF000000"/>
      <name val="Calibri"/>
      <family val="2"/>
    </font>
    <font>
      <b/>
      <u/>
      <sz val="15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Tahoma"/>
      <family val="2"/>
    </font>
    <font>
      <b/>
      <u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i/>
      <sz val="18"/>
      <name val="Tahoma"/>
      <family val="2"/>
    </font>
    <font>
      <b/>
      <i/>
      <sz val="9"/>
      <name val="Tahoma"/>
      <family val="2"/>
    </font>
    <font>
      <sz val="18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b/>
      <i/>
      <sz val="10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b/>
      <i/>
      <sz val="12"/>
      <name val="Tahoma"/>
      <family val="2"/>
    </font>
    <font>
      <b/>
      <sz val="11"/>
      <color indexed="10"/>
      <name val="Tahoma"/>
      <family val="2"/>
    </font>
    <font>
      <b/>
      <u/>
      <sz val="10"/>
      <color theme="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 "/>
    </font>
    <font>
      <b/>
      <sz val="11"/>
      <color theme="0"/>
      <name val="Calibri "/>
    </font>
    <font>
      <sz val="11"/>
      <name val="Calibri "/>
    </font>
    <font>
      <sz val="11"/>
      <color rgb="FF000000"/>
      <name val="Calibri 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15"/>
      <color rgb="FF000000"/>
      <name val="Calibri"/>
      <family val="2"/>
    </font>
    <font>
      <b/>
      <sz val="11"/>
      <color theme="1"/>
      <name val="Calibri 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u/>
      <sz val="11"/>
      <color theme="1"/>
      <name val="Calibri "/>
    </font>
    <font>
      <sz val="7"/>
      <color rgb="FF1C1E21"/>
      <name val="Arial"/>
      <family val="2"/>
    </font>
    <font>
      <b/>
      <sz val="14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6"/>
      <color rgb="FF000000"/>
      <name val="Calibri"/>
      <family val="2"/>
    </font>
    <font>
      <b/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11"/>
      <color theme="0"/>
      <name val="Calibri "/>
    </font>
    <font>
      <sz val="9"/>
      <color theme="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7">
    <xf numFmtId="0" fontId="0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14" fillId="0" borderId="0"/>
    <xf numFmtId="0" fontId="17" fillId="0" borderId="0"/>
    <xf numFmtId="176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0" fontId="14" fillId="0" borderId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4" fillId="0" borderId="0"/>
  </cellStyleXfs>
  <cellXfs count="69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vertical="center"/>
    </xf>
    <xf numFmtId="168" fontId="0" fillId="2" borderId="5" xfId="0" applyNumberForma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168" fontId="0" fillId="2" borderId="2" xfId="0" applyNumberFormat="1" applyFill="1" applyBorder="1" applyAlignment="1">
      <alignment horizontal="center" vertical="center"/>
    </xf>
    <xf numFmtId="0" fontId="8" fillId="2" borderId="0" xfId="3" applyFont="1" applyFill="1" applyAlignment="1">
      <alignment horizontal="left" vertical="center"/>
    </xf>
    <xf numFmtId="0" fontId="8" fillId="2" borderId="0" xfId="3" applyFont="1" applyFill="1" applyAlignment="1">
      <alignment horizontal="center" vertical="center"/>
    </xf>
    <xf numFmtId="171" fontId="8" fillId="2" borderId="0" xfId="3" applyNumberFormat="1" applyFont="1" applyFill="1" applyAlignment="1">
      <alignment horizontal="center" vertical="center"/>
    </xf>
    <xf numFmtId="0" fontId="11" fillId="2" borderId="4" xfId="3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168" fontId="11" fillId="2" borderId="4" xfId="3" applyNumberFormat="1" applyFont="1" applyFill="1" applyBorder="1" applyAlignment="1">
      <alignment horizontal="center" vertical="center"/>
    </xf>
    <xf numFmtId="172" fontId="0" fillId="0" borderId="0" xfId="0" applyNumberFormat="1"/>
    <xf numFmtId="172" fontId="9" fillId="2" borderId="29" xfId="3" applyNumberFormat="1" applyFont="1" applyFill="1" applyBorder="1" applyAlignment="1">
      <alignment horizontal="center" vertical="center"/>
    </xf>
    <xf numFmtId="172" fontId="9" fillId="2" borderId="26" xfId="3" applyNumberFormat="1" applyFont="1" applyFill="1" applyBorder="1" applyAlignment="1">
      <alignment horizontal="center" vertical="center"/>
    </xf>
    <xf numFmtId="173" fontId="0" fillId="0" borderId="0" xfId="0" applyNumberFormat="1"/>
    <xf numFmtId="171" fontId="0" fillId="2" borderId="0" xfId="0" applyNumberForma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9" fontId="8" fillId="2" borderId="10" xfId="1" applyNumberFormat="1" applyFont="1" applyFill="1" applyBorder="1" applyAlignment="1">
      <alignment horizontal="center" vertical="center"/>
    </xf>
    <xf numFmtId="173" fontId="0" fillId="2" borderId="0" xfId="0" applyNumberFormat="1" applyFill="1"/>
    <xf numFmtId="164" fontId="0" fillId="0" borderId="0" xfId="0" applyNumberFormat="1"/>
    <xf numFmtId="164" fontId="19" fillId="0" borderId="0" xfId="0" applyNumberFormat="1" applyFont="1"/>
    <xf numFmtId="3" fontId="0" fillId="0" borderId="0" xfId="0" applyNumberFormat="1"/>
    <xf numFmtId="165" fontId="0" fillId="0" borderId="0" xfId="0" applyNumberFormat="1"/>
    <xf numFmtId="171" fontId="0" fillId="2" borderId="10" xfId="0" applyNumberFormat="1" applyFill="1" applyBorder="1" applyAlignment="1">
      <alignment horizontal="center" vertical="center"/>
    </xf>
    <xf numFmtId="168" fontId="0" fillId="2" borderId="0" xfId="0" applyNumberFormat="1" applyFill="1" applyAlignment="1">
      <alignment horizontal="center"/>
    </xf>
    <xf numFmtId="0" fontId="24" fillId="9" borderId="33" xfId="4" applyFont="1" applyFill="1" applyBorder="1" applyProtection="1">
      <protection locked="0"/>
    </xf>
    <xf numFmtId="171" fontId="0" fillId="2" borderId="0" xfId="0" applyNumberFormat="1" applyFill="1" applyAlignment="1">
      <alignment vertical="center"/>
    </xf>
    <xf numFmtId="165" fontId="0" fillId="7" borderId="10" xfId="0" applyNumberFormat="1" applyFill="1" applyBorder="1" applyAlignment="1">
      <alignment horizontal="center" vertical="center"/>
    </xf>
    <xf numFmtId="9" fontId="0" fillId="7" borderId="10" xfId="0" applyNumberFormat="1" applyFill="1" applyBorder="1" applyAlignment="1">
      <alignment horizontal="center" vertical="center"/>
    </xf>
    <xf numFmtId="172" fontId="15" fillId="0" borderId="17" xfId="4" applyNumberFormat="1" applyFont="1" applyBorder="1" applyAlignment="1">
      <alignment horizontal="center" vertical="center" wrapText="1"/>
    </xf>
    <xf numFmtId="172" fontId="9" fillId="0" borderId="26" xfId="3" applyNumberFormat="1" applyFont="1" applyBorder="1" applyAlignment="1">
      <alignment horizontal="center" vertical="center"/>
    </xf>
    <xf numFmtId="1" fontId="8" fillId="2" borderId="10" xfId="3" applyNumberFormat="1" applyFont="1" applyFill="1" applyBorder="1" applyAlignment="1">
      <alignment horizontal="center" vertical="center"/>
    </xf>
    <xf numFmtId="10" fontId="8" fillId="7" borderId="10" xfId="3" applyNumberFormat="1" applyFont="1" applyFill="1" applyBorder="1" applyAlignment="1">
      <alignment horizontal="center" vertical="center"/>
    </xf>
    <xf numFmtId="168" fontId="8" fillId="2" borderId="10" xfId="3" applyNumberFormat="1" applyFont="1" applyFill="1" applyBorder="1" applyAlignment="1">
      <alignment horizontal="center" vertical="center"/>
    </xf>
    <xf numFmtId="168" fontId="8" fillId="7" borderId="10" xfId="3" applyNumberFormat="1" applyFont="1" applyFill="1" applyBorder="1" applyAlignment="1">
      <alignment horizontal="center" vertical="center"/>
    </xf>
    <xf numFmtId="171" fontId="8" fillId="0" borderId="10" xfId="3" applyNumberFormat="1" applyFont="1" applyBorder="1" applyAlignment="1">
      <alignment horizontal="center" vertical="center"/>
    </xf>
    <xf numFmtId="0" fontId="10" fillId="3" borderId="45" xfId="0" applyFont="1" applyFill="1" applyBorder="1" applyAlignment="1">
      <alignment horizontal="center" vertical="center"/>
    </xf>
    <xf numFmtId="171" fontId="11" fillId="2" borderId="4" xfId="3" applyNumberFormat="1" applyFont="1" applyFill="1" applyBorder="1" applyAlignment="1">
      <alignment horizontal="left" vertical="center"/>
    </xf>
    <xf numFmtId="0" fontId="17" fillId="9" borderId="0" xfId="4" applyFont="1" applyFill="1" applyProtection="1">
      <protection locked="0"/>
    </xf>
    <xf numFmtId="2" fontId="8" fillId="7" borderId="10" xfId="3" applyNumberFormat="1" applyFont="1" applyFill="1" applyBorder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 applyAlignment="1">
      <alignment vertical="center" wrapText="1"/>
    </xf>
    <xf numFmtId="3" fontId="0" fillId="2" borderId="10" xfId="0" applyNumberFormat="1" applyFill="1" applyBorder="1" applyAlignment="1">
      <alignment horizontal="center" vertical="center"/>
    </xf>
    <xf numFmtId="0" fontId="34" fillId="0" borderId="0" xfId="0" applyFont="1"/>
    <xf numFmtId="3" fontId="8" fillId="2" borderId="10" xfId="3" applyNumberFormat="1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1" fontId="12" fillId="4" borderId="10" xfId="3" applyNumberFormat="1" applyFont="1" applyFill="1" applyBorder="1" applyAlignment="1">
      <alignment vertical="center" wrapText="1"/>
    </xf>
    <xf numFmtId="2" fontId="8" fillId="4" borderId="10" xfId="3" applyNumberFormat="1" applyFont="1" applyFill="1" applyBorder="1" applyAlignment="1">
      <alignment horizontal="center" vertical="center"/>
    </xf>
    <xf numFmtId="171" fontId="8" fillId="4" borderId="10" xfId="3" applyNumberFormat="1" applyFont="1" applyFill="1" applyBorder="1" applyAlignment="1">
      <alignment horizontal="center" vertical="center"/>
    </xf>
    <xf numFmtId="1" fontId="8" fillId="4" borderId="10" xfId="3" applyNumberFormat="1" applyFont="1" applyFill="1" applyBorder="1" applyAlignment="1">
      <alignment horizontal="center" vertical="center"/>
    </xf>
    <xf numFmtId="168" fontId="8" fillId="4" borderId="10" xfId="3" applyNumberFormat="1" applyFont="1" applyFill="1" applyBorder="1" applyAlignment="1">
      <alignment horizontal="center" vertical="center"/>
    </xf>
    <xf numFmtId="9" fontId="8" fillId="4" borderId="10" xfId="2" applyFont="1" applyFill="1" applyBorder="1" applyAlignment="1">
      <alignment horizontal="center" vertical="center"/>
    </xf>
    <xf numFmtId="3" fontId="8" fillId="4" borderId="10" xfId="3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9" fontId="8" fillId="2" borderId="10" xfId="2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 wrapText="1"/>
    </xf>
    <xf numFmtId="173" fontId="0" fillId="0" borderId="47" xfId="0" applyNumberFormat="1" applyBorder="1"/>
    <xf numFmtId="10" fontId="8" fillId="7" borderId="10" xfId="2" applyNumberFormat="1" applyFont="1" applyFill="1" applyBorder="1" applyAlignment="1">
      <alignment horizontal="center" vertical="center"/>
    </xf>
    <xf numFmtId="174" fontId="0" fillId="2" borderId="0" xfId="0" applyNumberFormat="1" applyFill="1" applyAlignment="1">
      <alignment vertical="center"/>
    </xf>
    <xf numFmtId="165" fontId="0" fillId="2" borderId="0" xfId="0" applyNumberFormat="1" applyFill="1" applyAlignment="1">
      <alignment vertical="center"/>
    </xf>
    <xf numFmtId="0" fontId="3" fillId="16" borderId="50" xfId="0" applyFont="1" applyFill="1" applyBorder="1" applyAlignment="1">
      <alignment horizontal="center" vertical="center"/>
    </xf>
    <xf numFmtId="0" fontId="3" fillId="17" borderId="30" xfId="0" applyFont="1" applyFill="1" applyBorder="1" applyAlignment="1">
      <alignment horizontal="center"/>
    </xf>
    <xf numFmtId="0" fontId="0" fillId="0" borderId="0" xfId="0" applyAlignment="1">
      <alignment horizontal="left" indent="1"/>
    </xf>
    <xf numFmtId="173" fontId="10" fillId="3" borderId="13" xfId="0" applyNumberFormat="1" applyFont="1" applyFill="1" applyBorder="1" applyAlignment="1">
      <alignment horizontal="center" vertical="center"/>
    </xf>
    <xf numFmtId="173" fontId="10" fillId="3" borderId="43" xfId="0" applyNumberFormat="1" applyFont="1" applyFill="1" applyBorder="1" applyAlignment="1">
      <alignment horizontal="center" vertical="center"/>
    </xf>
    <xf numFmtId="173" fontId="0" fillId="0" borderId="46" xfId="0" applyNumberFormat="1" applyBorder="1"/>
    <xf numFmtId="173" fontId="0" fillId="0" borderId="43" xfId="0" applyNumberFormat="1" applyBorder="1"/>
    <xf numFmtId="0" fontId="3" fillId="4" borderId="44" xfId="0" applyFont="1" applyFill="1" applyBorder="1" applyAlignment="1">
      <alignment horizontal="center"/>
    </xf>
    <xf numFmtId="0" fontId="0" fillId="4" borderId="44" xfId="0" applyFill="1" applyBorder="1" applyAlignment="1">
      <alignment horizontal="left" indent="1"/>
    </xf>
    <xf numFmtId="173" fontId="0" fillId="4" borderId="44" xfId="0" applyNumberFormat="1" applyFill="1" applyBorder="1"/>
    <xf numFmtId="173" fontId="0" fillId="4" borderId="48" xfId="0" applyNumberFormat="1" applyFill="1" applyBorder="1"/>
    <xf numFmtId="0" fontId="3" fillId="4" borderId="22" xfId="0" applyFont="1" applyFill="1" applyBorder="1" applyAlignment="1">
      <alignment horizontal="center" vertical="center"/>
    </xf>
    <xf numFmtId="0" fontId="0" fillId="4" borderId="44" xfId="0" applyFill="1" applyBorder="1"/>
    <xf numFmtId="173" fontId="10" fillId="3" borderId="9" xfId="0" applyNumberFormat="1" applyFont="1" applyFill="1" applyBorder="1" applyAlignment="1">
      <alignment horizontal="center" vertical="center"/>
    </xf>
    <xf numFmtId="0" fontId="17" fillId="9" borderId="0" xfId="16" applyFont="1" applyFill="1"/>
    <xf numFmtId="0" fontId="24" fillId="9" borderId="52" xfId="16" applyFont="1" applyFill="1" applyBorder="1"/>
    <xf numFmtId="0" fontId="24" fillId="9" borderId="44" xfId="16" applyFont="1" applyFill="1" applyBorder="1"/>
    <xf numFmtId="0" fontId="24" fillId="9" borderId="51" xfId="16" applyFont="1" applyFill="1" applyBorder="1"/>
    <xf numFmtId="0" fontId="24" fillId="9" borderId="27" xfId="16" applyFont="1" applyFill="1" applyBorder="1"/>
    <xf numFmtId="0" fontId="24" fillId="9" borderId="0" xfId="16" applyFont="1" applyFill="1"/>
    <xf numFmtId="0" fontId="24" fillId="9" borderId="0" xfId="16" applyFont="1" applyFill="1" applyProtection="1">
      <protection locked="0"/>
    </xf>
    <xf numFmtId="0" fontId="24" fillId="9" borderId="31" xfId="16" applyFont="1" applyFill="1" applyBorder="1" applyProtection="1">
      <protection locked="0"/>
    </xf>
    <xf numFmtId="0" fontId="24" fillId="9" borderId="31" xfId="16" applyFont="1" applyFill="1" applyBorder="1"/>
    <xf numFmtId="0" fontId="24" fillId="9" borderId="10" xfId="16" applyFont="1" applyFill="1" applyBorder="1"/>
    <xf numFmtId="0" fontId="24" fillId="9" borderId="0" xfId="16" applyFont="1" applyFill="1" applyAlignment="1">
      <alignment horizontal="center" vertical="center"/>
    </xf>
    <xf numFmtId="0" fontId="24" fillId="9" borderId="0" xfId="16" applyFont="1" applyFill="1" applyAlignment="1" applyProtection="1">
      <alignment horizontal="center" vertical="center"/>
      <protection locked="0"/>
    </xf>
    <xf numFmtId="0" fontId="17" fillId="9" borderId="27" xfId="16" applyFont="1" applyFill="1" applyBorder="1" applyProtection="1">
      <protection locked="0"/>
    </xf>
    <xf numFmtId="0" fontId="17" fillId="9" borderId="0" xfId="16" applyFont="1" applyFill="1" applyProtection="1">
      <protection locked="0"/>
    </xf>
    <xf numFmtId="0" fontId="29" fillId="9" borderId="31" xfId="16" applyFont="1" applyFill="1" applyBorder="1" applyProtection="1">
      <protection locked="0"/>
    </xf>
    <xf numFmtId="0" fontId="23" fillId="9" borderId="27" xfId="16" applyFont="1" applyFill="1" applyBorder="1" applyProtection="1">
      <protection locked="0"/>
    </xf>
    <xf numFmtId="0" fontId="23" fillId="9" borderId="0" xfId="16" applyFont="1" applyFill="1" applyProtection="1">
      <protection locked="0"/>
    </xf>
    <xf numFmtId="0" fontId="23" fillId="0" borderId="0" xfId="16" applyFont="1" applyProtection="1">
      <protection locked="0"/>
    </xf>
    <xf numFmtId="0" fontId="23" fillId="12" borderId="0" xfId="16" applyFont="1" applyFill="1" applyProtection="1">
      <protection locked="0"/>
    </xf>
    <xf numFmtId="0" fontId="23" fillId="12" borderId="31" xfId="16" applyFont="1" applyFill="1" applyBorder="1" applyProtection="1">
      <protection locked="0"/>
    </xf>
    <xf numFmtId="0" fontId="17" fillId="9" borderId="52" xfId="16" applyFont="1" applyFill="1" applyBorder="1" applyProtection="1">
      <protection locked="0"/>
    </xf>
    <xf numFmtId="0" fontId="17" fillId="9" borderId="44" xfId="16" applyFont="1" applyFill="1" applyBorder="1" applyProtection="1">
      <protection locked="0"/>
    </xf>
    <xf numFmtId="0" fontId="17" fillId="9" borderId="51" xfId="16" applyFont="1" applyFill="1" applyBorder="1" applyProtection="1">
      <protection locked="0"/>
    </xf>
    <xf numFmtId="0" fontId="17" fillId="9" borderId="31" xfId="16" applyFont="1" applyFill="1" applyBorder="1" applyProtection="1">
      <protection locked="0"/>
    </xf>
    <xf numFmtId="0" fontId="28" fillId="9" borderId="0" xfId="16" applyFont="1" applyFill="1" applyProtection="1">
      <protection locked="0"/>
    </xf>
    <xf numFmtId="0" fontId="28" fillId="9" borderId="31" xfId="16" applyFont="1" applyFill="1" applyBorder="1" applyProtection="1">
      <protection locked="0"/>
    </xf>
    <xf numFmtId="0" fontId="24" fillId="9" borderId="27" xfId="16" applyFont="1" applyFill="1" applyBorder="1" applyProtection="1">
      <protection locked="0"/>
    </xf>
    <xf numFmtId="0" fontId="23" fillId="9" borderId="31" xfId="16" applyFont="1" applyFill="1" applyBorder="1" applyProtection="1">
      <protection locked="0"/>
    </xf>
    <xf numFmtId="183" fontId="17" fillId="9" borderId="0" xfId="16" applyNumberFormat="1" applyFont="1" applyFill="1" applyProtection="1">
      <protection locked="0"/>
    </xf>
    <xf numFmtId="0" fontId="23" fillId="9" borderId="0" xfId="16" applyFont="1" applyFill="1"/>
    <xf numFmtId="182" fontId="23" fillId="9" borderId="0" xfId="16" applyNumberFormat="1" applyFont="1" applyFill="1"/>
    <xf numFmtId="183" fontId="23" fillId="9" borderId="26" xfId="16" applyNumberFormat="1" applyFont="1" applyFill="1" applyBorder="1" applyProtection="1">
      <protection locked="0"/>
    </xf>
    <xf numFmtId="183" fontId="23" fillId="9" borderId="34" xfId="16" applyNumberFormat="1" applyFont="1" applyFill="1" applyBorder="1" applyProtection="1">
      <protection locked="0"/>
    </xf>
    <xf numFmtId="183" fontId="23" fillId="9" borderId="33" xfId="16" applyNumberFormat="1" applyFont="1" applyFill="1" applyBorder="1" applyProtection="1">
      <protection locked="0"/>
    </xf>
    <xf numFmtId="183" fontId="17" fillId="9" borderId="10" xfId="16" applyNumberFormat="1" applyFont="1" applyFill="1" applyBorder="1" applyProtection="1">
      <protection locked="0"/>
    </xf>
    <xf numFmtId="183" fontId="17" fillId="9" borderId="38" xfId="16" applyNumberFormat="1" applyFont="1" applyFill="1" applyBorder="1" applyProtection="1">
      <protection locked="0"/>
    </xf>
    <xf numFmtId="183" fontId="17" fillId="9" borderId="37" xfId="16" applyNumberFormat="1" applyFont="1" applyFill="1" applyBorder="1" applyProtection="1">
      <protection locked="0"/>
    </xf>
    <xf numFmtId="183" fontId="17" fillId="9" borderId="26" xfId="16" applyNumberFormat="1" applyFont="1" applyFill="1" applyBorder="1" applyAlignment="1" applyProtection="1">
      <alignment horizontal="center"/>
      <protection locked="0"/>
    </xf>
    <xf numFmtId="183" fontId="26" fillId="9" borderId="34" xfId="16" applyNumberFormat="1" applyFont="1" applyFill="1" applyBorder="1" applyProtection="1">
      <protection locked="0"/>
    </xf>
    <xf numFmtId="183" fontId="26" fillId="9" borderId="33" xfId="16" applyNumberFormat="1" applyFont="1" applyFill="1" applyBorder="1" applyProtection="1">
      <protection locked="0"/>
    </xf>
    <xf numFmtId="0" fontId="27" fillId="9" borderId="33" xfId="16" applyFont="1" applyFill="1" applyBorder="1" applyProtection="1">
      <protection locked="0"/>
    </xf>
    <xf numFmtId="0" fontId="26" fillId="9" borderId="38" xfId="16" applyFont="1" applyFill="1" applyBorder="1" applyProtection="1">
      <protection locked="0"/>
    </xf>
    <xf numFmtId="0" fontId="26" fillId="9" borderId="37" xfId="16" applyFont="1" applyFill="1" applyBorder="1" applyProtection="1">
      <protection locked="0"/>
    </xf>
    <xf numFmtId="0" fontId="27" fillId="9" borderId="32" xfId="16" applyFont="1" applyFill="1" applyBorder="1" applyProtection="1">
      <protection locked="0"/>
    </xf>
    <xf numFmtId="0" fontId="17" fillId="9" borderId="27" xfId="16" applyFont="1" applyFill="1" applyBorder="1"/>
    <xf numFmtId="183" fontId="17" fillId="9" borderId="10" xfId="16" applyNumberFormat="1" applyFont="1" applyFill="1" applyBorder="1" applyAlignment="1" applyProtection="1">
      <alignment horizontal="center"/>
      <protection locked="0"/>
    </xf>
    <xf numFmtId="183" fontId="24" fillId="9" borderId="38" xfId="16" applyNumberFormat="1" applyFont="1" applyFill="1" applyBorder="1" applyProtection="1">
      <protection locked="0"/>
    </xf>
    <xf numFmtId="183" fontId="24" fillId="9" borderId="37" xfId="16" applyNumberFormat="1" applyFont="1" applyFill="1" applyBorder="1" applyProtection="1">
      <protection locked="0"/>
    </xf>
    <xf numFmtId="183" fontId="17" fillId="9" borderId="34" xfId="16" applyNumberFormat="1" applyFont="1" applyFill="1" applyBorder="1" applyAlignment="1" applyProtection="1">
      <alignment horizontal="center"/>
      <protection locked="0"/>
    </xf>
    <xf numFmtId="183" fontId="17" fillId="9" borderId="33" xfId="16" applyNumberFormat="1" applyFont="1" applyFill="1" applyBorder="1" applyAlignment="1" applyProtection="1">
      <alignment horizontal="center"/>
      <protection locked="0"/>
    </xf>
    <xf numFmtId="181" fontId="17" fillId="9" borderId="10" xfId="16" applyNumberFormat="1" applyFont="1" applyFill="1" applyBorder="1" applyAlignment="1" applyProtection="1">
      <alignment horizontal="center"/>
      <protection locked="0"/>
    </xf>
    <xf numFmtId="181" fontId="24" fillId="9" borderId="17" xfId="16" applyNumberFormat="1" applyFont="1" applyFill="1" applyBorder="1" applyProtection="1">
      <protection locked="0"/>
    </xf>
    <xf numFmtId="181" fontId="24" fillId="9" borderId="36" xfId="16" applyNumberFormat="1" applyFont="1" applyFill="1" applyBorder="1" applyProtection="1">
      <protection locked="0"/>
    </xf>
    <xf numFmtId="181" fontId="17" fillId="9" borderId="35" xfId="16" applyNumberFormat="1" applyFont="1" applyFill="1" applyBorder="1" applyAlignment="1" applyProtection="1">
      <alignment horizontal="center"/>
      <protection locked="0"/>
    </xf>
    <xf numFmtId="181" fontId="17" fillId="9" borderId="17" xfId="16" applyNumberFormat="1" applyFont="1" applyFill="1" applyBorder="1" applyAlignment="1" applyProtection="1">
      <alignment horizontal="center"/>
      <protection locked="0"/>
    </xf>
    <xf numFmtId="181" fontId="17" fillId="9" borderId="36" xfId="16" applyNumberFormat="1" applyFont="1" applyFill="1" applyBorder="1" applyAlignment="1" applyProtection="1">
      <alignment horizontal="center"/>
      <protection locked="0"/>
    </xf>
    <xf numFmtId="4" fontId="17" fillId="9" borderId="0" xfId="16" applyNumberFormat="1" applyFont="1" applyFill="1"/>
    <xf numFmtId="181" fontId="24" fillId="9" borderId="26" xfId="16" applyNumberFormat="1" applyFont="1" applyFill="1" applyBorder="1" applyProtection="1">
      <protection locked="0"/>
    </xf>
    <xf numFmtId="181" fontId="24" fillId="9" borderId="34" xfId="16" applyNumberFormat="1" applyFont="1" applyFill="1" applyBorder="1" applyProtection="1">
      <protection locked="0"/>
    </xf>
    <xf numFmtId="181" fontId="17" fillId="9" borderId="33" xfId="16" applyNumberFormat="1" applyFont="1" applyFill="1" applyBorder="1" applyAlignment="1" applyProtection="1">
      <alignment horizontal="center"/>
      <protection locked="0"/>
    </xf>
    <xf numFmtId="181" fontId="17" fillId="9" borderId="26" xfId="16" applyNumberFormat="1" applyFont="1" applyFill="1" applyBorder="1" applyAlignment="1" applyProtection="1">
      <alignment horizontal="center"/>
      <protection locked="0"/>
    </xf>
    <xf numFmtId="181" fontId="17" fillId="9" borderId="34" xfId="16" applyNumberFormat="1" applyFont="1" applyFill="1" applyBorder="1" applyAlignment="1" applyProtection="1">
      <alignment horizontal="center"/>
      <protection locked="0"/>
    </xf>
    <xf numFmtId="181" fontId="17" fillId="9" borderId="26" xfId="16" applyNumberFormat="1" applyFont="1" applyFill="1" applyBorder="1" applyProtection="1">
      <protection locked="0"/>
    </xf>
    <xf numFmtId="181" fontId="17" fillId="9" borderId="34" xfId="16" applyNumberFormat="1" applyFont="1" applyFill="1" applyBorder="1" applyProtection="1">
      <protection locked="0"/>
    </xf>
    <xf numFmtId="0" fontId="17" fillId="9" borderId="36" xfId="16" applyFont="1" applyFill="1" applyBorder="1" applyProtection="1">
      <protection locked="0"/>
    </xf>
    <xf numFmtId="0" fontId="17" fillId="9" borderId="17" xfId="16" applyFont="1" applyFill="1" applyBorder="1" applyProtection="1">
      <protection locked="0"/>
    </xf>
    <xf numFmtId="0" fontId="24" fillId="9" borderId="35" xfId="16" applyFont="1" applyFill="1" applyBorder="1" applyProtection="1">
      <protection locked="0"/>
    </xf>
    <xf numFmtId="0" fontId="26" fillId="9" borderId="10" xfId="16" applyFont="1" applyFill="1" applyBorder="1" applyAlignment="1" applyProtection="1">
      <alignment horizontal="center"/>
      <protection locked="0"/>
    </xf>
    <xf numFmtId="0" fontId="26" fillId="9" borderId="33" xfId="16" applyFont="1" applyFill="1" applyBorder="1" applyAlignment="1" applyProtection="1">
      <alignment horizontal="center"/>
      <protection locked="0"/>
    </xf>
    <xf numFmtId="0" fontId="26" fillId="9" borderId="26" xfId="16" applyFont="1" applyFill="1" applyBorder="1" applyProtection="1">
      <protection locked="0"/>
    </xf>
    <xf numFmtId="0" fontId="26" fillId="9" borderId="34" xfId="16" applyFont="1" applyFill="1" applyBorder="1" applyProtection="1">
      <protection locked="0"/>
    </xf>
    <xf numFmtId="0" fontId="26" fillId="9" borderId="33" xfId="16" applyFont="1" applyFill="1" applyBorder="1" applyProtection="1">
      <protection locked="0"/>
    </xf>
    <xf numFmtId="0" fontId="27" fillId="9" borderId="0" xfId="16" applyFont="1" applyFill="1" applyProtection="1">
      <protection locked="0"/>
    </xf>
    <xf numFmtId="0" fontId="27" fillId="9" borderId="31" xfId="16" applyFont="1" applyFill="1" applyBorder="1" applyProtection="1">
      <protection locked="0"/>
    </xf>
    <xf numFmtId="0" fontId="17" fillId="13" borderId="0" xfId="16" applyFont="1" applyFill="1" applyProtection="1">
      <protection locked="0"/>
    </xf>
    <xf numFmtId="0" fontId="23" fillId="13" borderId="31" xfId="16" applyFont="1" applyFill="1" applyBorder="1" applyProtection="1">
      <protection locked="0"/>
    </xf>
    <xf numFmtId="0" fontId="17" fillId="9" borderId="26" xfId="16" applyFont="1" applyFill="1" applyBorder="1"/>
    <xf numFmtId="0" fontId="17" fillId="9" borderId="34" xfId="16" applyFont="1" applyFill="1" applyBorder="1" applyProtection="1">
      <protection locked="0"/>
    </xf>
    <xf numFmtId="17" fontId="17" fillId="9" borderId="33" xfId="16" applyNumberFormat="1" applyFont="1" applyFill="1" applyBorder="1" applyProtection="1">
      <protection locked="0"/>
    </xf>
    <xf numFmtId="0" fontId="17" fillId="9" borderId="26" xfId="16" applyFont="1" applyFill="1" applyBorder="1" applyProtection="1">
      <protection locked="0"/>
    </xf>
    <xf numFmtId="17" fontId="17" fillId="9" borderId="34" xfId="16" applyNumberFormat="1" applyFont="1" applyFill="1" applyBorder="1" applyProtection="1">
      <protection locked="0"/>
    </xf>
    <xf numFmtId="165" fontId="24" fillId="9" borderId="33" xfId="16" applyNumberFormat="1" applyFont="1" applyFill="1" applyBorder="1" applyAlignment="1" applyProtection="1">
      <alignment horizontal="left"/>
      <protection locked="0"/>
    </xf>
    <xf numFmtId="0" fontId="17" fillId="9" borderId="9" xfId="16" applyFont="1" applyFill="1" applyBorder="1" applyProtection="1">
      <protection locked="0"/>
    </xf>
    <xf numFmtId="0" fontId="24" fillId="9" borderId="26" xfId="16" applyFont="1" applyFill="1" applyBorder="1" applyProtection="1">
      <protection locked="0"/>
    </xf>
    <xf numFmtId="0" fontId="24" fillId="9" borderId="34" xfId="16" applyFont="1" applyFill="1" applyBorder="1" applyProtection="1">
      <protection locked="0"/>
    </xf>
    <xf numFmtId="0" fontId="24" fillId="9" borderId="33" xfId="16" applyFont="1" applyFill="1" applyBorder="1" applyProtection="1">
      <protection locked="0"/>
    </xf>
    <xf numFmtId="0" fontId="24" fillId="9" borderId="9" xfId="16" applyFont="1" applyFill="1" applyBorder="1" applyProtection="1">
      <protection locked="0"/>
    </xf>
    <xf numFmtId="0" fontId="24" fillId="9" borderId="34" xfId="16" applyFont="1" applyFill="1" applyBorder="1" applyAlignment="1" applyProtection="1">
      <alignment horizontal="center"/>
      <protection locked="0"/>
    </xf>
    <xf numFmtId="0" fontId="26" fillId="9" borderId="0" xfId="16" applyFont="1" applyFill="1" applyAlignment="1">
      <alignment horizontal="left"/>
    </xf>
    <xf numFmtId="0" fontId="26" fillId="9" borderId="27" xfId="16" applyFont="1" applyFill="1" applyBorder="1" applyAlignment="1" applyProtection="1">
      <alignment horizontal="left"/>
      <protection locked="0"/>
    </xf>
    <xf numFmtId="0" fontId="26" fillId="9" borderId="0" xfId="16" applyFont="1" applyFill="1" applyAlignment="1" applyProtection="1">
      <alignment horizontal="left"/>
      <protection locked="0"/>
    </xf>
    <xf numFmtId="0" fontId="25" fillId="9" borderId="31" xfId="16" applyFont="1" applyFill="1" applyBorder="1" applyAlignment="1" applyProtection="1">
      <alignment horizontal="left"/>
      <protection locked="0"/>
    </xf>
    <xf numFmtId="0" fontId="17" fillId="9" borderId="0" xfId="16" applyFont="1" applyFill="1" applyAlignment="1" applyProtection="1">
      <alignment horizontal="right"/>
      <protection locked="0"/>
    </xf>
    <xf numFmtId="0" fontId="24" fillId="0" borderId="0" xfId="16" applyFont="1" applyProtection="1">
      <protection locked="0"/>
    </xf>
    <xf numFmtId="0" fontId="20" fillId="9" borderId="0" xfId="16" applyFont="1" applyFill="1" applyAlignment="1" applyProtection="1">
      <alignment horizontal="center"/>
      <protection locked="0"/>
    </xf>
    <xf numFmtId="0" fontId="20" fillId="9" borderId="27" xfId="16" applyFont="1" applyFill="1" applyBorder="1" applyAlignment="1" applyProtection="1">
      <alignment horizontal="center"/>
      <protection locked="0"/>
    </xf>
    <xf numFmtId="0" fontId="20" fillId="9" borderId="50" xfId="16" applyFont="1" applyFill="1" applyBorder="1" applyAlignment="1" applyProtection="1">
      <alignment horizontal="center"/>
      <protection locked="0"/>
    </xf>
    <xf numFmtId="0" fontId="21" fillId="9" borderId="0" xfId="16" applyFont="1" applyFill="1" applyAlignment="1" applyProtection="1">
      <alignment horizontal="center"/>
      <protection locked="0"/>
    </xf>
    <xf numFmtId="0" fontId="20" fillId="9" borderId="31" xfId="16" applyFont="1" applyFill="1" applyBorder="1" applyAlignment="1" applyProtection="1">
      <alignment horizontal="center"/>
      <protection locked="0"/>
    </xf>
    <xf numFmtId="185" fontId="23" fillId="9" borderId="33" xfId="16" applyNumberFormat="1" applyFont="1" applyFill="1" applyBorder="1" applyProtection="1">
      <protection locked="0"/>
    </xf>
    <xf numFmtId="165" fontId="17" fillId="9" borderId="0" xfId="16" applyNumberFormat="1" applyFont="1" applyFill="1" applyProtection="1">
      <protection locked="0"/>
    </xf>
    <xf numFmtId="0" fontId="10" fillId="11" borderId="11" xfId="0" applyFont="1" applyFill="1" applyBorder="1" applyAlignment="1">
      <alignment horizontal="center" vertical="center"/>
    </xf>
    <xf numFmtId="0" fontId="10" fillId="11" borderId="13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2" fillId="11" borderId="13" xfId="0" applyFont="1" applyFill="1" applyBorder="1" applyAlignment="1">
      <alignment horizontal="center" vertical="center"/>
    </xf>
    <xf numFmtId="171" fontId="2" fillId="11" borderId="13" xfId="0" applyNumberFormat="1" applyFont="1" applyFill="1" applyBorder="1" applyAlignment="1">
      <alignment horizontal="center" vertical="center"/>
    </xf>
    <xf numFmtId="0" fontId="36" fillId="2" borderId="0" xfId="0" applyFont="1" applyFill="1"/>
    <xf numFmtId="167" fontId="36" fillId="2" borderId="0" xfId="1" applyFont="1" applyFill="1" applyAlignment="1">
      <alignment horizontal="left" indent="1"/>
    </xf>
    <xf numFmtId="184" fontId="36" fillId="2" borderId="0" xfId="1" applyNumberFormat="1" applyFont="1" applyFill="1"/>
    <xf numFmtId="168" fontId="36" fillId="2" borderId="0" xfId="0" applyNumberFormat="1" applyFont="1" applyFill="1"/>
    <xf numFmtId="0" fontId="10" fillId="11" borderId="14" xfId="0" applyFont="1" applyFill="1" applyBorder="1" applyAlignment="1">
      <alignment horizontal="center" vertical="center"/>
    </xf>
    <xf numFmtId="0" fontId="10" fillId="11" borderId="45" xfId="0" applyFont="1" applyFill="1" applyBorder="1" applyAlignment="1">
      <alignment horizontal="center" vertical="center"/>
    </xf>
    <xf numFmtId="0" fontId="10" fillId="11" borderId="12" xfId="0" applyFont="1" applyFill="1" applyBorder="1" applyAlignment="1">
      <alignment horizontal="center" vertical="center"/>
    </xf>
    <xf numFmtId="0" fontId="9" fillId="2" borderId="4" xfId="3" applyFont="1" applyFill="1" applyBorder="1" applyAlignment="1">
      <alignment horizontal="left" vertical="center"/>
    </xf>
    <xf numFmtId="171" fontId="9" fillId="2" borderId="4" xfId="3" applyNumberFormat="1" applyFont="1" applyFill="1" applyBorder="1" applyAlignment="1">
      <alignment horizontal="left" vertical="center"/>
    </xf>
    <xf numFmtId="0" fontId="37" fillId="11" borderId="10" xfId="0" applyFont="1" applyFill="1" applyBorder="1" applyAlignment="1">
      <alignment vertical="center" wrapText="1"/>
    </xf>
    <xf numFmtId="0" fontId="37" fillId="11" borderId="10" xfId="0" applyFont="1" applyFill="1" applyBorder="1" applyAlignment="1">
      <alignment horizontal="center" vertical="center" wrapText="1"/>
    </xf>
    <xf numFmtId="14" fontId="37" fillId="11" borderId="10" xfId="0" applyNumberFormat="1" applyFont="1" applyFill="1" applyBorder="1" applyAlignment="1">
      <alignment horizontal="center" vertical="center"/>
    </xf>
    <xf numFmtId="173" fontId="37" fillId="11" borderId="10" xfId="0" applyNumberFormat="1" applyFont="1" applyFill="1" applyBorder="1" applyAlignment="1">
      <alignment horizontal="center" vertical="center"/>
    </xf>
    <xf numFmtId="175" fontId="37" fillId="11" borderId="10" xfId="0" applyNumberFormat="1" applyFont="1" applyFill="1" applyBorder="1" applyAlignment="1">
      <alignment horizontal="center" vertical="center"/>
    </xf>
    <xf numFmtId="184" fontId="37" fillId="11" borderId="10" xfId="1" applyNumberFormat="1" applyFont="1" applyFill="1" applyBorder="1" applyAlignment="1">
      <alignment horizontal="center" vertical="center"/>
    </xf>
    <xf numFmtId="0" fontId="36" fillId="2" borderId="10" xfId="0" applyFont="1" applyFill="1" applyBorder="1" applyAlignment="1">
      <alignment horizontal="left" vertical="center" wrapText="1"/>
    </xf>
    <xf numFmtId="0" fontId="38" fillId="0" borderId="10" xfId="0" applyFont="1" applyBorder="1" applyAlignment="1">
      <alignment horizontal="left" vertical="center" wrapText="1"/>
    </xf>
    <xf numFmtId="0" fontId="36" fillId="0" borderId="10" xfId="0" applyFont="1" applyBorder="1" applyAlignment="1">
      <alignment horizontal="center" vertical="center" wrapText="1"/>
    </xf>
    <xf numFmtId="173" fontId="36" fillId="2" borderId="10" xfId="0" applyNumberFormat="1" applyFont="1" applyFill="1" applyBorder="1" applyAlignment="1">
      <alignment vertical="center" wrapText="1"/>
    </xf>
    <xf numFmtId="179" fontId="36" fillId="2" borderId="10" xfId="7" applyNumberFormat="1" applyFont="1" applyFill="1" applyBorder="1" applyAlignment="1">
      <alignment horizontal="center" vertical="center" wrapText="1"/>
    </xf>
    <xf numFmtId="173" fontId="36" fillId="2" borderId="10" xfId="6" applyNumberFormat="1" applyFont="1" applyFill="1" applyBorder="1" applyAlignment="1">
      <alignment horizontal="center" vertical="center" wrapText="1"/>
    </xf>
    <xf numFmtId="168" fontId="36" fillId="9" borderId="10" xfId="6" applyNumberFormat="1" applyFont="1" applyFill="1" applyBorder="1" applyAlignment="1">
      <alignment horizontal="center" vertical="center"/>
    </xf>
    <xf numFmtId="172" fontId="39" fillId="2" borderId="2" xfId="8" applyNumberFormat="1" applyFont="1" applyFill="1" applyBorder="1" applyAlignment="1">
      <alignment horizontal="center" vertical="center"/>
    </xf>
    <xf numFmtId="173" fontId="39" fillId="2" borderId="2" xfId="8" applyNumberFormat="1" applyFont="1" applyFill="1" applyBorder="1" applyAlignment="1">
      <alignment horizontal="center" vertical="center"/>
    </xf>
    <xf numFmtId="0" fontId="36" fillId="5" borderId="4" xfId="0" applyFont="1" applyFill="1" applyBorder="1"/>
    <xf numFmtId="168" fontId="36" fillId="5" borderId="4" xfId="0" applyNumberFormat="1" applyFont="1" applyFill="1" applyBorder="1"/>
    <xf numFmtId="172" fontId="36" fillId="5" borderId="4" xfId="0" applyNumberFormat="1" applyFont="1" applyFill="1" applyBorder="1" applyAlignment="1">
      <alignment horizontal="center"/>
    </xf>
    <xf numFmtId="168" fontId="36" fillId="2" borderId="10" xfId="6" applyNumberFormat="1" applyFont="1" applyFill="1" applyBorder="1" applyAlignment="1">
      <alignment horizontal="center" vertical="center"/>
    </xf>
    <xf numFmtId="171" fontId="36" fillId="9" borderId="10" xfId="6" applyNumberFormat="1" applyFont="1" applyFill="1" applyBorder="1" applyAlignment="1">
      <alignment horizontal="center" vertical="center"/>
    </xf>
    <xf numFmtId="173" fontId="9" fillId="2" borderId="4" xfId="3" applyNumberFormat="1" applyFont="1" applyFill="1" applyBorder="1" applyAlignment="1">
      <alignment horizontal="left" vertical="center"/>
    </xf>
    <xf numFmtId="173" fontId="9" fillId="2" borderId="4" xfId="3" applyNumberFormat="1" applyFont="1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71" fontId="0" fillId="2" borderId="0" xfId="0" applyNumberFormat="1" applyFill="1" applyAlignment="1">
      <alignment horizontal="center" vertical="center"/>
    </xf>
    <xf numFmtId="1" fontId="0" fillId="2" borderId="36" xfId="0" applyNumberFormat="1" applyFill="1" applyBorder="1" applyAlignment="1">
      <alignment horizontal="center" vertical="center"/>
    </xf>
    <xf numFmtId="171" fontId="0" fillId="2" borderId="36" xfId="0" applyNumberFormat="1" applyFill="1" applyBorder="1" applyAlignment="1">
      <alignment horizontal="center" vertical="center"/>
    </xf>
    <xf numFmtId="171" fontId="8" fillId="4" borderId="36" xfId="3" applyNumberFormat="1" applyFont="1" applyFill="1" applyBorder="1" applyAlignment="1">
      <alignment horizontal="center" vertical="center"/>
    </xf>
    <xf numFmtId="171" fontId="0" fillId="2" borderId="54" xfId="0" applyNumberFormat="1" applyFill="1" applyBorder="1" applyAlignment="1">
      <alignment horizontal="center" vertical="center"/>
    </xf>
    <xf numFmtId="10" fontId="0" fillId="7" borderId="10" xfId="0" applyNumberFormat="1" applyFill="1" applyBorder="1" applyAlignment="1">
      <alignment horizontal="center" vertical="center"/>
    </xf>
    <xf numFmtId="168" fontId="0" fillId="7" borderId="10" xfId="0" applyNumberFormat="1" applyFill="1" applyBorder="1" applyAlignment="1">
      <alignment horizontal="center" vertical="center"/>
    </xf>
    <xf numFmtId="169" fontId="0" fillId="2" borderId="10" xfId="1" applyNumberFormat="1" applyFont="1" applyFill="1" applyBorder="1" applyAlignment="1">
      <alignment horizontal="center" vertical="center"/>
    </xf>
    <xf numFmtId="169" fontId="11" fillId="2" borderId="4" xfId="1" applyNumberFormat="1" applyFont="1" applyFill="1" applyBorder="1" applyAlignment="1">
      <alignment horizontal="left" vertical="center"/>
    </xf>
    <xf numFmtId="168" fontId="0" fillId="2" borderId="10" xfId="0" applyNumberFormat="1" applyFill="1" applyBorder="1" applyAlignment="1">
      <alignment horizontal="center" vertical="center"/>
    </xf>
    <xf numFmtId="168" fontId="11" fillId="2" borderId="4" xfId="3" applyNumberFormat="1" applyFont="1" applyFill="1" applyBorder="1" applyAlignment="1">
      <alignment horizontal="left" vertical="center"/>
    </xf>
    <xf numFmtId="168" fontId="0" fillId="2" borderId="0" xfId="0" applyNumberFormat="1" applyFill="1" applyAlignment="1">
      <alignment horizontal="center" vertical="center"/>
    </xf>
    <xf numFmtId="165" fontId="0" fillId="2" borderId="10" xfId="0" applyNumberFormat="1" applyFill="1" applyBorder="1" applyAlignment="1">
      <alignment horizontal="center" vertical="center" wrapText="1"/>
    </xf>
    <xf numFmtId="168" fontId="2" fillId="11" borderId="13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32" fillId="2" borderId="0" xfId="0" applyFont="1" applyFill="1" applyAlignment="1">
      <alignment vertical="center"/>
    </xf>
    <xf numFmtId="165" fontId="0" fillId="2" borderId="0" xfId="2" applyNumberFormat="1" applyFont="1" applyFill="1" applyAlignment="1">
      <alignment horizontal="center" vertical="center"/>
    </xf>
    <xf numFmtId="180" fontId="0" fillId="2" borderId="0" xfId="2" applyNumberFormat="1" applyFont="1" applyFill="1" applyAlignment="1">
      <alignment horizontal="center" vertical="center"/>
    </xf>
    <xf numFmtId="174" fontId="0" fillId="2" borderId="0" xfId="0" applyNumberFormat="1" applyFill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vertical="center"/>
    </xf>
    <xf numFmtId="165" fontId="5" fillId="4" borderId="4" xfId="0" applyNumberFormat="1" applyFont="1" applyFill="1" applyBorder="1" applyAlignment="1">
      <alignment horizontal="center" vertical="center"/>
    </xf>
    <xf numFmtId="3" fontId="5" fillId="4" borderId="4" xfId="0" applyNumberFormat="1" applyFont="1" applyFill="1" applyBorder="1" applyAlignment="1">
      <alignment horizontal="center" vertical="center"/>
    </xf>
    <xf numFmtId="170" fontId="5" fillId="4" borderId="4" xfId="2" applyNumberFormat="1" applyFont="1" applyFill="1" applyBorder="1" applyAlignment="1">
      <alignment horizontal="center" vertical="center"/>
    </xf>
    <xf numFmtId="9" fontId="5" fillId="4" borderId="4" xfId="2" applyFont="1" applyFill="1" applyBorder="1" applyAlignment="1">
      <alignment horizontal="center" vertical="center"/>
    </xf>
    <xf numFmtId="168" fontId="5" fillId="4" borderId="4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5" fillId="4" borderId="19" xfId="0" applyNumberFormat="1" applyFont="1" applyFill="1" applyBorder="1" applyAlignment="1">
      <alignment horizontal="center" vertical="center"/>
    </xf>
    <xf numFmtId="168" fontId="0" fillId="2" borderId="0" xfId="0" applyNumberFormat="1" applyFill="1" applyAlignment="1">
      <alignment vertical="center"/>
    </xf>
    <xf numFmtId="0" fontId="5" fillId="4" borderId="18" xfId="0" applyFont="1" applyFill="1" applyBorder="1" applyAlignment="1">
      <alignment horizontal="center" vertical="center"/>
    </xf>
    <xf numFmtId="0" fontId="0" fillId="2" borderId="36" xfId="0" applyFill="1" applyBorder="1" applyAlignment="1">
      <alignment vertical="center"/>
    </xf>
    <xf numFmtId="169" fontId="0" fillId="2" borderId="36" xfId="1" applyNumberFormat="1" applyFont="1" applyFill="1" applyBorder="1" applyAlignment="1">
      <alignment horizontal="center" vertical="center"/>
    </xf>
    <xf numFmtId="173" fontId="0" fillId="2" borderId="36" xfId="0" applyNumberFormat="1" applyFill="1" applyBorder="1" applyAlignment="1">
      <alignment horizontal="center" vertical="center"/>
    </xf>
    <xf numFmtId="169" fontId="0" fillId="2" borderId="0" xfId="1" applyNumberFormat="1" applyFont="1" applyFill="1" applyBorder="1" applyAlignment="1">
      <alignment horizontal="center" vertical="center"/>
    </xf>
    <xf numFmtId="173" fontId="0" fillId="2" borderId="0" xfId="0" applyNumberFormat="1" applyFill="1" applyAlignment="1">
      <alignment horizontal="center" vertical="center"/>
    </xf>
    <xf numFmtId="0" fontId="6" fillId="2" borderId="4" xfId="0" applyFont="1" applyFill="1" applyBorder="1" applyAlignment="1">
      <alignment vertical="center"/>
    </xf>
    <xf numFmtId="165" fontId="6" fillId="2" borderId="4" xfId="0" applyNumberFormat="1" applyFont="1" applyFill="1" applyBorder="1" applyAlignment="1">
      <alignment horizontal="center" vertical="center"/>
    </xf>
    <xf numFmtId="169" fontId="6" fillId="2" borderId="4" xfId="1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71" fontId="6" fillId="2" borderId="4" xfId="1" applyNumberFormat="1" applyFont="1" applyFill="1" applyBorder="1" applyAlignment="1">
      <alignment horizontal="center" vertical="center"/>
    </xf>
    <xf numFmtId="167" fontId="0" fillId="2" borderId="0" xfId="1" applyFont="1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0" fontId="40" fillId="11" borderId="10" xfId="0" applyFont="1" applyFill="1" applyBorder="1" applyAlignment="1">
      <alignment vertical="center" wrapText="1"/>
    </xf>
    <xf numFmtId="0" fontId="40" fillId="11" borderId="10" xfId="0" applyFont="1" applyFill="1" applyBorder="1" applyAlignment="1">
      <alignment horizontal="center" vertical="center" wrapText="1"/>
    </xf>
    <xf numFmtId="173" fontId="40" fillId="11" borderId="10" xfId="0" applyNumberFormat="1" applyFont="1" applyFill="1" applyBorder="1" applyAlignment="1">
      <alignment horizontal="center" vertical="center"/>
    </xf>
    <xf numFmtId="175" fontId="40" fillId="11" borderId="10" xfId="0" applyNumberFormat="1" applyFont="1" applyFill="1" applyBorder="1" applyAlignment="1">
      <alignment horizontal="center" vertical="center"/>
    </xf>
    <xf numFmtId="167" fontId="40" fillId="11" borderId="10" xfId="1" applyFont="1" applyFill="1" applyBorder="1" applyAlignment="1">
      <alignment horizontal="center" vertical="center"/>
    </xf>
    <xf numFmtId="0" fontId="35" fillId="2" borderId="10" xfId="0" applyFont="1" applyFill="1" applyBorder="1" applyAlignment="1">
      <alignment horizontal="left" vertical="center" wrapText="1"/>
    </xf>
    <xf numFmtId="0" fontId="41" fillId="0" borderId="10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173" fontId="35" fillId="2" borderId="10" xfId="6" applyNumberFormat="1" applyFont="1" applyFill="1" applyBorder="1" applyAlignment="1">
      <alignment horizontal="center" vertical="center"/>
    </xf>
    <xf numFmtId="173" fontId="35" fillId="2" borderId="10" xfId="6" applyNumberFormat="1" applyFont="1" applyFill="1" applyBorder="1" applyAlignment="1">
      <alignment horizontal="center" vertical="center" wrapText="1"/>
    </xf>
    <xf numFmtId="177" fontId="35" fillId="0" borderId="10" xfId="6" applyNumberFormat="1" applyFont="1" applyFill="1" applyBorder="1" applyAlignment="1">
      <alignment horizontal="center" vertical="center"/>
    </xf>
    <xf numFmtId="169" fontId="35" fillId="2" borderId="10" xfId="1" applyNumberFormat="1" applyFont="1" applyFill="1" applyBorder="1" applyAlignment="1">
      <alignment horizontal="center" vertical="center"/>
    </xf>
    <xf numFmtId="0" fontId="38" fillId="0" borderId="5" xfId="0" applyFont="1" applyBorder="1" applyAlignment="1">
      <alignment horizontal="left" vertical="center" wrapText="1"/>
    </xf>
    <xf numFmtId="0" fontId="36" fillId="0" borderId="5" xfId="0" applyFont="1" applyBorder="1" applyAlignment="1">
      <alignment horizontal="center" vertical="center" wrapText="1"/>
    </xf>
    <xf numFmtId="173" fontId="36" fillId="2" borderId="5" xfId="0" applyNumberFormat="1" applyFont="1" applyFill="1" applyBorder="1" applyAlignment="1">
      <alignment vertical="center" wrapText="1"/>
    </xf>
    <xf numFmtId="179" fontId="36" fillId="2" borderId="5" xfId="7" applyNumberFormat="1" applyFont="1" applyFill="1" applyBorder="1" applyAlignment="1">
      <alignment horizontal="center" vertical="center" wrapText="1"/>
    </xf>
    <xf numFmtId="173" fontId="36" fillId="2" borderId="5" xfId="6" applyNumberFormat="1" applyFont="1" applyFill="1" applyBorder="1" applyAlignment="1">
      <alignment horizontal="center" vertical="center" wrapText="1"/>
    </xf>
    <xf numFmtId="168" fontId="36" fillId="9" borderId="5" xfId="6" applyNumberFormat="1" applyFont="1" applyFill="1" applyBorder="1" applyAlignment="1">
      <alignment horizontal="center" vertical="center"/>
    </xf>
    <xf numFmtId="172" fontId="39" fillId="2" borderId="5" xfId="8" applyNumberFormat="1" applyFont="1" applyFill="1" applyBorder="1" applyAlignment="1">
      <alignment horizontal="center" vertical="center"/>
    </xf>
    <xf numFmtId="173" fontId="39" fillId="2" borderId="5" xfId="8" applyNumberFormat="1" applyFont="1" applyFill="1" applyBorder="1" applyAlignment="1">
      <alignment horizontal="center" vertical="center"/>
    </xf>
    <xf numFmtId="0" fontId="38" fillId="0" borderId="57" xfId="0" applyFont="1" applyBorder="1" applyAlignment="1">
      <alignment horizontal="left" vertical="center" wrapText="1"/>
    </xf>
    <xf numFmtId="0" fontId="36" fillId="0" borderId="57" xfId="0" applyFont="1" applyBorder="1" applyAlignment="1">
      <alignment horizontal="center" vertical="center" wrapText="1"/>
    </xf>
    <xf numFmtId="173" fontId="36" fillId="2" borderId="57" xfId="0" applyNumberFormat="1" applyFont="1" applyFill="1" applyBorder="1" applyAlignment="1">
      <alignment vertical="center" wrapText="1"/>
    </xf>
    <xf numFmtId="179" fontId="36" fillId="2" borderId="57" xfId="7" applyNumberFormat="1" applyFont="1" applyFill="1" applyBorder="1" applyAlignment="1">
      <alignment horizontal="center" vertical="center" wrapText="1"/>
    </xf>
    <xf numFmtId="173" fontId="36" fillId="2" borderId="57" xfId="6" applyNumberFormat="1" applyFont="1" applyFill="1" applyBorder="1" applyAlignment="1">
      <alignment horizontal="center" vertical="center" wrapText="1"/>
    </xf>
    <xf numFmtId="168" fontId="36" fillId="9" borderId="57" xfId="6" applyNumberFormat="1" applyFont="1" applyFill="1" applyBorder="1" applyAlignment="1">
      <alignment horizontal="center" vertical="center"/>
    </xf>
    <xf numFmtId="172" fontId="39" fillId="2" borderId="57" xfId="8" applyNumberFormat="1" applyFont="1" applyFill="1" applyBorder="1" applyAlignment="1">
      <alignment horizontal="center" vertical="center"/>
    </xf>
    <xf numFmtId="173" fontId="39" fillId="2" borderId="57" xfId="8" applyNumberFormat="1" applyFont="1" applyFill="1" applyBorder="1" applyAlignment="1">
      <alignment horizontal="center" vertical="center"/>
    </xf>
    <xf numFmtId="171" fontId="36" fillId="9" borderId="57" xfId="6" applyNumberFormat="1" applyFont="1" applyFill="1" applyBorder="1" applyAlignment="1">
      <alignment horizontal="center" vertical="center"/>
    </xf>
    <xf numFmtId="0" fontId="36" fillId="5" borderId="49" xfId="0" applyFont="1" applyFill="1" applyBorder="1"/>
    <xf numFmtId="168" fontId="36" fillId="5" borderId="49" xfId="0" applyNumberFormat="1" applyFont="1" applyFill="1" applyBorder="1"/>
    <xf numFmtId="172" fontId="36" fillId="5" borderId="49" xfId="0" applyNumberFormat="1" applyFont="1" applyFill="1" applyBorder="1" applyAlignment="1">
      <alignment horizontal="center"/>
    </xf>
    <xf numFmtId="172" fontId="39" fillId="2" borderId="10" xfId="8" applyNumberFormat="1" applyFont="1" applyFill="1" applyBorder="1" applyAlignment="1">
      <alignment horizontal="center" vertical="center"/>
    </xf>
    <xf numFmtId="173" fontId="39" fillId="2" borderId="10" xfId="8" applyNumberFormat="1" applyFont="1" applyFill="1" applyBorder="1" applyAlignment="1">
      <alignment horizontal="center" vertical="center"/>
    </xf>
    <xf numFmtId="0" fontId="36" fillId="2" borderId="34" xfId="0" applyFont="1" applyFill="1" applyBorder="1" applyAlignment="1">
      <alignment vertical="center"/>
    </xf>
    <xf numFmtId="0" fontId="36" fillId="2" borderId="10" xfId="0" applyFont="1" applyFill="1" applyBorder="1" applyAlignment="1">
      <alignment vertical="center"/>
    </xf>
    <xf numFmtId="0" fontId="36" fillId="2" borderId="58" xfId="0" applyFont="1" applyFill="1" applyBorder="1" applyAlignment="1">
      <alignment vertical="center"/>
    </xf>
    <xf numFmtId="0" fontId="36" fillId="2" borderId="33" xfId="0" applyFont="1" applyFill="1" applyBorder="1" applyAlignment="1">
      <alignment vertical="center"/>
    </xf>
    <xf numFmtId="173" fontId="8" fillId="2" borderId="10" xfId="3" applyNumberFormat="1" applyFont="1" applyFill="1" applyBorder="1" applyAlignment="1">
      <alignment horizontal="center" vertical="center"/>
    </xf>
    <xf numFmtId="173" fontId="8" fillId="2" borderId="56" xfId="3" applyNumberFormat="1" applyFont="1" applyFill="1" applyBorder="1" applyAlignment="1">
      <alignment horizontal="center" vertical="center"/>
    </xf>
    <xf numFmtId="171" fontId="42" fillId="2" borderId="10" xfId="0" applyNumberFormat="1" applyFont="1" applyFill="1" applyBorder="1" applyAlignment="1">
      <alignment horizontal="center" vertical="center"/>
    </xf>
    <xf numFmtId="10" fontId="42" fillId="7" borderId="10" xfId="0" applyNumberFormat="1" applyFont="1" applyFill="1" applyBorder="1" applyAlignment="1">
      <alignment horizontal="center" vertical="center"/>
    </xf>
    <xf numFmtId="168" fontId="42" fillId="7" borderId="10" xfId="0" applyNumberFormat="1" applyFont="1" applyFill="1" applyBorder="1" applyAlignment="1">
      <alignment horizontal="center" vertical="center"/>
    </xf>
    <xf numFmtId="168" fontId="42" fillId="2" borderId="10" xfId="0" applyNumberFormat="1" applyFont="1" applyFill="1" applyBorder="1" applyAlignment="1">
      <alignment horizontal="center" vertical="center"/>
    </xf>
    <xf numFmtId="173" fontId="41" fillId="2" borderId="10" xfId="6" applyNumberFormat="1" applyFont="1" applyFill="1" applyBorder="1" applyAlignment="1">
      <alignment horizontal="center" vertical="center"/>
    </xf>
    <xf numFmtId="177" fontId="41" fillId="0" borderId="10" xfId="6" applyNumberFormat="1" applyFont="1" applyFill="1" applyBorder="1" applyAlignment="1">
      <alignment horizontal="center" vertical="center"/>
    </xf>
    <xf numFmtId="0" fontId="43" fillId="2" borderId="0" xfId="3" applyFont="1" applyFill="1" applyAlignment="1">
      <alignment horizontal="left" vertical="center"/>
    </xf>
    <xf numFmtId="172" fontId="44" fillId="5" borderId="4" xfId="0" applyNumberFormat="1" applyFont="1" applyFill="1" applyBorder="1" applyAlignment="1">
      <alignment horizontal="center"/>
    </xf>
    <xf numFmtId="172" fontId="44" fillId="5" borderId="49" xfId="0" applyNumberFormat="1" applyFont="1" applyFill="1" applyBorder="1" applyAlignment="1">
      <alignment horizontal="center"/>
    </xf>
    <xf numFmtId="186" fontId="17" fillId="9" borderId="35" xfId="16" applyNumberFormat="1" applyFont="1" applyFill="1" applyBorder="1" applyAlignment="1" applyProtection="1">
      <alignment horizontal="center"/>
      <protection locked="0"/>
    </xf>
    <xf numFmtId="186" fontId="17" fillId="9" borderId="36" xfId="16" applyNumberFormat="1" applyFont="1" applyFill="1" applyBorder="1" applyAlignment="1" applyProtection="1">
      <alignment horizontal="center"/>
      <protection locked="0"/>
    </xf>
    <xf numFmtId="186" fontId="17" fillId="9" borderId="17" xfId="16" applyNumberFormat="1" applyFont="1" applyFill="1" applyBorder="1" applyAlignment="1" applyProtection="1">
      <alignment horizontal="center"/>
      <protection locked="0"/>
    </xf>
    <xf numFmtId="186" fontId="24" fillId="9" borderId="36" xfId="16" applyNumberFormat="1" applyFont="1" applyFill="1" applyBorder="1" applyProtection="1">
      <protection locked="0"/>
    </xf>
    <xf numFmtId="186" fontId="24" fillId="9" borderId="17" xfId="16" applyNumberFormat="1" applyFont="1" applyFill="1" applyBorder="1" applyProtection="1">
      <protection locked="0"/>
    </xf>
    <xf numFmtId="186" fontId="17" fillId="9" borderId="10" xfId="16" applyNumberFormat="1" applyFont="1" applyFill="1" applyBorder="1" applyAlignment="1" applyProtection="1">
      <alignment horizontal="center"/>
      <protection locked="0"/>
    </xf>
    <xf numFmtId="186" fontId="17" fillId="0" borderId="35" xfId="16" applyNumberFormat="1" applyFont="1" applyBorder="1" applyAlignment="1" applyProtection="1">
      <alignment horizontal="center"/>
      <protection locked="0"/>
    </xf>
    <xf numFmtId="186" fontId="17" fillId="0" borderId="33" xfId="16" applyNumberFormat="1" applyFont="1" applyBorder="1" applyAlignment="1" applyProtection="1">
      <alignment horizontal="center"/>
      <protection locked="0"/>
    </xf>
    <xf numFmtId="186" fontId="17" fillId="9" borderId="34" xfId="16" applyNumberFormat="1" applyFont="1" applyFill="1" applyBorder="1" applyAlignment="1" applyProtection="1">
      <alignment horizontal="center"/>
      <protection locked="0"/>
    </xf>
    <xf numFmtId="186" fontId="17" fillId="9" borderId="26" xfId="16" applyNumberFormat="1" applyFont="1" applyFill="1" applyBorder="1" applyAlignment="1" applyProtection="1">
      <alignment horizontal="center"/>
      <protection locked="0"/>
    </xf>
    <xf numFmtId="186" fontId="24" fillId="9" borderId="34" xfId="16" applyNumberFormat="1" applyFont="1" applyFill="1" applyBorder="1" applyProtection="1">
      <protection locked="0"/>
    </xf>
    <xf numFmtId="186" fontId="24" fillId="9" borderId="26" xfId="16" applyNumberFormat="1" applyFont="1" applyFill="1" applyBorder="1" applyProtection="1">
      <protection locked="0"/>
    </xf>
    <xf numFmtId="186" fontId="24" fillId="9" borderId="37" xfId="16" applyNumberFormat="1" applyFont="1" applyFill="1" applyBorder="1" applyProtection="1">
      <protection locked="0"/>
    </xf>
    <xf numFmtId="186" fontId="24" fillId="9" borderId="38" xfId="16" applyNumberFormat="1" applyFont="1" applyFill="1" applyBorder="1" applyProtection="1">
      <protection locked="0"/>
    </xf>
    <xf numFmtId="181" fontId="17" fillId="9" borderId="0" xfId="16" applyNumberFormat="1" applyFont="1" applyFill="1" applyProtection="1">
      <protection locked="0"/>
    </xf>
    <xf numFmtId="0" fontId="16" fillId="0" borderId="0" xfId="0" applyFont="1" applyAlignment="1">
      <alignment horizontal="center" vertical="center" wrapText="1"/>
    </xf>
    <xf numFmtId="172" fontId="16" fillId="0" borderId="0" xfId="0" applyNumberFormat="1" applyFont="1" applyAlignment="1">
      <alignment horizontal="center" vertical="center" wrapText="1"/>
    </xf>
    <xf numFmtId="172" fontId="9" fillId="2" borderId="0" xfId="3" applyNumberFormat="1" applyFont="1" applyFill="1" applyAlignment="1">
      <alignment horizontal="center" vertical="center"/>
    </xf>
    <xf numFmtId="173" fontId="0" fillId="2" borderId="0" xfId="0" applyNumberFormat="1" applyFill="1" applyAlignment="1">
      <alignment horizontal="center"/>
    </xf>
    <xf numFmtId="0" fontId="5" fillId="4" borderId="36" xfId="0" applyFont="1" applyFill="1" applyBorder="1" applyAlignment="1">
      <alignment vertical="center"/>
    </xf>
    <xf numFmtId="165" fontId="5" fillId="4" borderId="36" xfId="0" applyNumberFormat="1" applyFont="1" applyFill="1" applyBorder="1" applyAlignment="1">
      <alignment horizontal="center" vertical="center"/>
    </xf>
    <xf numFmtId="3" fontId="5" fillId="4" borderId="36" xfId="0" applyNumberFormat="1" applyFont="1" applyFill="1" applyBorder="1" applyAlignment="1">
      <alignment horizontal="center" vertical="center"/>
    </xf>
    <xf numFmtId="170" fontId="5" fillId="4" borderId="36" xfId="2" applyNumberFormat="1" applyFont="1" applyFill="1" applyBorder="1" applyAlignment="1">
      <alignment horizontal="center" vertical="center"/>
    </xf>
    <xf numFmtId="9" fontId="5" fillId="4" borderId="36" xfId="2" applyFont="1" applyFill="1" applyBorder="1" applyAlignment="1">
      <alignment horizontal="center" vertical="center"/>
    </xf>
    <xf numFmtId="1" fontId="5" fillId="4" borderId="36" xfId="0" applyNumberFormat="1" applyFont="1" applyFill="1" applyBorder="1" applyAlignment="1">
      <alignment horizontal="center" vertical="center"/>
    </xf>
    <xf numFmtId="168" fontId="5" fillId="4" borderId="36" xfId="0" applyNumberFormat="1" applyFont="1" applyFill="1" applyBorder="1" applyAlignment="1">
      <alignment horizontal="center" vertical="center"/>
    </xf>
    <xf numFmtId="171" fontId="43" fillId="2" borderId="0" xfId="3" applyNumberFormat="1" applyFont="1" applyFill="1" applyAlignment="1">
      <alignment horizontal="left" vertical="center"/>
    </xf>
    <xf numFmtId="0" fontId="10" fillId="3" borderId="27" xfId="0" applyFont="1" applyFill="1" applyBorder="1" applyAlignment="1">
      <alignment horizontal="center" vertical="center"/>
    </xf>
    <xf numFmtId="1" fontId="8" fillId="2" borderId="26" xfId="3" applyNumberFormat="1" applyFont="1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4" fillId="19" borderId="42" xfId="0" applyFont="1" applyFill="1" applyBorder="1" applyAlignment="1">
      <alignment horizontal="center" vertical="center" wrapText="1"/>
    </xf>
    <xf numFmtId="0" fontId="4" fillId="19" borderId="7" xfId="0" applyFont="1" applyFill="1" applyBorder="1" applyAlignment="1">
      <alignment horizontal="center" vertical="center" wrapText="1"/>
    </xf>
    <xf numFmtId="0" fontId="4" fillId="19" borderId="6" xfId="0" applyFont="1" applyFill="1" applyBorder="1" applyAlignment="1">
      <alignment horizontal="center" vertical="center" wrapText="1"/>
    </xf>
    <xf numFmtId="0" fontId="10" fillId="11" borderId="20" xfId="0" applyFont="1" applyFill="1" applyBorder="1" applyAlignment="1">
      <alignment horizontal="center" vertical="center"/>
    </xf>
    <xf numFmtId="14" fontId="15" fillId="9" borderId="62" xfId="4" applyNumberFormat="1" applyFont="1" applyFill="1" applyBorder="1" applyAlignment="1">
      <alignment horizontal="center" vertical="center" wrapText="1"/>
    </xf>
    <xf numFmtId="0" fontId="16" fillId="0" borderId="60" xfId="0" applyFont="1" applyBorder="1" applyAlignment="1">
      <alignment horizontal="center" vertical="center" wrapText="1"/>
    </xf>
    <xf numFmtId="172" fontId="16" fillId="0" borderId="50" xfId="0" applyNumberFormat="1" applyFont="1" applyBorder="1" applyAlignment="1">
      <alignment horizontal="center" vertical="center" wrapText="1"/>
    </xf>
    <xf numFmtId="169" fontId="0" fillId="0" borderId="0" xfId="0" applyNumberFormat="1"/>
    <xf numFmtId="0" fontId="0" fillId="20" borderId="0" xfId="0" applyFill="1"/>
    <xf numFmtId="0" fontId="4" fillId="19" borderId="59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165" fontId="0" fillId="2" borderId="36" xfId="0" applyNumberFormat="1" applyFill="1" applyBorder="1" applyAlignment="1">
      <alignment horizontal="center" vertical="center"/>
    </xf>
    <xf numFmtId="169" fontId="0" fillId="2" borderId="0" xfId="1" applyNumberFormat="1" applyFont="1" applyFill="1" applyAlignment="1">
      <alignment horizontal="center" vertical="center"/>
    </xf>
    <xf numFmtId="169" fontId="6" fillId="2" borderId="4" xfId="0" applyNumberFormat="1" applyFont="1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4" fillId="19" borderId="5" xfId="0" applyFont="1" applyFill="1" applyBorder="1" applyAlignment="1">
      <alignment horizontal="center" vertical="center" wrapText="1"/>
    </xf>
    <xf numFmtId="0" fontId="4" fillId="19" borderId="9" xfId="0" applyFont="1" applyFill="1" applyBorder="1" applyAlignment="1">
      <alignment horizontal="center" vertical="center" wrapText="1"/>
    </xf>
    <xf numFmtId="0" fontId="4" fillId="19" borderId="8" xfId="0" applyFont="1" applyFill="1" applyBorder="1" applyAlignment="1">
      <alignment horizontal="center" vertical="center" wrapText="1"/>
    </xf>
    <xf numFmtId="0" fontId="5" fillId="4" borderId="64" xfId="0" applyFont="1" applyFill="1" applyBorder="1" applyAlignment="1">
      <alignment horizontal="center" vertical="center"/>
    </xf>
    <xf numFmtId="165" fontId="5" fillId="4" borderId="0" xfId="0" applyNumberFormat="1" applyFont="1" applyFill="1" applyAlignment="1">
      <alignment horizontal="center" vertical="center"/>
    </xf>
    <xf numFmtId="0" fontId="0" fillId="2" borderId="26" xfId="0" applyFill="1" applyBorder="1" applyAlignment="1">
      <alignment vertical="center" wrapText="1"/>
    </xf>
    <xf numFmtId="0" fontId="5" fillId="4" borderId="0" xfId="0" applyFont="1" applyFill="1" applyAlignment="1">
      <alignment vertical="center"/>
    </xf>
    <xf numFmtId="165" fontId="0" fillId="2" borderId="0" xfId="0" applyNumberFormat="1" applyFill="1" applyAlignment="1">
      <alignment horizontal="left" vertical="center"/>
    </xf>
    <xf numFmtId="10" fontId="8" fillId="4" borderId="10" xfId="3" applyNumberFormat="1" applyFont="1" applyFill="1" applyBorder="1" applyAlignment="1">
      <alignment horizontal="center" vertical="center"/>
    </xf>
    <xf numFmtId="173" fontId="8" fillId="2" borderId="0" xfId="3" applyNumberFormat="1" applyFont="1" applyFill="1" applyAlignment="1">
      <alignment horizontal="left" vertical="center"/>
    </xf>
    <xf numFmtId="3" fontId="8" fillId="2" borderId="0" xfId="3" applyNumberFormat="1" applyFont="1" applyFill="1" applyAlignment="1">
      <alignment horizontal="left" vertical="center"/>
    </xf>
    <xf numFmtId="173" fontId="0" fillId="2" borderId="0" xfId="0" applyNumberFormat="1" applyFill="1" applyAlignment="1">
      <alignment vertical="center"/>
    </xf>
    <xf numFmtId="3" fontId="43" fillId="2" borderId="0" xfId="3" applyNumberFormat="1" applyFont="1" applyFill="1" applyAlignment="1">
      <alignment horizontal="left" vertical="center"/>
    </xf>
    <xf numFmtId="169" fontId="8" fillId="2" borderId="0" xfId="3" applyNumberFormat="1" applyFont="1" applyFill="1" applyAlignment="1">
      <alignment horizontal="center" vertical="center"/>
    </xf>
    <xf numFmtId="2" fontId="0" fillId="0" borderId="0" xfId="0" applyNumberFormat="1"/>
    <xf numFmtId="172" fontId="36" fillId="5" borderId="49" xfId="0" applyNumberFormat="1" applyFont="1" applyFill="1" applyBorder="1" applyAlignment="1">
      <alignment vertical="center" wrapText="1"/>
    </xf>
    <xf numFmtId="172" fontId="36" fillId="5" borderId="4" xfId="0" applyNumberFormat="1" applyFont="1" applyFill="1" applyBorder="1" applyAlignment="1">
      <alignment vertical="center" wrapText="1"/>
    </xf>
    <xf numFmtId="166" fontId="15" fillId="15" borderId="29" xfId="9" applyFont="1" applyFill="1" applyBorder="1" applyAlignment="1">
      <alignment horizontal="center" vertical="center" wrapText="1"/>
    </xf>
    <xf numFmtId="171" fontId="8" fillId="2" borderId="0" xfId="3" applyNumberFormat="1" applyFont="1" applyFill="1" applyAlignment="1">
      <alignment horizontal="left" vertical="center"/>
    </xf>
    <xf numFmtId="3" fontId="8" fillId="2" borderId="0" xfId="3" applyNumberFormat="1" applyFont="1" applyFill="1" applyAlignment="1">
      <alignment horizontal="center" vertical="center"/>
    </xf>
    <xf numFmtId="3" fontId="10" fillId="11" borderId="13" xfId="0" applyNumberFormat="1" applyFont="1" applyFill="1" applyBorder="1" applyAlignment="1">
      <alignment horizontal="center" vertical="center"/>
    </xf>
    <xf numFmtId="3" fontId="8" fillId="4" borderId="10" xfId="1" applyNumberFormat="1" applyFont="1" applyFill="1" applyBorder="1" applyAlignment="1">
      <alignment horizontal="center" vertical="center"/>
    </xf>
    <xf numFmtId="3" fontId="9" fillId="2" borderId="4" xfId="3" applyNumberFormat="1" applyFont="1" applyFill="1" applyBorder="1" applyAlignment="1">
      <alignment horizontal="left" vertical="center"/>
    </xf>
    <xf numFmtId="3" fontId="43" fillId="2" borderId="0" xfId="3" applyNumberFormat="1" applyFont="1" applyFill="1" applyAlignment="1">
      <alignment horizontal="center" vertical="center"/>
    </xf>
    <xf numFmtId="3" fontId="8" fillId="2" borderId="10" xfId="1" applyNumberFormat="1" applyFont="1" applyFill="1" applyBorder="1" applyAlignment="1">
      <alignment horizontal="center" vertical="center"/>
    </xf>
    <xf numFmtId="3" fontId="10" fillId="11" borderId="14" xfId="0" applyNumberFormat="1" applyFont="1" applyFill="1" applyBorder="1" applyAlignment="1">
      <alignment horizontal="center" vertical="center"/>
    </xf>
    <xf numFmtId="3" fontId="9" fillId="2" borderId="4" xfId="3" applyNumberFormat="1" applyFont="1" applyFill="1" applyBorder="1" applyAlignment="1">
      <alignment horizontal="right" vertical="center"/>
    </xf>
    <xf numFmtId="0" fontId="3" fillId="2" borderId="0" xfId="0" applyFont="1" applyFill="1"/>
    <xf numFmtId="173" fontId="3" fillId="2" borderId="0" xfId="0" applyNumberFormat="1" applyFont="1" applyFill="1"/>
    <xf numFmtId="0" fontId="45" fillId="4" borderId="10" xfId="0" applyFont="1" applyFill="1" applyBorder="1" applyAlignment="1">
      <alignment horizontal="left" vertical="center" wrapText="1"/>
    </xf>
    <xf numFmtId="0" fontId="46" fillId="4" borderId="10" xfId="0" applyFont="1" applyFill="1" applyBorder="1" applyAlignment="1">
      <alignment horizontal="center" vertical="center" wrapText="1"/>
    </xf>
    <xf numFmtId="0" fontId="45" fillId="4" borderId="10" xfId="0" applyFont="1" applyFill="1" applyBorder="1" applyAlignment="1">
      <alignment horizontal="center" vertical="center" wrapText="1"/>
    </xf>
    <xf numFmtId="173" fontId="45" fillId="4" borderId="10" xfId="0" applyNumberFormat="1" applyFont="1" applyFill="1" applyBorder="1" applyAlignment="1">
      <alignment horizontal="center" vertical="center"/>
    </xf>
    <xf numFmtId="173" fontId="45" fillId="4" borderId="10" xfId="6" applyNumberFormat="1" applyFont="1" applyFill="1" applyBorder="1" applyAlignment="1">
      <alignment horizontal="center" vertical="center"/>
    </xf>
    <xf numFmtId="173" fontId="45" fillId="4" borderId="10" xfId="6" applyNumberFormat="1" applyFont="1" applyFill="1" applyBorder="1" applyAlignment="1">
      <alignment horizontal="center" vertical="center" wrapText="1"/>
    </xf>
    <xf numFmtId="177" fontId="45" fillId="4" borderId="10" xfId="6" applyNumberFormat="1" applyFont="1" applyFill="1" applyBorder="1" applyAlignment="1">
      <alignment horizontal="center" vertical="center"/>
    </xf>
    <xf numFmtId="169" fontId="45" fillId="4" borderId="10" xfId="1" applyNumberFormat="1" applyFont="1" applyFill="1" applyBorder="1" applyAlignment="1">
      <alignment horizontal="center" vertical="center"/>
    </xf>
    <xf numFmtId="0" fontId="47" fillId="2" borderId="0" xfId="0" applyFont="1" applyFill="1" applyAlignment="1">
      <alignment horizontal="center" vertical="center" wrapText="1"/>
    </xf>
    <xf numFmtId="167" fontId="0" fillId="2" borderId="0" xfId="0" applyNumberFormat="1" applyFill="1"/>
    <xf numFmtId="172" fontId="0" fillId="2" borderId="0" xfId="0" applyNumberFormat="1" applyFill="1"/>
    <xf numFmtId="184" fontId="36" fillId="2" borderId="26" xfId="1" applyNumberFormat="1" applyFont="1" applyFill="1" applyBorder="1" applyAlignment="1">
      <alignment horizontal="center" vertical="center"/>
    </xf>
    <xf numFmtId="184" fontId="36" fillId="2" borderId="10" xfId="1" applyNumberFormat="1" applyFont="1" applyFill="1" applyBorder="1" applyAlignment="1">
      <alignment horizontal="center" vertical="center"/>
    </xf>
    <xf numFmtId="184" fontId="36" fillId="5" borderId="65" xfId="1" applyNumberFormat="1" applyFont="1" applyFill="1" applyBorder="1" applyAlignment="1">
      <alignment horizontal="center"/>
    </xf>
    <xf numFmtId="184" fontId="36" fillId="2" borderId="66" xfId="1" applyNumberFormat="1" applyFont="1" applyFill="1" applyBorder="1" applyAlignment="1">
      <alignment horizontal="center" vertical="center"/>
    </xf>
    <xf numFmtId="0" fontId="36" fillId="2" borderId="37" xfId="0" applyFont="1" applyFill="1" applyBorder="1" applyAlignment="1">
      <alignment vertical="center"/>
    </xf>
    <xf numFmtId="184" fontId="36" fillId="2" borderId="38" xfId="1" applyNumberFormat="1" applyFont="1" applyFill="1" applyBorder="1" applyAlignment="1">
      <alignment horizontal="center" vertical="center"/>
    </xf>
    <xf numFmtId="171" fontId="36" fillId="9" borderId="5" xfId="6" applyNumberFormat="1" applyFont="1" applyFill="1" applyBorder="1" applyAlignment="1">
      <alignment horizontal="center" vertical="center"/>
    </xf>
    <xf numFmtId="167" fontId="37" fillId="11" borderId="10" xfId="1" applyFont="1" applyFill="1" applyBorder="1" applyAlignment="1">
      <alignment horizontal="center" vertical="center"/>
    </xf>
    <xf numFmtId="168" fontId="0" fillId="2" borderId="0" xfId="0" applyNumberFormat="1" applyFill="1"/>
    <xf numFmtId="9" fontId="8" fillId="2" borderId="0" xfId="2" applyFont="1" applyFill="1" applyAlignment="1">
      <alignment horizontal="left" vertical="center"/>
    </xf>
    <xf numFmtId="165" fontId="10" fillId="11" borderId="12" xfId="0" applyNumberFormat="1" applyFont="1" applyFill="1" applyBorder="1" applyAlignment="1">
      <alignment horizontal="center" vertical="center"/>
    </xf>
    <xf numFmtId="165" fontId="16" fillId="0" borderId="0" xfId="0" applyNumberFormat="1" applyFont="1" applyAlignment="1">
      <alignment horizontal="center" vertical="center" wrapText="1"/>
    </xf>
    <xf numFmtId="173" fontId="16" fillId="0" borderId="0" xfId="0" applyNumberFormat="1" applyFont="1" applyAlignment="1">
      <alignment horizontal="center" vertical="center" wrapText="1"/>
    </xf>
    <xf numFmtId="165" fontId="34" fillId="0" borderId="10" xfId="0" applyNumberFormat="1" applyFont="1" applyBorder="1"/>
    <xf numFmtId="164" fontId="34" fillId="0" borderId="10" xfId="0" applyNumberFormat="1" applyFont="1" applyBorder="1"/>
    <xf numFmtId="0" fontId="10" fillId="11" borderId="2" xfId="0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3" fontId="10" fillId="11" borderId="2" xfId="0" applyNumberFormat="1" applyFont="1" applyFill="1" applyBorder="1" applyAlignment="1">
      <alignment horizontal="center" vertical="center"/>
    </xf>
    <xf numFmtId="171" fontId="8" fillId="0" borderId="24" xfId="3" applyNumberFormat="1" applyFont="1" applyBorder="1" applyAlignment="1">
      <alignment horizontal="center" vertical="center"/>
    </xf>
    <xf numFmtId="1" fontId="12" fillId="4" borderId="56" xfId="3" applyNumberFormat="1" applyFont="1" applyFill="1" applyBorder="1" applyAlignment="1">
      <alignment vertical="center" wrapText="1"/>
    </xf>
    <xf numFmtId="3" fontId="8" fillId="4" borderId="56" xfId="1" applyNumberFormat="1" applyFont="1" applyFill="1" applyBorder="1" applyAlignment="1">
      <alignment horizontal="center" vertical="center"/>
    </xf>
    <xf numFmtId="9" fontId="8" fillId="4" borderId="56" xfId="2" applyFont="1" applyFill="1" applyBorder="1" applyAlignment="1">
      <alignment horizontal="center" vertical="center"/>
    </xf>
    <xf numFmtId="1" fontId="8" fillId="4" borderId="56" xfId="3" applyNumberFormat="1" applyFont="1" applyFill="1" applyBorder="1" applyAlignment="1">
      <alignment horizontal="center" vertical="center"/>
    </xf>
    <xf numFmtId="171" fontId="8" fillId="4" borderId="56" xfId="3" applyNumberFormat="1" applyFont="1" applyFill="1" applyBorder="1" applyAlignment="1">
      <alignment horizontal="center" vertical="center"/>
    </xf>
    <xf numFmtId="168" fontId="8" fillId="4" borderId="56" xfId="3" applyNumberFormat="1" applyFont="1" applyFill="1" applyBorder="1" applyAlignment="1">
      <alignment horizontal="center" vertical="center"/>
    </xf>
    <xf numFmtId="3" fontId="8" fillId="4" borderId="56" xfId="3" applyNumberFormat="1" applyFont="1" applyFill="1" applyBorder="1" applyAlignment="1">
      <alignment horizontal="center" vertical="center"/>
    </xf>
    <xf numFmtId="171" fontId="8" fillId="4" borderId="25" xfId="3" applyNumberFormat="1" applyFont="1" applyFill="1" applyBorder="1" applyAlignment="1">
      <alignment horizontal="center" vertical="center"/>
    </xf>
    <xf numFmtId="169" fontId="8" fillId="2" borderId="5" xfId="1" applyNumberFormat="1" applyFont="1" applyFill="1" applyBorder="1" applyAlignment="1">
      <alignment horizontal="center" vertical="center"/>
    </xf>
    <xf numFmtId="3" fontId="8" fillId="2" borderId="5" xfId="1" applyNumberFormat="1" applyFont="1" applyFill="1" applyBorder="1" applyAlignment="1">
      <alignment horizontal="center" vertical="center"/>
    </xf>
    <xf numFmtId="9" fontId="8" fillId="2" borderId="5" xfId="2" applyFont="1" applyFill="1" applyBorder="1" applyAlignment="1">
      <alignment horizontal="center" vertical="center"/>
    </xf>
    <xf numFmtId="2" fontId="8" fillId="7" borderId="5" xfId="3" applyNumberFormat="1" applyFont="1" applyFill="1" applyBorder="1" applyAlignment="1">
      <alignment horizontal="center" vertical="center"/>
    </xf>
    <xf numFmtId="171" fontId="8" fillId="0" borderId="5" xfId="3" applyNumberFormat="1" applyFont="1" applyBorder="1" applyAlignment="1">
      <alignment horizontal="center" vertical="center"/>
    </xf>
    <xf numFmtId="3" fontId="8" fillId="2" borderId="5" xfId="3" applyNumberFormat="1" applyFont="1" applyFill="1" applyBorder="1" applyAlignment="1">
      <alignment horizontal="center" vertical="center"/>
    </xf>
    <xf numFmtId="10" fontId="8" fillId="7" borderId="5" xfId="3" applyNumberFormat="1" applyFont="1" applyFill="1" applyBorder="1" applyAlignment="1">
      <alignment horizontal="center" vertical="center"/>
    </xf>
    <xf numFmtId="168" fontId="8" fillId="7" borderId="5" xfId="3" applyNumberFormat="1" applyFont="1" applyFill="1" applyBorder="1" applyAlignment="1">
      <alignment horizontal="center" vertical="center"/>
    </xf>
    <xf numFmtId="10" fontId="8" fillId="7" borderId="5" xfId="2" applyNumberFormat="1" applyFont="1" applyFill="1" applyBorder="1" applyAlignment="1">
      <alignment horizontal="center" vertical="center"/>
    </xf>
    <xf numFmtId="168" fontId="8" fillId="2" borderId="5" xfId="3" applyNumberFormat="1" applyFont="1" applyFill="1" applyBorder="1" applyAlignment="1">
      <alignment horizontal="center" vertical="center"/>
    </xf>
    <xf numFmtId="171" fontId="8" fillId="0" borderId="68" xfId="3" applyNumberFormat="1" applyFont="1" applyBorder="1" applyAlignment="1">
      <alignment horizontal="center" vertical="center"/>
    </xf>
    <xf numFmtId="0" fontId="10" fillId="11" borderId="39" xfId="0" applyFont="1" applyFill="1" applyBorder="1" applyAlignment="1">
      <alignment horizontal="center" vertical="center"/>
    </xf>
    <xf numFmtId="0" fontId="10" fillId="11" borderId="40" xfId="0" applyFont="1" applyFill="1" applyBorder="1" applyAlignment="1">
      <alignment horizontal="center" vertical="center"/>
    </xf>
    <xf numFmtId="3" fontId="10" fillId="11" borderId="40" xfId="0" applyNumberFormat="1" applyFont="1" applyFill="1" applyBorder="1" applyAlignment="1">
      <alignment horizontal="center" vertical="center"/>
    </xf>
    <xf numFmtId="0" fontId="10" fillId="11" borderId="69" xfId="0" applyFont="1" applyFill="1" applyBorder="1" applyAlignment="1">
      <alignment horizontal="center" vertical="center"/>
    </xf>
    <xf numFmtId="10" fontId="8" fillId="18" borderId="10" xfId="2" applyNumberFormat="1" applyFont="1" applyFill="1" applyBorder="1" applyAlignment="1">
      <alignment horizontal="center" vertical="center"/>
    </xf>
    <xf numFmtId="173" fontId="8" fillId="18" borderId="10" xfId="3" applyNumberFormat="1" applyFont="1" applyFill="1" applyBorder="1" applyAlignment="1">
      <alignment horizontal="center" vertical="center"/>
    </xf>
    <xf numFmtId="2" fontId="9" fillId="19" borderId="23" xfId="3" applyNumberFormat="1" applyFont="1" applyFill="1" applyBorder="1" applyAlignment="1">
      <alignment horizontal="center" vertical="center"/>
    </xf>
    <xf numFmtId="168" fontId="8" fillId="2" borderId="24" xfId="3" applyNumberFormat="1" applyFont="1" applyFill="1" applyBorder="1" applyAlignment="1">
      <alignment horizontal="center" vertical="center"/>
    </xf>
    <xf numFmtId="2" fontId="9" fillId="19" borderId="55" xfId="3" applyNumberFormat="1" applyFont="1" applyFill="1" applyBorder="1" applyAlignment="1">
      <alignment horizontal="center" vertical="center"/>
    </xf>
    <xf numFmtId="1" fontId="8" fillId="2" borderId="56" xfId="3" applyNumberFormat="1" applyFont="1" applyFill="1" applyBorder="1" applyAlignment="1">
      <alignment horizontal="center" vertical="center"/>
    </xf>
    <xf numFmtId="2" fontId="8" fillId="4" borderId="56" xfId="3" applyNumberFormat="1" applyFont="1" applyFill="1" applyBorder="1" applyAlignment="1">
      <alignment horizontal="center" vertical="center"/>
    </xf>
    <xf numFmtId="3" fontId="8" fillId="2" borderId="56" xfId="1" applyNumberFormat="1" applyFont="1" applyFill="1" applyBorder="1" applyAlignment="1">
      <alignment horizontal="center" vertical="center"/>
    </xf>
    <xf numFmtId="10" fontId="8" fillId="18" borderId="56" xfId="2" applyNumberFormat="1" applyFont="1" applyFill="1" applyBorder="1" applyAlignment="1">
      <alignment horizontal="center" vertical="center"/>
    </xf>
    <xf numFmtId="173" fontId="8" fillId="18" borderId="56" xfId="3" applyNumberFormat="1" applyFont="1" applyFill="1" applyBorder="1" applyAlignment="1">
      <alignment horizontal="center" vertical="center"/>
    </xf>
    <xf numFmtId="168" fontId="8" fillId="2" borderId="56" xfId="3" applyNumberFormat="1" applyFont="1" applyFill="1" applyBorder="1" applyAlignment="1">
      <alignment horizontal="center" vertical="center"/>
    </xf>
    <xf numFmtId="168" fontId="8" fillId="2" borderId="25" xfId="3" applyNumberFormat="1" applyFont="1" applyFill="1" applyBorder="1" applyAlignment="1">
      <alignment horizontal="center" vertical="center"/>
    </xf>
    <xf numFmtId="181" fontId="23" fillId="21" borderId="10" xfId="16" applyNumberFormat="1" applyFont="1" applyFill="1" applyBorder="1" applyProtection="1">
      <protection locked="0"/>
    </xf>
    <xf numFmtId="186" fontId="17" fillId="21" borderId="10" xfId="16" applyNumberFormat="1" applyFont="1" applyFill="1" applyBorder="1" applyAlignment="1" applyProtection="1">
      <alignment horizontal="center"/>
      <protection locked="0"/>
    </xf>
    <xf numFmtId="171" fontId="8" fillId="2" borderId="0" xfId="2" applyNumberFormat="1" applyFont="1" applyFill="1" applyAlignment="1">
      <alignment horizontal="left" vertical="center"/>
    </xf>
    <xf numFmtId="187" fontId="0" fillId="2" borderId="0" xfId="0" applyNumberFormat="1" applyFill="1" applyAlignment="1">
      <alignment vertical="center"/>
    </xf>
    <xf numFmtId="171" fontId="0" fillId="0" borderId="0" xfId="0" applyNumberFormat="1"/>
    <xf numFmtId="169" fontId="15" fillId="0" borderId="17" xfId="1" applyNumberFormat="1" applyFont="1" applyBorder="1" applyAlignment="1">
      <alignment horizontal="center" vertical="center" wrapText="1"/>
    </xf>
    <xf numFmtId="173" fontId="36" fillId="2" borderId="0" xfId="0" applyNumberFormat="1" applyFont="1" applyFill="1"/>
    <xf numFmtId="0" fontId="3" fillId="17" borderId="20" xfId="0" applyFont="1" applyFill="1" applyBorder="1" applyAlignment="1">
      <alignment horizontal="center" vertical="center"/>
    </xf>
    <xf numFmtId="165" fontId="48" fillId="0" borderId="0" xfId="0" applyNumberFormat="1" applyFont="1"/>
    <xf numFmtId="4" fontId="48" fillId="0" borderId="0" xfId="0" applyNumberFormat="1" applyFont="1"/>
    <xf numFmtId="169" fontId="8" fillId="6" borderId="10" xfId="1" applyNumberFormat="1" applyFont="1" applyFill="1" applyBorder="1" applyAlignment="1">
      <alignment horizontal="center" vertical="center"/>
    </xf>
    <xf numFmtId="0" fontId="9" fillId="2" borderId="4" xfId="3" applyFont="1" applyFill="1" applyBorder="1" applyAlignment="1">
      <alignment horizontal="center" vertical="center"/>
    </xf>
    <xf numFmtId="171" fontId="9" fillId="2" borderId="4" xfId="3" applyNumberFormat="1" applyFont="1" applyFill="1" applyBorder="1" applyAlignment="1">
      <alignment horizontal="center" vertical="center"/>
    </xf>
    <xf numFmtId="3" fontId="9" fillId="2" borderId="4" xfId="3" applyNumberFormat="1" applyFont="1" applyFill="1" applyBorder="1" applyAlignment="1">
      <alignment horizontal="center" vertical="center"/>
    </xf>
    <xf numFmtId="173" fontId="8" fillId="2" borderId="0" xfId="3" applyNumberFormat="1" applyFont="1" applyFill="1" applyAlignment="1">
      <alignment horizontal="center" vertical="center"/>
    </xf>
    <xf numFmtId="0" fontId="49" fillId="11" borderId="39" xfId="0" applyFont="1" applyFill="1" applyBorder="1" applyAlignment="1">
      <alignment horizontal="center" vertical="center"/>
    </xf>
    <xf numFmtId="173" fontId="49" fillId="11" borderId="3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left" indent="1"/>
    </xf>
    <xf numFmtId="165" fontId="33" fillId="22" borderId="10" xfId="0" applyNumberFormat="1" applyFont="1" applyFill="1" applyBorder="1"/>
    <xf numFmtId="164" fontId="33" fillId="22" borderId="10" xfId="0" applyNumberFormat="1" applyFont="1" applyFill="1" applyBorder="1"/>
    <xf numFmtId="164" fontId="33" fillId="4" borderId="10" xfId="0" applyNumberFormat="1" applyFont="1" applyFill="1" applyBorder="1"/>
    <xf numFmtId="165" fontId="2" fillId="23" borderId="10" xfId="0" applyNumberFormat="1" applyFont="1" applyFill="1" applyBorder="1"/>
    <xf numFmtId="0" fontId="0" fillId="24" borderId="10" xfId="0" applyFill="1" applyBorder="1" applyAlignment="1">
      <alignment horizontal="left" indent="1"/>
    </xf>
    <xf numFmtId="164" fontId="34" fillId="24" borderId="10" xfId="0" applyNumberFormat="1" applyFont="1" applyFill="1" applyBorder="1"/>
    <xf numFmtId="165" fontId="34" fillId="24" borderId="10" xfId="0" applyNumberFormat="1" applyFont="1" applyFill="1" applyBorder="1"/>
    <xf numFmtId="165" fontId="33" fillId="4" borderId="10" xfId="0" applyNumberFormat="1" applyFont="1" applyFill="1" applyBorder="1"/>
    <xf numFmtId="165" fontId="0" fillId="24" borderId="10" xfId="0" applyNumberFormat="1" applyFill="1" applyBorder="1" applyAlignment="1">
      <alignment horizontal="left" indent="1"/>
    </xf>
    <xf numFmtId="168" fontId="8" fillId="2" borderId="0" xfId="3" applyNumberFormat="1" applyFont="1" applyFill="1" applyAlignment="1">
      <alignment horizontal="left" vertical="center"/>
    </xf>
    <xf numFmtId="168" fontId="8" fillId="0" borderId="10" xfId="3" applyNumberFormat="1" applyFont="1" applyBorder="1" applyAlignment="1">
      <alignment horizontal="center" vertical="center"/>
    </xf>
    <xf numFmtId="9" fontId="0" fillId="2" borderId="0" xfId="0" applyNumberFormat="1" applyFill="1" applyAlignment="1">
      <alignment horizontal="center"/>
    </xf>
    <xf numFmtId="165" fontId="2" fillId="25" borderId="10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left" indent="1"/>
    </xf>
    <xf numFmtId="166" fontId="16" fillId="0" borderId="0" xfId="0" applyNumberFormat="1" applyFont="1" applyAlignment="1">
      <alignment horizontal="center" vertical="center" wrapText="1"/>
    </xf>
    <xf numFmtId="172" fontId="50" fillId="0" borderId="50" xfId="0" applyNumberFormat="1" applyFont="1" applyBorder="1" applyAlignment="1">
      <alignment horizontal="center" vertical="center" wrapText="1"/>
    </xf>
    <xf numFmtId="14" fontId="0" fillId="0" borderId="0" xfId="0" applyNumberFormat="1"/>
    <xf numFmtId="169" fontId="8" fillId="26" borderId="10" xfId="1" applyNumberFormat="1" applyFont="1" applyFill="1" applyBorder="1" applyAlignment="1">
      <alignment horizontal="center" vertical="center"/>
    </xf>
    <xf numFmtId="169" fontId="8" fillId="2" borderId="2" xfId="1" applyNumberFormat="1" applyFont="1" applyFill="1" applyBorder="1" applyAlignment="1">
      <alignment horizontal="center" vertical="center"/>
    </xf>
    <xf numFmtId="0" fontId="52" fillId="2" borderId="0" xfId="3" applyFont="1" applyFill="1" applyAlignment="1">
      <alignment horizontal="left" vertical="center"/>
    </xf>
    <xf numFmtId="173" fontId="52" fillId="2" borderId="0" xfId="3" applyNumberFormat="1" applyFont="1" applyFill="1" applyAlignment="1">
      <alignment horizontal="left" vertical="center"/>
    </xf>
    <xf numFmtId="171" fontId="52" fillId="4" borderId="36" xfId="3" applyNumberFormat="1" applyFont="1" applyFill="1" applyBorder="1" applyAlignment="1">
      <alignment horizontal="center" vertical="center"/>
    </xf>
    <xf numFmtId="173" fontId="52" fillId="2" borderId="37" xfId="2" applyNumberFormat="1" applyFont="1" applyFill="1" applyBorder="1" applyAlignment="1">
      <alignment horizontal="center" vertical="center"/>
    </xf>
    <xf numFmtId="3" fontId="52" fillId="2" borderId="37" xfId="2" applyNumberFormat="1" applyFont="1" applyFill="1" applyBorder="1" applyAlignment="1">
      <alignment horizontal="center" vertical="center"/>
    </xf>
    <xf numFmtId="0" fontId="52" fillId="2" borderId="37" xfId="3" applyFont="1" applyFill="1" applyBorder="1" applyAlignment="1">
      <alignment horizontal="center" vertical="center"/>
    </xf>
    <xf numFmtId="171" fontId="8" fillId="4" borderId="26" xfId="3" applyNumberFormat="1" applyFont="1" applyFill="1" applyBorder="1" applyAlignment="1">
      <alignment horizontal="center" vertical="center"/>
    </xf>
    <xf numFmtId="171" fontId="8" fillId="0" borderId="26" xfId="3" applyNumberFormat="1" applyFont="1" applyBorder="1" applyAlignment="1">
      <alignment horizontal="center" vertical="center"/>
    </xf>
    <xf numFmtId="3" fontId="8" fillId="24" borderId="10" xfId="3" applyNumberFormat="1" applyFont="1" applyFill="1" applyBorder="1" applyAlignment="1">
      <alignment horizontal="center" vertical="center"/>
    </xf>
    <xf numFmtId="10" fontId="8" fillId="24" borderId="10" xfId="2" applyNumberFormat="1" applyFont="1" applyFill="1" applyBorder="1" applyAlignment="1">
      <alignment horizontal="center" vertical="center"/>
    </xf>
    <xf numFmtId="168" fontId="8" fillId="24" borderId="10" xfId="3" applyNumberFormat="1" applyFont="1" applyFill="1" applyBorder="1" applyAlignment="1">
      <alignment horizontal="center" vertical="center"/>
    </xf>
    <xf numFmtId="10" fontId="8" fillId="24" borderId="10" xfId="3" applyNumberFormat="1" applyFont="1" applyFill="1" applyBorder="1" applyAlignment="1">
      <alignment horizontal="center" vertical="center"/>
    </xf>
    <xf numFmtId="2" fontId="8" fillId="24" borderId="10" xfId="3" applyNumberFormat="1" applyFont="1" applyFill="1" applyBorder="1" applyAlignment="1">
      <alignment horizontal="center" vertical="center"/>
    </xf>
    <xf numFmtId="9" fontId="8" fillId="24" borderId="10" xfId="2" applyFont="1" applyFill="1" applyBorder="1" applyAlignment="1">
      <alignment horizontal="center" vertical="center"/>
    </xf>
    <xf numFmtId="3" fontId="8" fillId="24" borderId="10" xfId="1" applyNumberFormat="1" applyFont="1" applyFill="1" applyBorder="1" applyAlignment="1">
      <alignment horizontal="center" vertical="center"/>
    </xf>
    <xf numFmtId="171" fontId="8" fillId="4" borderId="24" xfId="3" applyNumberFormat="1" applyFont="1" applyFill="1" applyBorder="1" applyAlignment="1">
      <alignment horizontal="center" vertical="center"/>
    </xf>
    <xf numFmtId="171" fontId="8" fillId="0" borderId="2" xfId="3" applyNumberFormat="1" applyFont="1" applyBorder="1" applyAlignment="1">
      <alignment horizontal="center" vertical="center"/>
    </xf>
    <xf numFmtId="2" fontId="8" fillId="7" borderId="2" xfId="3" applyNumberFormat="1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166" fontId="0" fillId="0" borderId="0" xfId="0" applyNumberFormat="1"/>
    <xf numFmtId="171" fontId="0" fillId="20" borderId="0" xfId="0" applyNumberFormat="1" applyFill="1"/>
    <xf numFmtId="173" fontId="0" fillId="0" borderId="0" xfId="0" applyNumberFormat="1" applyFill="1"/>
    <xf numFmtId="14" fontId="15" fillId="0" borderId="62" xfId="4" applyNumberFormat="1" applyFont="1" applyFill="1" applyBorder="1" applyAlignment="1">
      <alignment horizontal="center" vertical="center" wrapText="1"/>
    </xf>
    <xf numFmtId="172" fontId="15" fillId="0" borderId="17" xfId="4" applyNumberFormat="1" applyFont="1" applyFill="1" applyBorder="1" applyAlignment="1">
      <alignment horizontal="center" vertical="center" wrapText="1"/>
    </xf>
    <xf numFmtId="169" fontId="15" fillId="0" borderId="17" xfId="1" applyNumberFormat="1" applyFont="1" applyFill="1" applyBorder="1" applyAlignment="1">
      <alignment horizontal="center" vertical="center" wrapText="1"/>
    </xf>
    <xf numFmtId="172" fontId="9" fillId="0" borderId="26" xfId="3" applyNumberFormat="1" applyFont="1" applyFill="1" applyBorder="1" applyAlignment="1">
      <alignment horizontal="center" vertical="center"/>
    </xf>
    <xf numFmtId="0" fontId="0" fillId="0" borderId="0" xfId="0" applyFill="1"/>
    <xf numFmtId="172" fontId="50" fillId="0" borderId="29" xfId="0" applyNumberFormat="1" applyFont="1" applyBorder="1" applyAlignment="1">
      <alignment horizontal="center" vertical="center" wrapText="1"/>
    </xf>
    <xf numFmtId="165" fontId="8" fillId="2" borderId="0" xfId="3" applyNumberFormat="1" applyFont="1" applyFill="1" applyAlignment="1">
      <alignment horizontal="left" vertical="center"/>
    </xf>
    <xf numFmtId="14" fontId="15" fillId="9" borderId="0" xfId="4" applyNumberFormat="1" applyFont="1" applyFill="1" applyBorder="1" applyAlignment="1">
      <alignment horizontal="center" vertical="center" wrapText="1"/>
    </xf>
    <xf numFmtId="172" fontId="15" fillId="0" borderId="0" xfId="4" applyNumberFormat="1" applyFont="1" applyBorder="1" applyAlignment="1">
      <alignment horizontal="center" vertical="center" wrapText="1"/>
    </xf>
    <xf numFmtId="0" fontId="49" fillId="11" borderId="29" xfId="0" applyFont="1" applyFill="1" applyBorder="1" applyAlignment="1">
      <alignment horizontal="center" vertical="center"/>
    </xf>
    <xf numFmtId="14" fontId="15" fillId="9" borderId="36" xfId="4" applyNumberFormat="1" applyFont="1" applyFill="1" applyBorder="1" applyAlignment="1">
      <alignment horizontal="center" vertical="center" wrapText="1"/>
    </xf>
    <xf numFmtId="0" fontId="16" fillId="0" borderId="36" xfId="0" applyFont="1" applyBorder="1" applyAlignment="1">
      <alignment horizontal="center" vertical="center" wrapText="1"/>
    </xf>
    <xf numFmtId="14" fontId="15" fillId="0" borderId="36" xfId="4" applyNumberFormat="1" applyFont="1" applyFill="1" applyBorder="1" applyAlignment="1">
      <alignment horizontal="center" vertical="center" wrapText="1"/>
    </xf>
    <xf numFmtId="172" fontId="16" fillId="0" borderId="29" xfId="0" applyNumberFormat="1" applyFont="1" applyBorder="1" applyAlignment="1">
      <alignment horizontal="center" vertical="center" wrapText="1"/>
    </xf>
    <xf numFmtId="14" fontId="15" fillId="9" borderId="70" xfId="4" applyNumberFormat="1" applyFont="1" applyFill="1" applyBorder="1" applyAlignment="1">
      <alignment horizontal="center" vertical="center" wrapText="1"/>
    </xf>
    <xf numFmtId="14" fontId="15" fillId="2" borderId="70" xfId="4" applyNumberFormat="1" applyFont="1" applyFill="1" applyBorder="1" applyAlignment="1">
      <alignment horizontal="center" vertical="center" wrapText="1"/>
    </xf>
    <xf numFmtId="0" fontId="16" fillId="0" borderId="71" xfId="0" applyFont="1" applyBorder="1" applyAlignment="1">
      <alignment horizontal="center" vertical="center" wrapText="1"/>
    </xf>
    <xf numFmtId="172" fontId="15" fillId="0" borderId="27" xfId="4" applyNumberFormat="1" applyFont="1" applyBorder="1" applyAlignment="1">
      <alignment horizontal="center" vertical="center" wrapText="1"/>
    </xf>
    <xf numFmtId="172" fontId="15" fillId="0" borderId="3" xfId="4" applyNumberFormat="1" applyFont="1" applyBorder="1" applyAlignment="1">
      <alignment horizontal="center" vertical="center" wrapText="1"/>
    </xf>
    <xf numFmtId="172" fontId="15" fillId="0" borderId="25" xfId="4" applyNumberFormat="1" applyFont="1" applyBorder="1" applyAlignment="1">
      <alignment horizontal="center" vertical="center" wrapText="1"/>
    </xf>
    <xf numFmtId="172" fontId="15" fillId="0" borderId="43" xfId="4" applyNumberFormat="1" applyFont="1" applyBorder="1" applyAlignment="1">
      <alignment horizontal="center" vertical="center" wrapText="1"/>
    </xf>
    <xf numFmtId="172" fontId="15" fillId="0" borderId="72" xfId="4" applyNumberFormat="1" applyFont="1" applyBorder="1" applyAlignment="1">
      <alignment horizontal="center" vertical="center" wrapText="1"/>
    </xf>
    <xf numFmtId="173" fontId="49" fillId="11" borderId="0" xfId="0" applyNumberFormat="1" applyFont="1" applyFill="1" applyBorder="1" applyAlignment="1">
      <alignment horizontal="center" vertical="center"/>
    </xf>
    <xf numFmtId="166" fontId="15" fillId="15" borderId="0" xfId="9" applyFont="1" applyFill="1" applyBorder="1" applyAlignment="1">
      <alignment horizontal="center" vertical="center" wrapText="1"/>
    </xf>
    <xf numFmtId="172" fontId="50" fillId="0" borderId="0" xfId="0" applyNumberFormat="1" applyFont="1" applyBorder="1" applyAlignment="1">
      <alignment horizontal="center" vertical="center" wrapText="1"/>
    </xf>
    <xf numFmtId="172" fontId="15" fillId="0" borderId="0" xfId="4" applyNumberFormat="1" applyFont="1" applyFill="1" applyBorder="1" applyAlignment="1">
      <alignment horizontal="center" vertical="center" wrapText="1"/>
    </xf>
    <xf numFmtId="0" fontId="2" fillId="11" borderId="46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24" fillId="14" borderId="33" xfId="16" applyFont="1" applyFill="1" applyBorder="1" applyAlignment="1" applyProtection="1">
      <protection locked="0"/>
    </xf>
    <xf numFmtId="0" fontId="24" fillId="14" borderId="26" xfId="16" applyFont="1" applyFill="1" applyBorder="1" applyAlignment="1" applyProtection="1">
      <protection locked="0"/>
    </xf>
    <xf numFmtId="0" fontId="20" fillId="9" borderId="0" xfId="16" applyFont="1" applyFill="1" applyAlignment="1" applyProtection="1">
      <alignment horizontal="center"/>
      <protection locked="0"/>
    </xf>
    <xf numFmtId="0" fontId="20" fillId="9" borderId="27" xfId="16" applyFont="1" applyFill="1" applyBorder="1" applyAlignment="1" applyProtection="1">
      <alignment horizontal="center"/>
      <protection locked="0"/>
    </xf>
    <xf numFmtId="0" fontId="22" fillId="9" borderId="31" xfId="16" applyFont="1" applyFill="1" applyBorder="1" applyAlignment="1" applyProtection="1">
      <alignment horizontal="center"/>
      <protection locked="0"/>
    </xf>
    <xf numFmtId="0" fontId="22" fillId="9" borderId="0" xfId="16" applyFont="1" applyFill="1" applyAlignment="1" applyProtection="1">
      <alignment horizontal="center"/>
      <protection locked="0"/>
    </xf>
    <xf numFmtId="0" fontId="22" fillId="9" borderId="27" xfId="16" applyFont="1" applyFill="1" applyBorder="1" applyAlignment="1" applyProtection="1">
      <alignment horizontal="center"/>
      <protection locked="0"/>
    </xf>
    <xf numFmtId="0" fontId="24" fillId="14" borderId="33" xfId="16" applyFont="1" applyFill="1" applyBorder="1" applyAlignment="1" applyProtection="1">
      <alignment horizontal="center"/>
      <protection locked="0"/>
    </xf>
    <xf numFmtId="0" fontId="24" fillId="14" borderId="26" xfId="16" applyFont="1" applyFill="1" applyBorder="1" applyAlignment="1" applyProtection="1">
      <alignment horizontal="center"/>
      <protection locked="0"/>
    </xf>
    <xf numFmtId="14" fontId="24" fillId="14" borderId="33" xfId="16" applyNumberFormat="1" applyFont="1" applyFill="1" applyBorder="1" applyAlignment="1" applyProtection="1">
      <alignment horizontal="center"/>
      <protection locked="0"/>
    </xf>
    <xf numFmtId="14" fontId="24" fillId="14" borderId="33" xfId="16" applyNumberFormat="1" applyFont="1" applyFill="1" applyBorder="1" applyAlignment="1" applyProtection="1">
      <protection locked="0"/>
    </xf>
    <xf numFmtId="0" fontId="24" fillId="9" borderId="37" xfId="16" applyFont="1" applyFill="1" applyBorder="1" applyAlignment="1" applyProtection="1">
      <alignment horizontal="center" vertical="center"/>
      <protection locked="0"/>
    </xf>
    <xf numFmtId="0" fontId="24" fillId="9" borderId="33" xfId="16" applyFont="1" applyFill="1" applyBorder="1" applyAlignment="1">
      <alignment horizontal="center" wrapText="1"/>
    </xf>
    <xf numFmtId="0" fontId="24" fillId="9" borderId="26" xfId="16" applyFont="1" applyFill="1" applyBorder="1" applyAlignment="1">
      <alignment horizontal="center" wrapText="1"/>
    </xf>
    <xf numFmtId="0" fontId="3" fillId="6" borderId="20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3" fillId="17" borderId="20" xfId="0" applyFont="1" applyFill="1" applyBorder="1" applyAlignment="1">
      <alignment horizontal="center" vertical="center"/>
    </xf>
    <xf numFmtId="0" fontId="3" fillId="17" borderId="21" xfId="0" applyFont="1" applyFill="1" applyBorder="1" applyAlignment="1">
      <alignment horizontal="center" vertical="center"/>
    </xf>
    <xf numFmtId="0" fontId="3" fillId="17" borderId="22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/>
    </xf>
    <xf numFmtId="0" fontId="3" fillId="8" borderId="22" xfId="0" applyFont="1" applyFill="1" applyBorder="1" applyAlignment="1">
      <alignment horizontal="center"/>
    </xf>
    <xf numFmtId="0" fontId="3" fillId="8" borderId="20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3" fillId="8" borderId="22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/>
    </xf>
    <xf numFmtId="1" fontId="8" fillId="2" borderId="67" xfId="3" applyNumberFormat="1" applyFont="1" applyFill="1" applyBorder="1" applyAlignment="1">
      <alignment horizontal="center" vertical="center"/>
    </xf>
    <xf numFmtId="1" fontId="8" fillId="2" borderId="7" xfId="3" applyNumberFormat="1" applyFont="1" applyFill="1" applyBorder="1" applyAlignment="1">
      <alignment horizontal="center" vertical="center"/>
    </xf>
    <xf numFmtId="1" fontId="8" fillId="2" borderId="6" xfId="3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 wrapText="1"/>
    </xf>
    <xf numFmtId="1" fontId="8" fillId="2" borderId="13" xfId="3" applyNumberFormat="1" applyFont="1" applyFill="1" applyBorder="1" applyAlignment="1">
      <alignment horizontal="center" vertical="center"/>
    </xf>
    <xf numFmtId="1" fontId="8" fillId="2" borderId="8" xfId="3" applyNumberFormat="1" applyFont="1" applyFill="1" applyBorder="1" applyAlignment="1">
      <alignment horizontal="center" vertical="center"/>
    </xf>
    <xf numFmtId="1" fontId="8" fillId="2" borderId="5" xfId="3" applyNumberFormat="1" applyFont="1" applyFill="1" applyBorder="1" applyAlignment="1">
      <alignment horizontal="center" vertical="center"/>
    </xf>
    <xf numFmtId="1" fontId="8" fillId="2" borderId="9" xfId="3" applyNumberFormat="1" applyFont="1" applyFill="1" applyBorder="1" applyAlignment="1">
      <alignment horizontal="center" vertical="center"/>
    </xf>
    <xf numFmtId="2" fontId="9" fillId="19" borderId="20" xfId="3" applyNumberFormat="1" applyFont="1" applyFill="1" applyBorder="1" applyAlignment="1">
      <alignment horizontal="center" vertical="center"/>
    </xf>
    <xf numFmtId="2" fontId="9" fillId="19" borderId="21" xfId="3" applyNumberFormat="1" applyFont="1" applyFill="1" applyBorder="1" applyAlignment="1">
      <alignment horizontal="center" vertical="center"/>
    </xf>
    <xf numFmtId="2" fontId="9" fillId="19" borderId="22" xfId="3" applyNumberFormat="1" applyFont="1" applyFill="1" applyBorder="1" applyAlignment="1">
      <alignment horizontal="center" vertical="center"/>
    </xf>
    <xf numFmtId="1" fontId="8" fillId="2" borderId="15" xfId="3" applyNumberFormat="1" applyFont="1" applyFill="1" applyBorder="1" applyAlignment="1">
      <alignment horizontal="center" vertical="center"/>
    </xf>
    <xf numFmtId="1" fontId="8" fillId="2" borderId="53" xfId="3" applyNumberFormat="1" applyFont="1" applyFill="1" applyBorder="1" applyAlignment="1">
      <alignment horizontal="center" vertical="center"/>
    </xf>
    <xf numFmtId="0" fontId="51" fillId="27" borderId="44" xfId="3" applyFont="1" applyFill="1" applyBorder="1" applyAlignment="1">
      <alignment horizontal="center" vertical="center"/>
    </xf>
    <xf numFmtId="2" fontId="9" fillId="19" borderId="62" xfId="3" applyNumberFormat="1" applyFont="1" applyFill="1" applyBorder="1" applyAlignment="1">
      <alignment horizontal="center" vertical="center"/>
    </xf>
    <xf numFmtId="2" fontId="9" fillId="19" borderId="61" xfId="3" applyNumberFormat="1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 wrapText="1"/>
    </xf>
    <xf numFmtId="172" fontId="53" fillId="9" borderId="1" xfId="4" applyNumberFormat="1" applyFont="1" applyFill="1" applyBorder="1" applyAlignment="1">
      <alignment horizontal="center" vertical="center" wrapText="1"/>
    </xf>
    <xf numFmtId="14" fontId="53" fillId="9" borderId="55" xfId="4" applyNumberFormat="1" applyFont="1" applyFill="1" applyBorder="1" applyAlignment="1">
      <alignment horizontal="center" vertical="center" wrapText="1"/>
    </xf>
    <xf numFmtId="0" fontId="0" fillId="26" borderId="28" xfId="0" applyFill="1" applyBorder="1" applyAlignment="1">
      <alignment horizontal="center"/>
    </xf>
    <xf numFmtId="0" fontId="0" fillId="26" borderId="30" xfId="0" applyFill="1" applyBorder="1" applyAlignment="1">
      <alignment horizontal="center"/>
    </xf>
    <xf numFmtId="172" fontId="53" fillId="2" borderId="1" xfId="4" applyNumberFormat="1" applyFont="1" applyFill="1" applyBorder="1" applyAlignment="1">
      <alignment horizontal="center" vertical="center" wrapText="1"/>
    </xf>
    <xf numFmtId="14" fontId="53" fillId="2" borderId="55" xfId="4" applyNumberFormat="1" applyFont="1" applyFill="1" applyBorder="1" applyAlignment="1">
      <alignment horizontal="center" vertical="center" wrapText="1"/>
    </xf>
    <xf numFmtId="0" fontId="4" fillId="19" borderId="41" xfId="0" applyFont="1" applyFill="1" applyBorder="1" applyAlignment="1">
      <alignment horizontal="center" vertical="center" wrapText="1"/>
    </xf>
    <xf numFmtId="0" fontId="4" fillId="19" borderId="42" xfId="0" applyFont="1" applyFill="1" applyBorder="1" applyAlignment="1">
      <alignment horizontal="center" vertical="center" wrapText="1"/>
    </xf>
    <xf numFmtId="0" fontId="4" fillId="19" borderId="59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30" fillId="2" borderId="0" xfId="0" applyFont="1" applyFill="1" applyAlignment="1">
      <alignment horizontal="center" vertical="center" wrapText="1"/>
    </xf>
    <xf numFmtId="0" fontId="35" fillId="10" borderId="9" xfId="0" applyFont="1" applyFill="1" applyBorder="1" applyAlignment="1">
      <alignment horizontal="center" vertical="center" wrapText="1"/>
    </xf>
    <xf numFmtId="0" fontId="35" fillId="10" borderId="8" xfId="0" applyFont="1" applyFill="1" applyBorder="1" applyAlignment="1">
      <alignment horizontal="center" vertical="center" wrapText="1"/>
    </xf>
    <xf numFmtId="0" fontId="35" fillId="10" borderId="5" xfId="0" applyFont="1" applyFill="1" applyBorder="1" applyAlignment="1">
      <alignment horizontal="center" vertical="center" wrapText="1"/>
    </xf>
    <xf numFmtId="2" fontId="9" fillId="19" borderId="53" xfId="3" applyNumberFormat="1" applyFont="1" applyFill="1" applyBorder="1" applyAlignment="1">
      <alignment horizontal="center" vertical="center"/>
    </xf>
    <xf numFmtId="2" fontId="9" fillId="19" borderId="23" xfId="3" applyNumberFormat="1" applyFont="1" applyFill="1" applyBorder="1" applyAlignment="1">
      <alignment horizontal="center" vertical="center"/>
    </xf>
    <xf numFmtId="2" fontId="9" fillId="19" borderId="55" xfId="3" applyNumberFormat="1" applyFont="1" applyFill="1" applyBorder="1" applyAlignment="1">
      <alignment horizontal="center" vertical="center"/>
    </xf>
    <xf numFmtId="1" fontId="8" fillId="2" borderId="10" xfId="3" applyNumberFormat="1" applyFont="1" applyFill="1" applyBorder="1" applyAlignment="1">
      <alignment horizontal="center" vertical="center"/>
    </xf>
    <xf numFmtId="1" fontId="8" fillId="2" borderId="56" xfId="3" applyNumberFormat="1" applyFont="1" applyFill="1" applyBorder="1" applyAlignment="1">
      <alignment horizontal="center" vertical="center"/>
    </xf>
    <xf numFmtId="0" fontId="47" fillId="2" borderId="0" xfId="0" applyFont="1" applyFill="1" applyAlignment="1">
      <alignment horizontal="center" vertical="center" wrapText="1"/>
    </xf>
    <xf numFmtId="0" fontId="36" fillId="10" borderId="63" xfId="0" applyFont="1" applyFill="1" applyBorder="1" applyAlignment="1">
      <alignment horizontal="center" vertical="center" wrapText="1"/>
    </xf>
    <xf numFmtId="0" fontId="36" fillId="10" borderId="5" xfId="0" applyFont="1" applyFill="1" applyBorder="1" applyAlignment="1">
      <alignment horizontal="center" vertical="center" wrapText="1"/>
    </xf>
    <xf numFmtId="0" fontId="36" fillId="10" borderId="9" xfId="0" applyFont="1" applyFill="1" applyBorder="1" applyAlignment="1">
      <alignment horizontal="center" vertical="center" wrapText="1"/>
    </xf>
    <xf numFmtId="0" fontId="36" fillId="10" borderId="8" xfId="0" applyFont="1" applyFill="1" applyBorder="1" applyAlignment="1">
      <alignment horizontal="center" vertical="center" wrapText="1"/>
    </xf>
    <xf numFmtId="0" fontId="55" fillId="2" borderId="36" xfId="3" applyFont="1" applyFill="1" applyBorder="1" applyAlignment="1">
      <alignment horizontal="center" vertical="center"/>
    </xf>
    <xf numFmtId="173" fontId="55" fillId="2" borderId="36" xfId="2" applyNumberFormat="1" applyFont="1" applyFill="1" applyBorder="1" applyAlignment="1">
      <alignment horizontal="center" vertical="center"/>
    </xf>
    <xf numFmtId="3" fontId="55" fillId="2" borderId="36" xfId="2" applyNumberFormat="1" applyFont="1" applyFill="1" applyBorder="1" applyAlignment="1">
      <alignment horizontal="center" vertical="center"/>
    </xf>
    <xf numFmtId="3" fontId="55" fillId="2" borderId="36" xfId="1" applyNumberFormat="1" applyFont="1" applyFill="1" applyBorder="1" applyAlignment="1">
      <alignment horizontal="center" vertical="center"/>
    </xf>
    <xf numFmtId="171" fontId="55" fillId="4" borderId="36" xfId="3" applyNumberFormat="1" applyFont="1" applyFill="1" applyBorder="1" applyAlignment="1">
      <alignment horizontal="center" vertical="center"/>
    </xf>
    <xf numFmtId="0" fontId="55" fillId="2" borderId="0" xfId="3" applyFont="1" applyFill="1" applyAlignment="1">
      <alignment horizontal="left" vertical="center"/>
    </xf>
    <xf numFmtId="173" fontId="55" fillId="2" borderId="0" xfId="3" applyNumberFormat="1" applyFont="1" applyFill="1" applyAlignment="1">
      <alignment horizontal="left" vertical="center"/>
    </xf>
    <xf numFmtId="0" fontId="55" fillId="2" borderId="0" xfId="3" applyFont="1" applyFill="1" applyAlignment="1">
      <alignment horizontal="center" vertical="center"/>
    </xf>
    <xf numFmtId="173" fontId="55" fillId="2" borderId="0" xfId="2" applyNumberFormat="1" applyFont="1" applyFill="1" applyBorder="1" applyAlignment="1">
      <alignment horizontal="center" vertical="center"/>
    </xf>
    <xf numFmtId="3" fontId="55" fillId="2" borderId="0" xfId="2" applyNumberFormat="1" applyFont="1" applyFill="1" applyBorder="1" applyAlignment="1">
      <alignment horizontal="center" vertical="center"/>
    </xf>
    <xf numFmtId="3" fontId="55" fillId="2" borderId="0" xfId="1" applyNumberFormat="1" applyFont="1" applyFill="1" applyBorder="1" applyAlignment="1">
      <alignment horizontal="center" vertical="center"/>
    </xf>
    <xf numFmtId="0" fontId="55" fillId="2" borderId="37" xfId="3" applyFont="1" applyFill="1" applyBorder="1" applyAlignment="1">
      <alignment horizontal="center" vertical="center"/>
    </xf>
    <xf numFmtId="173" fontId="55" fillId="2" borderId="37" xfId="2" applyNumberFormat="1" applyFont="1" applyFill="1" applyBorder="1" applyAlignment="1">
      <alignment horizontal="center" vertical="center"/>
    </xf>
    <xf numFmtId="3" fontId="55" fillId="2" borderId="37" xfId="2" applyNumberFormat="1" applyFont="1" applyFill="1" applyBorder="1" applyAlignment="1">
      <alignment horizontal="center" vertical="center"/>
    </xf>
    <xf numFmtId="3" fontId="55" fillId="2" borderId="37" xfId="1" applyNumberFormat="1" applyFont="1" applyFill="1" applyBorder="1" applyAlignment="1">
      <alignment horizontal="center" vertical="center"/>
    </xf>
    <xf numFmtId="169" fontId="8" fillId="0" borderId="10" xfId="1" applyNumberFormat="1" applyFont="1" applyFill="1" applyBorder="1" applyAlignment="1">
      <alignment horizontal="center" vertical="center"/>
    </xf>
    <xf numFmtId="3" fontId="8" fillId="0" borderId="10" xfId="1" applyNumberFormat="1" applyFont="1" applyFill="1" applyBorder="1" applyAlignment="1">
      <alignment horizontal="center" vertical="center"/>
    </xf>
    <xf numFmtId="9" fontId="8" fillId="0" borderId="10" xfId="2" applyFont="1" applyFill="1" applyBorder="1" applyAlignment="1">
      <alignment horizontal="center" vertical="center"/>
    </xf>
    <xf numFmtId="171" fontId="8" fillId="0" borderId="10" xfId="3" applyNumberFormat="1" applyFont="1" applyFill="1" applyBorder="1" applyAlignment="1">
      <alignment horizontal="center" vertical="center"/>
    </xf>
    <xf numFmtId="3" fontId="8" fillId="0" borderId="10" xfId="3" applyNumberFormat="1" applyFont="1" applyFill="1" applyBorder="1" applyAlignment="1">
      <alignment horizontal="center" vertical="center"/>
    </xf>
    <xf numFmtId="168" fontId="8" fillId="0" borderId="10" xfId="3" applyNumberFormat="1" applyFont="1" applyFill="1" applyBorder="1" applyAlignment="1">
      <alignment horizontal="center" vertical="center"/>
    </xf>
    <xf numFmtId="0" fontId="36" fillId="0" borderId="10" xfId="0" applyFont="1" applyFill="1" applyBorder="1" applyAlignment="1">
      <alignment horizontal="left" vertical="center" wrapText="1"/>
    </xf>
    <xf numFmtId="0" fontId="38" fillId="0" borderId="10" xfId="0" applyFont="1" applyFill="1" applyBorder="1" applyAlignment="1">
      <alignment horizontal="left" vertical="center" wrapText="1"/>
    </xf>
    <xf numFmtId="0" fontId="36" fillId="0" borderId="10" xfId="0" applyFont="1" applyFill="1" applyBorder="1" applyAlignment="1">
      <alignment horizontal="center" vertical="center" wrapText="1"/>
    </xf>
    <xf numFmtId="173" fontId="36" fillId="0" borderId="10" xfId="0" applyNumberFormat="1" applyFont="1" applyFill="1" applyBorder="1" applyAlignment="1">
      <alignment vertical="center" wrapText="1"/>
    </xf>
    <xf numFmtId="179" fontId="36" fillId="0" borderId="10" xfId="7" applyNumberFormat="1" applyFont="1" applyFill="1" applyBorder="1" applyAlignment="1">
      <alignment horizontal="center" vertical="center" wrapText="1"/>
    </xf>
    <xf numFmtId="173" fontId="36" fillId="0" borderId="10" xfId="6" applyNumberFormat="1" applyFont="1" applyFill="1" applyBorder="1" applyAlignment="1">
      <alignment horizontal="center" vertical="center" wrapText="1"/>
    </xf>
    <xf numFmtId="0" fontId="36" fillId="0" borderId="34" xfId="0" applyFont="1" applyFill="1" applyBorder="1" applyAlignment="1">
      <alignment vertical="center"/>
    </xf>
    <xf numFmtId="168" fontId="36" fillId="0" borderId="5" xfId="6" applyNumberFormat="1" applyFont="1" applyFill="1" applyBorder="1" applyAlignment="1">
      <alignment horizontal="center" vertical="center"/>
    </xf>
    <xf numFmtId="172" fontId="39" fillId="0" borderId="5" xfId="8" applyNumberFormat="1" applyFont="1" applyFill="1" applyBorder="1" applyAlignment="1">
      <alignment horizontal="center" vertical="center"/>
    </xf>
    <xf numFmtId="173" fontId="39" fillId="0" borderId="5" xfId="8" applyNumberFormat="1" applyFont="1" applyFill="1" applyBorder="1" applyAlignment="1">
      <alignment horizontal="center" vertical="center"/>
    </xf>
    <xf numFmtId="184" fontId="36" fillId="0" borderId="26" xfId="1" applyNumberFormat="1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left" vertical="center" wrapText="1"/>
    </xf>
    <xf numFmtId="0" fontId="36" fillId="0" borderId="5" xfId="0" applyFont="1" applyFill="1" applyBorder="1" applyAlignment="1">
      <alignment horizontal="center" vertical="center" wrapText="1"/>
    </xf>
    <xf numFmtId="173" fontId="36" fillId="0" borderId="5" xfId="0" applyNumberFormat="1" applyFont="1" applyFill="1" applyBorder="1" applyAlignment="1">
      <alignment vertical="center" wrapText="1"/>
    </xf>
    <xf numFmtId="179" fontId="36" fillId="0" borderId="5" xfId="7" applyNumberFormat="1" applyFont="1" applyFill="1" applyBorder="1" applyAlignment="1">
      <alignment horizontal="center" vertical="center" wrapText="1"/>
    </xf>
    <xf numFmtId="173" fontId="36" fillId="0" borderId="5" xfId="6" applyNumberFormat="1" applyFont="1" applyFill="1" applyBorder="1" applyAlignment="1">
      <alignment horizontal="center" vertical="center" wrapText="1"/>
    </xf>
    <xf numFmtId="0" fontId="36" fillId="0" borderId="10" xfId="0" applyFont="1" applyFill="1" applyBorder="1" applyAlignment="1">
      <alignment vertical="center"/>
    </xf>
    <xf numFmtId="168" fontId="36" fillId="0" borderId="10" xfId="6" applyNumberFormat="1" applyFont="1" applyFill="1" applyBorder="1" applyAlignment="1">
      <alignment horizontal="center" vertical="center"/>
    </xf>
    <xf numFmtId="184" fontId="36" fillId="0" borderId="10" xfId="1" applyNumberFormat="1" applyFont="1" applyFill="1" applyBorder="1" applyAlignment="1">
      <alignment horizontal="center" vertical="center"/>
    </xf>
    <xf numFmtId="0" fontId="54" fillId="0" borderId="0" xfId="0" applyFont="1" applyFill="1" applyBorder="1"/>
    <xf numFmtId="0" fontId="56" fillId="0" borderId="0" xfId="0" applyFont="1" applyFill="1" applyBorder="1" applyAlignment="1">
      <alignment horizontal="center" vertical="center" wrapText="1"/>
    </xf>
    <xf numFmtId="0" fontId="56" fillId="0" borderId="0" xfId="0" applyFont="1" applyFill="1" applyBorder="1" applyAlignment="1">
      <alignment horizontal="left" vertical="center" wrapText="1"/>
    </xf>
    <xf numFmtId="0" fontId="56" fillId="0" borderId="0" xfId="0" applyFont="1" applyFill="1" applyBorder="1" applyAlignment="1">
      <alignment horizontal="center" vertical="center" wrapText="1"/>
    </xf>
    <xf numFmtId="173" fontId="56" fillId="0" borderId="0" xfId="0" applyNumberFormat="1" applyFont="1" applyFill="1" applyBorder="1" applyAlignment="1">
      <alignment vertical="center" wrapText="1"/>
    </xf>
    <xf numFmtId="179" fontId="56" fillId="0" borderId="0" xfId="7" applyNumberFormat="1" applyFont="1" applyFill="1" applyBorder="1" applyAlignment="1">
      <alignment horizontal="center" vertical="center" wrapText="1"/>
    </xf>
    <xf numFmtId="173" fontId="56" fillId="0" borderId="0" xfId="6" applyNumberFormat="1" applyFont="1" applyFill="1" applyBorder="1" applyAlignment="1">
      <alignment horizontal="center" vertical="center" wrapText="1"/>
    </xf>
    <xf numFmtId="0" fontId="56" fillId="0" borderId="0" xfId="0" applyFont="1" applyFill="1" applyBorder="1" applyAlignment="1">
      <alignment vertical="center"/>
    </xf>
    <xf numFmtId="168" fontId="56" fillId="0" borderId="0" xfId="6" applyNumberFormat="1" applyFont="1" applyFill="1" applyBorder="1" applyAlignment="1">
      <alignment horizontal="center" vertical="center"/>
    </xf>
    <xf numFmtId="172" fontId="56" fillId="0" borderId="0" xfId="8" applyNumberFormat="1" applyFont="1" applyFill="1" applyBorder="1" applyAlignment="1">
      <alignment horizontal="center" vertical="center"/>
    </xf>
    <xf numFmtId="173" fontId="56" fillId="0" borderId="0" xfId="8" applyNumberFormat="1" applyFont="1" applyFill="1" applyBorder="1" applyAlignment="1">
      <alignment horizontal="center" vertical="center"/>
    </xf>
    <xf numFmtId="184" fontId="56" fillId="0" borderId="0" xfId="1" applyNumberFormat="1" applyFont="1" applyFill="1" applyBorder="1" applyAlignment="1">
      <alignment horizontal="center" vertical="center"/>
    </xf>
    <xf numFmtId="0" fontId="56" fillId="0" borderId="0" xfId="0" applyFont="1" applyFill="1" applyBorder="1"/>
    <xf numFmtId="167" fontId="56" fillId="0" borderId="0" xfId="1" applyFont="1" applyFill="1" applyBorder="1" applyAlignment="1">
      <alignment horizontal="left" indent="1"/>
    </xf>
    <xf numFmtId="184" fontId="56" fillId="0" borderId="0" xfId="1" applyNumberFormat="1" applyFont="1" applyFill="1" applyBorder="1"/>
    <xf numFmtId="0" fontId="36" fillId="2" borderId="0" xfId="0" applyFont="1" applyFill="1" applyBorder="1"/>
    <xf numFmtId="167" fontId="36" fillId="2" borderId="0" xfId="1" applyFont="1" applyFill="1" applyBorder="1" applyAlignment="1">
      <alignment horizontal="left" indent="1"/>
    </xf>
    <xf numFmtId="184" fontId="36" fillId="2" borderId="0" xfId="1" applyNumberFormat="1" applyFont="1" applyFill="1" applyBorder="1"/>
    <xf numFmtId="0" fontId="0" fillId="2" borderId="0" xfId="0" applyFill="1" applyBorder="1"/>
    <xf numFmtId="171" fontId="54" fillId="0" borderId="0" xfId="0" applyNumberFormat="1" applyFont="1"/>
    <xf numFmtId="169" fontId="8" fillId="0" borderId="5" xfId="1" applyNumberFormat="1" applyFont="1" applyFill="1" applyBorder="1" applyAlignment="1">
      <alignment horizontal="center" vertical="center"/>
    </xf>
    <xf numFmtId="171" fontId="8" fillId="0" borderId="24" xfId="3" applyNumberFormat="1" applyFont="1" applyFill="1" applyBorder="1" applyAlignment="1">
      <alignment horizontal="center" vertical="center"/>
    </xf>
    <xf numFmtId="0" fontId="55" fillId="0" borderId="0" xfId="3" applyFont="1" applyFill="1" applyAlignment="1">
      <alignment horizontal="left" vertical="center"/>
    </xf>
    <xf numFmtId="0" fontId="55" fillId="0" borderId="36" xfId="3" applyFont="1" applyFill="1" applyBorder="1" applyAlignment="1">
      <alignment horizontal="center" vertical="center"/>
    </xf>
    <xf numFmtId="173" fontId="55" fillId="0" borderId="36" xfId="2" applyNumberFormat="1" applyFont="1" applyFill="1" applyBorder="1" applyAlignment="1">
      <alignment horizontal="center" vertical="center"/>
    </xf>
    <xf numFmtId="3" fontId="55" fillId="0" borderId="36" xfId="2" applyNumberFormat="1" applyFont="1" applyFill="1" applyBorder="1" applyAlignment="1">
      <alignment horizontal="center" vertical="center"/>
    </xf>
    <xf numFmtId="3" fontId="55" fillId="0" borderId="36" xfId="1" applyNumberFormat="1" applyFont="1" applyFill="1" applyBorder="1" applyAlignment="1">
      <alignment horizontal="center" vertical="center"/>
    </xf>
    <xf numFmtId="173" fontId="55" fillId="0" borderId="0" xfId="3" applyNumberFormat="1" applyFont="1" applyFill="1" applyAlignment="1">
      <alignment horizontal="left" vertical="center"/>
    </xf>
    <xf numFmtId="0" fontId="55" fillId="0" borderId="0" xfId="3" applyFont="1" applyFill="1" applyAlignment="1">
      <alignment horizontal="center" vertical="center"/>
    </xf>
    <xf numFmtId="173" fontId="55" fillId="0" borderId="0" xfId="2" applyNumberFormat="1" applyFont="1" applyFill="1" applyBorder="1" applyAlignment="1">
      <alignment horizontal="center" vertical="center"/>
    </xf>
    <xf numFmtId="3" fontId="55" fillId="0" borderId="0" xfId="2" applyNumberFormat="1" applyFont="1" applyFill="1" applyBorder="1" applyAlignment="1">
      <alignment horizontal="center" vertical="center"/>
    </xf>
    <xf numFmtId="3" fontId="55" fillId="0" borderId="0" xfId="1" applyNumberFormat="1" applyFont="1" applyFill="1" applyBorder="1" applyAlignment="1">
      <alignment horizontal="center" vertical="center"/>
    </xf>
    <xf numFmtId="0" fontId="55" fillId="0" borderId="37" xfId="3" applyFont="1" applyFill="1" applyBorder="1" applyAlignment="1">
      <alignment horizontal="center" vertical="center"/>
    </xf>
    <xf numFmtId="173" fontId="55" fillId="0" borderId="37" xfId="2" applyNumberFormat="1" applyFont="1" applyFill="1" applyBorder="1" applyAlignment="1">
      <alignment horizontal="center" vertical="center"/>
    </xf>
    <xf numFmtId="3" fontId="55" fillId="0" borderId="37" xfId="2" applyNumberFormat="1" applyFont="1" applyFill="1" applyBorder="1" applyAlignment="1">
      <alignment horizontal="center" vertical="center"/>
    </xf>
    <xf numFmtId="3" fontId="55" fillId="0" borderId="37" xfId="1" applyNumberFormat="1" applyFont="1" applyFill="1" applyBorder="1" applyAlignment="1">
      <alignment horizontal="center" vertical="center"/>
    </xf>
    <xf numFmtId="0" fontId="51" fillId="0" borderId="4" xfId="3" applyFont="1" applyFill="1" applyBorder="1" applyAlignment="1">
      <alignment horizontal="left" vertical="center"/>
    </xf>
    <xf numFmtId="3" fontId="51" fillId="0" borderId="4" xfId="3" applyNumberFormat="1" applyFont="1" applyFill="1" applyBorder="1" applyAlignment="1">
      <alignment horizontal="left" vertical="center"/>
    </xf>
    <xf numFmtId="173" fontId="51" fillId="0" borderId="4" xfId="3" applyNumberFormat="1" applyFont="1" applyFill="1" applyBorder="1" applyAlignment="1">
      <alignment horizontal="left" vertical="center"/>
    </xf>
    <xf numFmtId="173" fontId="51" fillId="0" borderId="4" xfId="3" applyNumberFormat="1" applyFont="1" applyFill="1" applyBorder="1" applyAlignment="1">
      <alignment horizontal="center" vertical="center"/>
    </xf>
    <xf numFmtId="3" fontId="51" fillId="0" borderId="4" xfId="3" applyNumberFormat="1" applyFont="1" applyFill="1" applyBorder="1" applyAlignment="1">
      <alignment horizontal="right" vertical="center"/>
    </xf>
    <xf numFmtId="0" fontId="54" fillId="2" borderId="0" xfId="0" applyFont="1" applyFill="1"/>
    <xf numFmtId="0" fontId="54" fillId="2" borderId="0" xfId="0" applyFont="1" applyFill="1" applyAlignment="1">
      <alignment horizontal="center"/>
    </xf>
    <xf numFmtId="173" fontId="54" fillId="2" borderId="0" xfId="0" applyNumberFormat="1" applyFont="1" applyFill="1" applyAlignment="1">
      <alignment horizontal="center"/>
    </xf>
    <xf numFmtId="173" fontId="54" fillId="2" borderId="0" xfId="0" applyNumberFormat="1" applyFont="1" applyFill="1"/>
    <xf numFmtId="173" fontId="57" fillId="2" borderId="36" xfId="2" applyNumberFormat="1" applyFont="1" applyFill="1" applyBorder="1" applyAlignment="1">
      <alignment horizontal="center" vertical="center"/>
    </xf>
    <xf numFmtId="173" fontId="57" fillId="2" borderId="36" xfId="2" applyNumberFormat="1" applyFont="1" applyFill="1" applyBorder="1" applyAlignment="1">
      <alignment horizontal="center" vertical="center"/>
    </xf>
    <xf numFmtId="3" fontId="57" fillId="2" borderId="36" xfId="2" applyNumberFormat="1" applyFont="1" applyFill="1" applyBorder="1" applyAlignment="1">
      <alignment horizontal="center" vertical="center"/>
    </xf>
    <xf numFmtId="173" fontId="57" fillId="2" borderId="0" xfId="2" applyNumberFormat="1" applyFont="1" applyFill="1" applyBorder="1" applyAlignment="1">
      <alignment horizontal="center" vertical="center"/>
    </xf>
    <xf numFmtId="173" fontId="57" fillId="2" borderId="0" xfId="2" applyNumberFormat="1" applyFont="1" applyFill="1" applyBorder="1" applyAlignment="1">
      <alignment horizontal="center" vertical="center"/>
    </xf>
    <xf numFmtId="3" fontId="57" fillId="2" borderId="0" xfId="2" applyNumberFormat="1" applyFont="1" applyFill="1" applyBorder="1" applyAlignment="1">
      <alignment horizontal="center" vertical="center"/>
    </xf>
  </cellXfs>
  <cellStyles count="17">
    <cellStyle name="Comma 2" xfId="7"/>
    <cellStyle name="Comma 2 2" xfId="14"/>
    <cellStyle name="Comma 3" xfId="10"/>
    <cellStyle name="Comma 4" xfId="13"/>
    <cellStyle name="Currency 2" xfId="6"/>
    <cellStyle name="Currency 3" xfId="11"/>
    <cellStyle name="Currency 4" xfId="15"/>
    <cellStyle name="Millares" xfId="1" builtinId="3"/>
    <cellStyle name="Moneda" xfId="9" builtinId="4"/>
    <cellStyle name="Normal" xfId="0" builtinId="0"/>
    <cellStyle name="Normal 101 2" xfId="4"/>
    <cellStyle name="Normal 2" xfId="3"/>
    <cellStyle name="Normal 2 2" xfId="5"/>
    <cellStyle name="Normal 2 3" xfId="8"/>
    <cellStyle name="Normal 3" xfId="12"/>
    <cellStyle name="Normal 3 2" xfId="16"/>
    <cellStyle name="Porcentual" xfId="2" builtinId="5"/>
  </cellStyles>
  <dxfs count="0"/>
  <tableStyles count="0" defaultTableStyle="TableStyleMedium2" defaultPivotStyle="PivotStyleLight16"/>
  <colors>
    <mruColors>
      <color rgb="FFEFAB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C:/C:/Users/sabinecummins/Desktop/Partnerships/S:/Sales%20&amp;%20Marketing%20Share%20Drive%20(HMDM)/Clients/J/JCPenney/2009/Holiday/JCPenney%20Holiday%202009%20Media%20Grid%2010.12.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C:/C:/Users/sabinecummins/Desktop/Partnerships/S:/DEPTS/StarLink/Spark/TAAG/Sparkonomy/Sparkonomy%20Tool%20v4.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53AC68A1\JCPenney%20-%20Wedding%20Registry%20-%20Creative%20Specs%20(2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ED71086\JCPenney%20Teens%20Cindy%20Crawford%20Style%20RFP%20Template%20and%20Specs_revised%207.17.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C:/C:/Users/sabinecummins/Desktop/Partnerships/S:/Documents%20and%20Settings/ChrisBohn08/Local%20Settings/Temporary%20Internet%20Files/OLKA6B/RF%20-%20Creative%20Spec%20Templ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36E364F\MasterCreativeSpecs_RF%20Revised%20templat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ta/Documents/Trabajo/Invisalign/2022/3.Finance/2.Media%20Plans/Q1/Q1%20Media_Plan_2022_V8_04.03_Teens%20Extension%20to%20Q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ich Media Options"/>
      <sheetName val="JCP Holiday_$100k"/>
      <sheetName val="Full Creative Requirements"/>
      <sheetName val="Custom Project Details"/>
      <sheetName val="Atlas RM"/>
      <sheetName val="DropDown Menus"/>
      <sheetName val="Taxonomy"/>
      <sheetName val="JCPenney Holiday 2009 Media Gri"/>
      <sheetName val="JCP_Holiday_$100k"/>
      <sheetName val="Full_Creative_Requirements"/>
      <sheetName val="Custom_Project_Details"/>
      <sheetName val="Atlas_RM"/>
      <sheetName val="Rich_Media_Options"/>
      <sheetName val="DropDown_Menus"/>
    </sheetNames>
    <sheetDataSet>
      <sheetData sheetId="0" refreshError="1">
        <row r="4">
          <cell r="C4" t="str">
            <v>15 seconds</v>
          </cell>
          <cell r="D4" t="str">
            <v>No restrictions</v>
          </cell>
          <cell r="G4" t="str">
            <v>30k</v>
          </cell>
          <cell r="J4" t="str">
            <v>728x180</v>
          </cell>
          <cell r="K4">
            <v>3</v>
          </cell>
          <cell r="M4" t="str">
            <v>mouse off</v>
          </cell>
          <cell r="N4" t="str">
            <v>down</v>
          </cell>
          <cell r="P4" t="str">
            <v>10 pt font</v>
          </cell>
          <cell r="Q4" t="str">
            <v xml:space="preserve">2 MB </v>
          </cell>
          <cell r="S4" t="str">
            <v>15 seconds</v>
          </cell>
          <cell r="T4" t="str">
            <v>upon page load</v>
          </cell>
          <cell r="U4" t="str">
            <v>sound on/off</v>
          </cell>
        </row>
        <row r="5">
          <cell r="C5" t="str">
            <v>30 seconds</v>
          </cell>
          <cell r="D5" t="str">
            <v>50% of entire ad unit</v>
          </cell>
          <cell r="G5" t="str">
            <v>40k</v>
          </cell>
          <cell r="J5" t="str">
            <v>728x270</v>
          </cell>
          <cell r="K5">
            <v>4</v>
          </cell>
          <cell r="M5" t="str">
            <v>click</v>
          </cell>
          <cell r="N5" t="str">
            <v>up</v>
          </cell>
          <cell r="P5" t="str">
            <v>12 pt font</v>
          </cell>
          <cell r="Q5" t="str">
            <v>streaming</v>
          </cell>
          <cell r="S5" t="str">
            <v>30 seconds</v>
          </cell>
          <cell r="T5" t="str">
            <v>auto video, user initiated audio</v>
          </cell>
          <cell r="U5" t="str">
            <v>pause/play/stop</v>
          </cell>
        </row>
        <row r="6">
          <cell r="C6" t="str">
            <v>unlimited</v>
          </cell>
          <cell r="D6" t="str">
            <v>33% of entire ad unit</v>
          </cell>
          <cell r="G6" t="str">
            <v>other (see notes)</v>
          </cell>
          <cell r="J6" t="str">
            <v>728x315</v>
          </cell>
          <cell r="K6" t="str">
            <v>other (see notes)</v>
          </cell>
          <cell r="M6" t="str">
            <v>mouse off or click</v>
          </cell>
          <cell r="N6" t="str">
            <v>other (see notes)</v>
          </cell>
          <cell r="P6" t="str">
            <v>16 pt font</v>
          </cell>
          <cell r="Q6" t="str">
            <v>other (see notes)</v>
          </cell>
          <cell r="S6" t="str">
            <v>60 seconds</v>
          </cell>
          <cell r="T6" t="str">
            <v>user initiated audio &amp; video - mouse over</v>
          </cell>
          <cell r="U6" t="str">
            <v>sound on/off &amp; pause/play/stop</v>
          </cell>
        </row>
        <row r="7">
          <cell r="C7" t="str">
            <v>other (See notes)</v>
          </cell>
          <cell r="D7" t="str">
            <v>25% of entire ad unit</v>
          </cell>
          <cell r="J7" t="str">
            <v>other (see notes)</v>
          </cell>
          <cell r="M7" t="str">
            <v>other (see notes)</v>
          </cell>
          <cell r="P7" t="str">
            <v>Not specified</v>
          </cell>
          <cell r="S7" t="str">
            <v>90 seconds</v>
          </cell>
          <cell r="T7" t="str">
            <v>user initiated audio &amp; video - click</v>
          </cell>
          <cell r="U7" t="str">
            <v>other (see notes)</v>
          </cell>
        </row>
        <row r="8">
          <cell r="D8" t="str">
            <v>other (See notes)</v>
          </cell>
          <cell r="P8" t="str">
            <v>other (see notes)</v>
          </cell>
          <cell r="S8" t="str">
            <v>120 seconds</v>
          </cell>
          <cell r="T8" t="str">
            <v>user initiated audio &amp; video - click or mouse over</v>
          </cell>
        </row>
        <row r="9">
          <cell r="S9" t="str">
            <v>other (see notes)</v>
          </cell>
          <cell r="T9" t="str">
            <v>other (see notes)</v>
          </cell>
        </row>
        <row r="14">
          <cell r="E14" t="str">
            <v>18 fps</v>
          </cell>
        </row>
        <row r="15">
          <cell r="E15" t="str">
            <v>24 fps</v>
          </cell>
        </row>
        <row r="16">
          <cell r="E16" t="str">
            <v>30 fps</v>
          </cell>
        </row>
        <row r="17">
          <cell r="E17" t="str">
            <v>other (See notes)</v>
          </cell>
        </row>
        <row r="24">
          <cell r="D24" t="str">
            <v>No restrictions</v>
          </cell>
        </row>
        <row r="25">
          <cell r="D25" t="str">
            <v>50% of entire ad unit</v>
          </cell>
        </row>
        <row r="26">
          <cell r="D26" t="str">
            <v>33% of entire ad unit</v>
          </cell>
        </row>
        <row r="27">
          <cell r="D27" t="str">
            <v>25% of entire ad unit</v>
          </cell>
        </row>
        <row r="28">
          <cell r="D28" t="str">
            <v>other (See notes)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>
        <row r="4">
          <cell r="C4" t="str">
            <v>15 seconds</v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ich Media Options"/>
      <sheetName val="Full Creative Requirements"/>
      <sheetName val="Atlas RM"/>
    </sheetNames>
    <sheetDataSet>
      <sheetData sheetId="0" refreshError="1">
        <row r="4">
          <cell r="E4" t="str">
            <v>18 fps</v>
          </cell>
          <cell r="F4" t="str">
            <v>up to 6</v>
          </cell>
          <cell r="G4" t="str">
            <v>30k</v>
          </cell>
          <cell r="H4" t="str">
            <v>80k</v>
          </cell>
          <cell r="I4" t="str">
            <v>yes</v>
          </cell>
          <cell r="L4" t="str">
            <v>mouse over</v>
          </cell>
          <cell r="T4" t="str">
            <v>upon page load</v>
          </cell>
          <cell r="U4" t="str">
            <v>sound on/off</v>
          </cell>
        </row>
        <row r="5">
          <cell r="E5" t="str">
            <v>24 fps</v>
          </cell>
          <cell r="F5" t="str">
            <v>up to 7</v>
          </cell>
          <cell r="G5" t="str">
            <v>40k</v>
          </cell>
          <cell r="H5" t="str">
            <v>100k</v>
          </cell>
          <cell r="I5" t="str">
            <v>no</v>
          </cell>
          <cell r="L5" t="str">
            <v>click</v>
          </cell>
          <cell r="T5" t="str">
            <v>auto video, user initiated audio</v>
          </cell>
          <cell r="U5" t="str">
            <v>pause/play/stop</v>
          </cell>
        </row>
        <row r="6">
          <cell r="E6" t="str">
            <v>30 fps</v>
          </cell>
          <cell r="F6" t="str">
            <v>up to 8</v>
          </cell>
          <cell r="G6" t="str">
            <v>other (see notes)</v>
          </cell>
          <cell r="H6" t="str">
            <v>other (see notes)</v>
          </cell>
          <cell r="L6" t="str">
            <v>mouse over or click</v>
          </cell>
          <cell r="T6" t="str">
            <v>user initiated audio &amp; video - mouse over</v>
          </cell>
          <cell r="U6" t="str">
            <v>sound on/off &amp; pause/play/stop</v>
          </cell>
        </row>
        <row r="7">
          <cell r="E7" t="str">
            <v>other (See notes)</v>
          </cell>
          <cell r="F7" t="str">
            <v>up to 9</v>
          </cell>
          <cell r="L7" t="str">
            <v>other (see notes)</v>
          </cell>
          <cell r="T7" t="str">
            <v>user initiated audio &amp; video - click</v>
          </cell>
          <cell r="U7" t="str">
            <v>other (see notes)</v>
          </cell>
        </row>
        <row r="8">
          <cell r="F8" t="str">
            <v>other (See notes)</v>
          </cell>
          <cell r="T8" t="str">
            <v>user initiated audio &amp; video - click or mouse over</v>
          </cell>
        </row>
        <row r="9">
          <cell r="T9" t="str">
            <v>other (see notes)</v>
          </cell>
        </row>
      </sheetData>
      <sheetData sheetId="1">
        <row r="4">
          <cell r="E4" t="str">
            <v>18 fps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ich Media Options"/>
      <sheetName val="$150k Proposal"/>
      <sheetName val="$50k Proposal"/>
      <sheetName val="$100k Proposal"/>
      <sheetName val="Full Creative Requirements"/>
      <sheetName val="Custom Project Details"/>
      <sheetName val="Atlas RM"/>
      <sheetName val="Age 18-20"/>
      <sheetName val="Age 15-17"/>
      <sheetName val="Age 21-24"/>
      <sheetName val="Lists (internal)"/>
      <sheetName val="Administrative"/>
    </sheetNames>
    <sheetDataSet>
      <sheetData sheetId="0" refreshError="1">
        <row r="4">
          <cell r="N4" t="str">
            <v>down</v>
          </cell>
          <cell r="P4" t="str">
            <v>10 pt font</v>
          </cell>
          <cell r="U4" t="str">
            <v>sound on/off</v>
          </cell>
        </row>
        <row r="5">
          <cell r="N5" t="str">
            <v>up</v>
          </cell>
          <cell r="P5" t="str">
            <v>12 pt font</v>
          </cell>
          <cell r="U5" t="str">
            <v>pause/play/stop</v>
          </cell>
        </row>
        <row r="6">
          <cell r="N6" t="str">
            <v>other (see notes)</v>
          </cell>
          <cell r="P6" t="str">
            <v>16 pt font</v>
          </cell>
          <cell r="U6" t="str">
            <v>sound on/off &amp; pause/play/stop</v>
          </cell>
        </row>
        <row r="7">
          <cell r="P7" t="str">
            <v>Not specified</v>
          </cell>
          <cell r="U7" t="str">
            <v>other (see notes)</v>
          </cell>
        </row>
        <row r="8">
          <cell r="P8" t="str">
            <v>other (see notes)</v>
          </cell>
        </row>
        <row r="14">
          <cell r="S14" t="str">
            <v>15 seconds</v>
          </cell>
        </row>
        <row r="15">
          <cell r="S15" t="str">
            <v>30 seconds</v>
          </cell>
        </row>
        <row r="16">
          <cell r="S16" t="str">
            <v>60 seconds</v>
          </cell>
        </row>
        <row r="17">
          <cell r="S17" t="str">
            <v>90 seconds</v>
          </cell>
        </row>
        <row r="18">
          <cell r="S18" t="str">
            <v>120 seconds</v>
          </cell>
        </row>
        <row r="19">
          <cell r="S19" t="str">
            <v>other (see notes)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ich Media Options"/>
      <sheetName val="Full Creative Requirements"/>
      <sheetName val="Custom Project Details"/>
      <sheetName val="Atlas RM Specs"/>
      <sheetName val="Drop Downs"/>
      <sheetName val="Lists (internal)"/>
    </sheetNames>
    <sheetDataSet>
      <sheetData sheetId="0" refreshError="1">
        <row r="4">
          <cell r="C4" t="str">
            <v>15 seconds</v>
          </cell>
          <cell r="P4" t="str">
            <v>10 pt font</v>
          </cell>
        </row>
        <row r="5">
          <cell r="P5" t="str">
            <v>12 pt font</v>
          </cell>
        </row>
        <row r="6">
          <cell r="P6" t="str">
            <v>16 pt font</v>
          </cell>
        </row>
        <row r="7">
          <cell r="P7" t="str">
            <v>Not specified</v>
          </cell>
        </row>
        <row r="8">
          <cell r="P8" t="str">
            <v>other (see notes)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Rich Media Options"/>
      <sheetName val="Checklist"/>
      <sheetName val="Full Creative Requirements"/>
      <sheetName val="Custom Project Details"/>
      <sheetName val="Atlas RM"/>
      <sheetName val="Glossary, Examples"/>
    </sheetNames>
    <sheetDataSet>
      <sheetData sheetId="0">
        <row r="24">
          <cell r="Q24" t="str">
            <v xml:space="preserve">2 MB </v>
          </cell>
          <cell r="S24" t="str">
            <v>15 seconds</v>
          </cell>
        </row>
        <row r="25">
          <cell r="Q25" t="str">
            <v>streaming</v>
          </cell>
          <cell r="S25" t="str">
            <v>30 seconds</v>
          </cell>
        </row>
        <row r="26">
          <cell r="Q26" t="str">
            <v>other (see notes)</v>
          </cell>
          <cell r="S26" t="str">
            <v>60 seconds</v>
          </cell>
        </row>
        <row r="27">
          <cell r="S27" t="str">
            <v>90 seconds</v>
          </cell>
        </row>
        <row r="28">
          <cell r="S28" t="str">
            <v>120 seconds</v>
          </cell>
        </row>
        <row r="29">
          <cell r="S29" t="str">
            <v>other (see notes)</v>
          </cell>
        </row>
      </sheetData>
      <sheetData sheetId="1" refreshError="1"/>
      <sheetData sheetId="2">
        <row r="24">
          <cell r="Q24" t="str">
            <v xml:space="preserve">2 MB </v>
          </cell>
        </row>
      </sheetData>
      <sheetData sheetId="3">
        <row r="24">
          <cell r="Q24" t="str">
            <v xml:space="preserve">2 MB </v>
          </cell>
        </row>
      </sheetData>
      <sheetData sheetId="4">
        <row r="24">
          <cell r="Q24" t="str">
            <v xml:space="preserve">2 MB </v>
          </cell>
        </row>
      </sheetData>
      <sheetData sheetId="5">
        <row r="24">
          <cell r="Q24" t="str">
            <v xml:space="preserve">2 MB 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OX - Q1 (2)"/>
      <sheetName val="Prisma Campaigns Breakdown"/>
      <sheetName val="FINALS"/>
      <sheetName val="Facebook campaigns"/>
      <sheetName val="Teens (UK)"/>
      <sheetName val="Facebook &amp; Instagram"/>
      <sheetName val="Discovery Ads"/>
      <sheetName val="Paid Search"/>
      <sheetName val="Display"/>
      <sheetName val="Snapchat"/>
      <sheetName val="Dentaly"/>
      <sheetName val="Tik Tok"/>
      <sheetName val="YouTub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1">
          <cell r="F31">
            <v>54093.719499920793</v>
          </cell>
          <cell r="M31">
            <v>213.242470606871</v>
          </cell>
          <cell r="N31">
            <v>693.03802947233066</v>
          </cell>
          <cell r="Q31">
            <v>55000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75"/>
  <sheetViews>
    <sheetView topLeftCell="A13" zoomScale="80" zoomScaleNormal="80" zoomScaleSheetLayoutView="70" workbookViewId="0">
      <selection activeCell="E27" sqref="E27"/>
    </sheetView>
  </sheetViews>
  <sheetFormatPr baseColWidth="10" defaultColWidth="5.88671875" defaultRowHeight="13.2"/>
  <cols>
    <col min="1" max="2" width="5.88671875" style="79" customWidth="1"/>
    <col min="3" max="3" width="14.109375" style="79" customWidth="1"/>
    <col min="4" max="4" width="27.109375" style="79" bestFit="1" customWidth="1"/>
    <col min="5" max="5" width="18.109375" style="79" customWidth="1"/>
    <col min="6" max="6" width="5.88671875" style="79" customWidth="1"/>
    <col min="7" max="7" width="11.109375" style="79" customWidth="1"/>
    <col min="8" max="8" width="16" style="79" customWidth="1"/>
    <col min="9" max="9" width="7.109375" style="79" customWidth="1"/>
    <col min="10" max="10" width="9.109375" style="79" customWidth="1"/>
    <col min="11" max="11" width="16.109375" style="79" customWidth="1"/>
    <col min="12" max="12" width="17.88671875" style="79" bestFit="1" customWidth="1"/>
    <col min="13" max="13" width="10.109375" style="79" customWidth="1"/>
    <col min="14" max="14" width="6.88671875" style="79" customWidth="1"/>
    <col min="15" max="15" width="4" style="79" customWidth="1"/>
    <col min="16" max="16" width="2.5546875" style="79" customWidth="1"/>
    <col min="17" max="17" width="11.44140625" style="79" bestFit="1" customWidth="1"/>
    <col min="18" max="18" width="11.109375" style="79" bestFit="1" customWidth="1"/>
    <col min="19" max="22" width="5.88671875" style="79"/>
    <col min="23" max="23" width="23.88671875" style="79" bestFit="1" customWidth="1"/>
    <col min="24" max="258" width="5.88671875" style="79"/>
    <col min="259" max="259" width="14.109375" style="79" customWidth="1"/>
    <col min="260" max="260" width="22" style="79" customWidth="1"/>
    <col min="261" max="261" width="18.109375" style="79" customWidth="1"/>
    <col min="262" max="262" width="5.88671875" style="79"/>
    <col min="263" max="263" width="11.109375" style="79" customWidth="1"/>
    <col min="264" max="264" width="16" style="79" customWidth="1"/>
    <col min="265" max="265" width="7.109375" style="79" customWidth="1"/>
    <col min="266" max="266" width="9.109375" style="79" customWidth="1"/>
    <col min="267" max="267" width="16.109375" style="79" customWidth="1"/>
    <col min="268" max="268" width="17.109375" style="79" bestFit="1" customWidth="1"/>
    <col min="269" max="269" width="10.109375" style="79" customWidth="1"/>
    <col min="270" max="270" width="6.88671875" style="79" customWidth="1"/>
    <col min="271" max="271" width="4" style="79" customWidth="1"/>
    <col min="272" max="272" width="2.5546875" style="79" customWidth="1"/>
    <col min="273" max="273" width="5.88671875" style="79"/>
    <col min="274" max="274" width="11.109375" style="79" bestFit="1" customWidth="1"/>
    <col min="275" max="278" width="5.88671875" style="79"/>
    <col min="279" max="279" width="23.88671875" style="79" bestFit="1" customWidth="1"/>
    <col min="280" max="514" width="5.88671875" style="79"/>
    <col min="515" max="515" width="14.109375" style="79" customWidth="1"/>
    <col min="516" max="516" width="22" style="79" customWidth="1"/>
    <col min="517" max="517" width="18.109375" style="79" customWidth="1"/>
    <col min="518" max="518" width="5.88671875" style="79"/>
    <col min="519" max="519" width="11.109375" style="79" customWidth="1"/>
    <col min="520" max="520" width="16" style="79" customWidth="1"/>
    <col min="521" max="521" width="7.109375" style="79" customWidth="1"/>
    <col min="522" max="522" width="9.109375" style="79" customWidth="1"/>
    <col min="523" max="523" width="16.109375" style="79" customWidth="1"/>
    <col min="524" max="524" width="17.109375" style="79" bestFit="1" customWidth="1"/>
    <col min="525" max="525" width="10.109375" style="79" customWidth="1"/>
    <col min="526" max="526" width="6.88671875" style="79" customWidth="1"/>
    <col min="527" max="527" width="4" style="79" customWidth="1"/>
    <col min="528" max="528" width="2.5546875" style="79" customWidth="1"/>
    <col min="529" max="529" width="5.88671875" style="79"/>
    <col min="530" max="530" width="11.109375" style="79" bestFit="1" customWidth="1"/>
    <col min="531" max="534" width="5.88671875" style="79"/>
    <col min="535" max="535" width="23.88671875" style="79" bestFit="1" customWidth="1"/>
    <col min="536" max="770" width="5.88671875" style="79"/>
    <col min="771" max="771" width="14.109375" style="79" customWidth="1"/>
    <col min="772" max="772" width="22" style="79" customWidth="1"/>
    <col min="773" max="773" width="18.109375" style="79" customWidth="1"/>
    <col min="774" max="774" width="5.88671875" style="79"/>
    <col min="775" max="775" width="11.109375" style="79" customWidth="1"/>
    <col min="776" max="776" width="16" style="79" customWidth="1"/>
    <col min="777" max="777" width="7.109375" style="79" customWidth="1"/>
    <col min="778" max="778" width="9.109375" style="79" customWidth="1"/>
    <col min="779" max="779" width="16.109375" style="79" customWidth="1"/>
    <col min="780" max="780" width="17.109375" style="79" bestFit="1" customWidth="1"/>
    <col min="781" max="781" width="10.109375" style="79" customWidth="1"/>
    <col min="782" max="782" width="6.88671875" style="79" customWidth="1"/>
    <col min="783" max="783" width="4" style="79" customWidth="1"/>
    <col min="784" max="784" width="2.5546875" style="79" customWidth="1"/>
    <col min="785" max="785" width="5.88671875" style="79"/>
    <col min="786" max="786" width="11.109375" style="79" bestFit="1" customWidth="1"/>
    <col min="787" max="790" width="5.88671875" style="79"/>
    <col min="791" max="791" width="23.88671875" style="79" bestFit="1" customWidth="1"/>
    <col min="792" max="1026" width="5.88671875" style="79"/>
    <col min="1027" max="1027" width="14.109375" style="79" customWidth="1"/>
    <col min="1028" max="1028" width="22" style="79" customWidth="1"/>
    <col min="1029" max="1029" width="18.109375" style="79" customWidth="1"/>
    <col min="1030" max="1030" width="5.88671875" style="79"/>
    <col min="1031" max="1031" width="11.109375" style="79" customWidth="1"/>
    <col min="1032" max="1032" width="16" style="79" customWidth="1"/>
    <col min="1033" max="1033" width="7.109375" style="79" customWidth="1"/>
    <col min="1034" max="1034" width="9.109375" style="79" customWidth="1"/>
    <col min="1035" max="1035" width="16.109375" style="79" customWidth="1"/>
    <col min="1036" max="1036" width="17.109375" style="79" bestFit="1" customWidth="1"/>
    <col min="1037" max="1037" width="10.109375" style="79" customWidth="1"/>
    <col min="1038" max="1038" width="6.88671875" style="79" customWidth="1"/>
    <col min="1039" max="1039" width="4" style="79" customWidth="1"/>
    <col min="1040" max="1040" width="2.5546875" style="79" customWidth="1"/>
    <col min="1041" max="1041" width="5.88671875" style="79"/>
    <col min="1042" max="1042" width="11.109375" style="79" bestFit="1" customWidth="1"/>
    <col min="1043" max="1046" width="5.88671875" style="79"/>
    <col min="1047" max="1047" width="23.88671875" style="79" bestFit="1" customWidth="1"/>
    <col min="1048" max="1282" width="5.88671875" style="79"/>
    <col min="1283" max="1283" width="14.109375" style="79" customWidth="1"/>
    <col min="1284" max="1284" width="22" style="79" customWidth="1"/>
    <col min="1285" max="1285" width="18.109375" style="79" customWidth="1"/>
    <col min="1286" max="1286" width="5.88671875" style="79"/>
    <col min="1287" max="1287" width="11.109375" style="79" customWidth="1"/>
    <col min="1288" max="1288" width="16" style="79" customWidth="1"/>
    <col min="1289" max="1289" width="7.109375" style="79" customWidth="1"/>
    <col min="1290" max="1290" width="9.109375" style="79" customWidth="1"/>
    <col min="1291" max="1291" width="16.109375" style="79" customWidth="1"/>
    <col min="1292" max="1292" width="17.109375" style="79" bestFit="1" customWidth="1"/>
    <col min="1293" max="1293" width="10.109375" style="79" customWidth="1"/>
    <col min="1294" max="1294" width="6.88671875" style="79" customWidth="1"/>
    <col min="1295" max="1295" width="4" style="79" customWidth="1"/>
    <col min="1296" max="1296" width="2.5546875" style="79" customWidth="1"/>
    <col min="1297" max="1297" width="5.88671875" style="79"/>
    <col min="1298" max="1298" width="11.109375" style="79" bestFit="1" customWidth="1"/>
    <col min="1299" max="1302" width="5.88671875" style="79"/>
    <col min="1303" max="1303" width="23.88671875" style="79" bestFit="1" customWidth="1"/>
    <col min="1304" max="1538" width="5.88671875" style="79"/>
    <col min="1539" max="1539" width="14.109375" style="79" customWidth="1"/>
    <col min="1540" max="1540" width="22" style="79" customWidth="1"/>
    <col min="1541" max="1541" width="18.109375" style="79" customWidth="1"/>
    <col min="1542" max="1542" width="5.88671875" style="79"/>
    <col min="1543" max="1543" width="11.109375" style="79" customWidth="1"/>
    <col min="1544" max="1544" width="16" style="79" customWidth="1"/>
    <col min="1545" max="1545" width="7.109375" style="79" customWidth="1"/>
    <col min="1546" max="1546" width="9.109375" style="79" customWidth="1"/>
    <col min="1547" max="1547" width="16.109375" style="79" customWidth="1"/>
    <col min="1548" max="1548" width="17.109375" style="79" bestFit="1" customWidth="1"/>
    <col min="1549" max="1549" width="10.109375" style="79" customWidth="1"/>
    <col min="1550" max="1550" width="6.88671875" style="79" customWidth="1"/>
    <col min="1551" max="1551" width="4" style="79" customWidth="1"/>
    <col min="1552" max="1552" width="2.5546875" style="79" customWidth="1"/>
    <col min="1553" max="1553" width="5.88671875" style="79"/>
    <col min="1554" max="1554" width="11.109375" style="79" bestFit="1" customWidth="1"/>
    <col min="1555" max="1558" width="5.88671875" style="79"/>
    <col min="1559" max="1559" width="23.88671875" style="79" bestFit="1" customWidth="1"/>
    <col min="1560" max="1794" width="5.88671875" style="79"/>
    <col min="1795" max="1795" width="14.109375" style="79" customWidth="1"/>
    <col min="1796" max="1796" width="22" style="79" customWidth="1"/>
    <col min="1797" max="1797" width="18.109375" style="79" customWidth="1"/>
    <col min="1798" max="1798" width="5.88671875" style="79"/>
    <col min="1799" max="1799" width="11.109375" style="79" customWidth="1"/>
    <col min="1800" max="1800" width="16" style="79" customWidth="1"/>
    <col min="1801" max="1801" width="7.109375" style="79" customWidth="1"/>
    <col min="1802" max="1802" width="9.109375" style="79" customWidth="1"/>
    <col min="1803" max="1803" width="16.109375" style="79" customWidth="1"/>
    <col min="1804" max="1804" width="17.109375" style="79" bestFit="1" customWidth="1"/>
    <col min="1805" max="1805" width="10.109375" style="79" customWidth="1"/>
    <col min="1806" max="1806" width="6.88671875" style="79" customWidth="1"/>
    <col min="1807" max="1807" width="4" style="79" customWidth="1"/>
    <col min="1808" max="1808" width="2.5546875" style="79" customWidth="1"/>
    <col min="1809" max="1809" width="5.88671875" style="79"/>
    <col min="1810" max="1810" width="11.109375" style="79" bestFit="1" customWidth="1"/>
    <col min="1811" max="1814" width="5.88671875" style="79"/>
    <col min="1815" max="1815" width="23.88671875" style="79" bestFit="1" customWidth="1"/>
    <col min="1816" max="2050" width="5.88671875" style="79"/>
    <col min="2051" max="2051" width="14.109375" style="79" customWidth="1"/>
    <col min="2052" max="2052" width="22" style="79" customWidth="1"/>
    <col min="2053" max="2053" width="18.109375" style="79" customWidth="1"/>
    <col min="2054" max="2054" width="5.88671875" style="79"/>
    <col min="2055" max="2055" width="11.109375" style="79" customWidth="1"/>
    <col min="2056" max="2056" width="16" style="79" customWidth="1"/>
    <col min="2057" max="2057" width="7.109375" style="79" customWidth="1"/>
    <col min="2058" max="2058" width="9.109375" style="79" customWidth="1"/>
    <col min="2059" max="2059" width="16.109375" style="79" customWidth="1"/>
    <col min="2060" max="2060" width="17.109375" style="79" bestFit="1" customWidth="1"/>
    <col min="2061" max="2061" width="10.109375" style="79" customWidth="1"/>
    <col min="2062" max="2062" width="6.88671875" style="79" customWidth="1"/>
    <col min="2063" max="2063" width="4" style="79" customWidth="1"/>
    <col min="2064" max="2064" width="2.5546875" style="79" customWidth="1"/>
    <col min="2065" max="2065" width="5.88671875" style="79"/>
    <col min="2066" max="2066" width="11.109375" style="79" bestFit="1" customWidth="1"/>
    <col min="2067" max="2070" width="5.88671875" style="79"/>
    <col min="2071" max="2071" width="23.88671875" style="79" bestFit="1" customWidth="1"/>
    <col min="2072" max="2306" width="5.88671875" style="79"/>
    <col min="2307" max="2307" width="14.109375" style="79" customWidth="1"/>
    <col min="2308" max="2308" width="22" style="79" customWidth="1"/>
    <col min="2309" max="2309" width="18.109375" style="79" customWidth="1"/>
    <col min="2310" max="2310" width="5.88671875" style="79"/>
    <col min="2311" max="2311" width="11.109375" style="79" customWidth="1"/>
    <col min="2312" max="2312" width="16" style="79" customWidth="1"/>
    <col min="2313" max="2313" width="7.109375" style="79" customWidth="1"/>
    <col min="2314" max="2314" width="9.109375" style="79" customWidth="1"/>
    <col min="2315" max="2315" width="16.109375" style="79" customWidth="1"/>
    <col min="2316" max="2316" width="17.109375" style="79" bestFit="1" customWidth="1"/>
    <col min="2317" max="2317" width="10.109375" style="79" customWidth="1"/>
    <col min="2318" max="2318" width="6.88671875" style="79" customWidth="1"/>
    <col min="2319" max="2319" width="4" style="79" customWidth="1"/>
    <col min="2320" max="2320" width="2.5546875" style="79" customWidth="1"/>
    <col min="2321" max="2321" width="5.88671875" style="79"/>
    <col min="2322" max="2322" width="11.109375" style="79" bestFit="1" customWidth="1"/>
    <col min="2323" max="2326" width="5.88671875" style="79"/>
    <col min="2327" max="2327" width="23.88671875" style="79" bestFit="1" customWidth="1"/>
    <col min="2328" max="2562" width="5.88671875" style="79"/>
    <col min="2563" max="2563" width="14.109375" style="79" customWidth="1"/>
    <col min="2564" max="2564" width="22" style="79" customWidth="1"/>
    <col min="2565" max="2565" width="18.109375" style="79" customWidth="1"/>
    <col min="2566" max="2566" width="5.88671875" style="79"/>
    <col min="2567" max="2567" width="11.109375" style="79" customWidth="1"/>
    <col min="2568" max="2568" width="16" style="79" customWidth="1"/>
    <col min="2569" max="2569" width="7.109375" style="79" customWidth="1"/>
    <col min="2570" max="2570" width="9.109375" style="79" customWidth="1"/>
    <col min="2571" max="2571" width="16.109375" style="79" customWidth="1"/>
    <col min="2572" max="2572" width="17.109375" style="79" bestFit="1" customWidth="1"/>
    <col min="2573" max="2573" width="10.109375" style="79" customWidth="1"/>
    <col min="2574" max="2574" width="6.88671875" style="79" customWidth="1"/>
    <col min="2575" max="2575" width="4" style="79" customWidth="1"/>
    <col min="2576" max="2576" width="2.5546875" style="79" customWidth="1"/>
    <col min="2577" max="2577" width="5.88671875" style="79"/>
    <col min="2578" max="2578" width="11.109375" style="79" bestFit="1" customWidth="1"/>
    <col min="2579" max="2582" width="5.88671875" style="79"/>
    <col min="2583" max="2583" width="23.88671875" style="79" bestFit="1" customWidth="1"/>
    <col min="2584" max="2818" width="5.88671875" style="79"/>
    <col min="2819" max="2819" width="14.109375" style="79" customWidth="1"/>
    <col min="2820" max="2820" width="22" style="79" customWidth="1"/>
    <col min="2821" max="2821" width="18.109375" style="79" customWidth="1"/>
    <col min="2822" max="2822" width="5.88671875" style="79"/>
    <col min="2823" max="2823" width="11.109375" style="79" customWidth="1"/>
    <col min="2824" max="2824" width="16" style="79" customWidth="1"/>
    <col min="2825" max="2825" width="7.109375" style="79" customWidth="1"/>
    <col min="2826" max="2826" width="9.109375" style="79" customWidth="1"/>
    <col min="2827" max="2827" width="16.109375" style="79" customWidth="1"/>
    <col min="2828" max="2828" width="17.109375" style="79" bestFit="1" customWidth="1"/>
    <col min="2829" max="2829" width="10.109375" style="79" customWidth="1"/>
    <col min="2830" max="2830" width="6.88671875" style="79" customWidth="1"/>
    <col min="2831" max="2831" width="4" style="79" customWidth="1"/>
    <col min="2832" max="2832" width="2.5546875" style="79" customWidth="1"/>
    <col min="2833" max="2833" width="5.88671875" style="79"/>
    <col min="2834" max="2834" width="11.109375" style="79" bestFit="1" customWidth="1"/>
    <col min="2835" max="2838" width="5.88671875" style="79"/>
    <col min="2839" max="2839" width="23.88671875" style="79" bestFit="1" customWidth="1"/>
    <col min="2840" max="3074" width="5.88671875" style="79"/>
    <col min="3075" max="3075" width="14.109375" style="79" customWidth="1"/>
    <col min="3076" max="3076" width="22" style="79" customWidth="1"/>
    <col min="3077" max="3077" width="18.109375" style="79" customWidth="1"/>
    <col min="3078" max="3078" width="5.88671875" style="79"/>
    <col min="3079" max="3079" width="11.109375" style="79" customWidth="1"/>
    <col min="3080" max="3080" width="16" style="79" customWidth="1"/>
    <col min="3081" max="3081" width="7.109375" style="79" customWidth="1"/>
    <col min="3082" max="3082" width="9.109375" style="79" customWidth="1"/>
    <col min="3083" max="3083" width="16.109375" style="79" customWidth="1"/>
    <col min="3084" max="3084" width="17.109375" style="79" bestFit="1" customWidth="1"/>
    <col min="3085" max="3085" width="10.109375" style="79" customWidth="1"/>
    <col min="3086" max="3086" width="6.88671875" style="79" customWidth="1"/>
    <col min="3087" max="3087" width="4" style="79" customWidth="1"/>
    <col min="3088" max="3088" width="2.5546875" style="79" customWidth="1"/>
    <col min="3089" max="3089" width="5.88671875" style="79"/>
    <col min="3090" max="3090" width="11.109375" style="79" bestFit="1" customWidth="1"/>
    <col min="3091" max="3094" width="5.88671875" style="79"/>
    <col min="3095" max="3095" width="23.88671875" style="79" bestFit="1" customWidth="1"/>
    <col min="3096" max="3330" width="5.88671875" style="79"/>
    <col min="3331" max="3331" width="14.109375" style="79" customWidth="1"/>
    <col min="3332" max="3332" width="22" style="79" customWidth="1"/>
    <col min="3333" max="3333" width="18.109375" style="79" customWidth="1"/>
    <col min="3334" max="3334" width="5.88671875" style="79"/>
    <col min="3335" max="3335" width="11.109375" style="79" customWidth="1"/>
    <col min="3336" max="3336" width="16" style="79" customWidth="1"/>
    <col min="3337" max="3337" width="7.109375" style="79" customWidth="1"/>
    <col min="3338" max="3338" width="9.109375" style="79" customWidth="1"/>
    <col min="3339" max="3339" width="16.109375" style="79" customWidth="1"/>
    <col min="3340" max="3340" width="17.109375" style="79" bestFit="1" customWidth="1"/>
    <col min="3341" max="3341" width="10.109375" style="79" customWidth="1"/>
    <col min="3342" max="3342" width="6.88671875" style="79" customWidth="1"/>
    <col min="3343" max="3343" width="4" style="79" customWidth="1"/>
    <col min="3344" max="3344" width="2.5546875" style="79" customWidth="1"/>
    <col min="3345" max="3345" width="5.88671875" style="79"/>
    <col min="3346" max="3346" width="11.109375" style="79" bestFit="1" customWidth="1"/>
    <col min="3347" max="3350" width="5.88671875" style="79"/>
    <col min="3351" max="3351" width="23.88671875" style="79" bestFit="1" customWidth="1"/>
    <col min="3352" max="3586" width="5.88671875" style="79"/>
    <col min="3587" max="3587" width="14.109375" style="79" customWidth="1"/>
    <col min="3588" max="3588" width="22" style="79" customWidth="1"/>
    <col min="3589" max="3589" width="18.109375" style="79" customWidth="1"/>
    <col min="3590" max="3590" width="5.88671875" style="79"/>
    <col min="3591" max="3591" width="11.109375" style="79" customWidth="1"/>
    <col min="3592" max="3592" width="16" style="79" customWidth="1"/>
    <col min="3593" max="3593" width="7.109375" style="79" customWidth="1"/>
    <col min="3594" max="3594" width="9.109375" style="79" customWidth="1"/>
    <col min="3595" max="3595" width="16.109375" style="79" customWidth="1"/>
    <col min="3596" max="3596" width="17.109375" style="79" bestFit="1" customWidth="1"/>
    <col min="3597" max="3597" width="10.109375" style="79" customWidth="1"/>
    <col min="3598" max="3598" width="6.88671875" style="79" customWidth="1"/>
    <col min="3599" max="3599" width="4" style="79" customWidth="1"/>
    <col min="3600" max="3600" width="2.5546875" style="79" customWidth="1"/>
    <col min="3601" max="3601" width="5.88671875" style="79"/>
    <col min="3602" max="3602" width="11.109375" style="79" bestFit="1" customWidth="1"/>
    <col min="3603" max="3606" width="5.88671875" style="79"/>
    <col min="3607" max="3607" width="23.88671875" style="79" bestFit="1" customWidth="1"/>
    <col min="3608" max="3842" width="5.88671875" style="79"/>
    <col min="3843" max="3843" width="14.109375" style="79" customWidth="1"/>
    <col min="3844" max="3844" width="22" style="79" customWidth="1"/>
    <col min="3845" max="3845" width="18.109375" style="79" customWidth="1"/>
    <col min="3846" max="3846" width="5.88671875" style="79"/>
    <col min="3847" max="3847" width="11.109375" style="79" customWidth="1"/>
    <col min="3848" max="3848" width="16" style="79" customWidth="1"/>
    <col min="3849" max="3849" width="7.109375" style="79" customWidth="1"/>
    <col min="3850" max="3850" width="9.109375" style="79" customWidth="1"/>
    <col min="3851" max="3851" width="16.109375" style="79" customWidth="1"/>
    <col min="3852" max="3852" width="17.109375" style="79" bestFit="1" customWidth="1"/>
    <col min="3853" max="3853" width="10.109375" style="79" customWidth="1"/>
    <col min="3854" max="3854" width="6.88671875" style="79" customWidth="1"/>
    <col min="3855" max="3855" width="4" style="79" customWidth="1"/>
    <col min="3856" max="3856" width="2.5546875" style="79" customWidth="1"/>
    <col min="3857" max="3857" width="5.88671875" style="79"/>
    <col min="3858" max="3858" width="11.109375" style="79" bestFit="1" customWidth="1"/>
    <col min="3859" max="3862" width="5.88671875" style="79"/>
    <col min="3863" max="3863" width="23.88671875" style="79" bestFit="1" customWidth="1"/>
    <col min="3864" max="4098" width="5.88671875" style="79"/>
    <col min="4099" max="4099" width="14.109375" style="79" customWidth="1"/>
    <col min="4100" max="4100" width="22" style="79" customWidth="1"/>
    <col min="4101" max="4101" width="18.109375" style="79" customWidth="1"/>
    <col min="4102" max="4102" width="5.88671875" style="79"/>
    <col min="4103" max="4103" width="11.109375" style="79" customWidth="1"/>
    <col min="4104" max="4104" width="16" style="79" customWidth="1"/>
    <col min="4105" max="4105" width="7.109375" style="79" customWidth="1"/>
    <col min="4106" max="4106" width="9.109375" style="79" customWidth="1"/>
    <col min="4107" max="4107" width="16.109375" style="79" customWidth="1"/>
    <col min="4108" max="4108" width="17.109375" style="79" bestFit="1" customWidth="1"/>
    <col min="4109" max="4109" width="10.109375" style="79" customWidth="1"/>
    <col min="4110" max="4110" width="6.88671875" style="79" customWidth="1"/>
    <col min="4111" max="4111" width="4" style="79" customWidth="1"/>
    <col min="4112" max="4112" width="2.5546875" style="79" customWidth="1"/>
    <col min="4113" max="4113" width="5.88671875" style="79"/>
    <col min="4114" max="4114" width="11.109375" style="79" bestFit="1" customWidth="1"/>
    <col min="4115" max="4118" width="5.88671875" style="79"/>
    <col min="4119" max="4119" width="23.88671875" style="79" bestFit="1" customWidth="1"/>
    <col min="4120" max="4354" width="5.88671875" style="79"/>
    <col min="4355" max="4355" width="14.109375" style="79" customWidth="1"/>
    <col min="4356" max="4356" width="22" style="79" customWidth="1"/>
    <col min="4357" max="4357" width="18.109375" style="79" customWidth="1"/>
    <col min="4358" max="4358" width="5.88671875" style="79"/>
    <col min="4359" max="4359" width="11.109375" style="79" customWidth="1"/>
    <col min="4360" max="4360" width="16" style="79" customWidth="1"/>
    <col min="4361" max="4361" width="7.109375" style="79" customWidth="1"/>
    <col min="4362" max="4362" width="9.109375" style="79" customWidth="1"/>
    <col min="4363" max="4363" width="16.109375" style="79" customWidth="1"/>
    <col min="4364" max="4364" width="17.109375" style="79" bestFit="1" customWidth="1"/>
    <col min="4365" max="4365" width="10.109375" style="79" customWidth="1"/>
    <col min="4366" max="4366" width="6.88671875" style="79" customWidth="1"/>
    <col min="4367" max="4367" width="4" style="79" customWidth="1"/>
    <col min="4368" max="4368" width="2.5546875" style="79" customWidth="1"/>
    <col min="4369" max="4369" width="5.88671875" style="79"/>
    <col min="4370" max="4370" width="11.109375" style="79" bestFit="1" customWidth="1"/>
    <col min="4371" max="4374" width="5.88671875" style="79"/>
    <col min="4375" max="4375" width="23.88671875" style="79" bestFit="1" customWidth="1"/>
    <col min="4376" max="4610" width="5.88671875" style="79"/>
    <col min="4611" max="4611" width="14.109375" style="79" customWidth="1"/>
    <col min="4612" max="4612" width="22" style="79" customWidth="1"/>
    <col min="4613" max="4613" width="18.109375" style="79" customWidth="1"/>
    <col min="4614" max="4614" width="5.88671875" style="79"/>
    <col min="4615" max="4615" width="11.109375" style="79" customWidth="1"/>
    <col min="4616" max="4616" width="16" style="79" customWidth="1"/>
    <col min="4617" max="4617" width="7.109375" style="79" customWidth="1"/>
    <col min="4618" max="4618" width="9.109375" style="79" customWidth="1"/>
    <col min="4619" max="4619" width="16.109375" style="79" customWidth="1"/>
    <col min="4620" max="4620" width="17.109375" style="79" bestFit="1" customWidth="1"/>
    <col min="4621" max="4621" width="10.109375" style="79" customWidth="1"/>
    <col min="4622" max="4622" width="6.88671875" style="79" customWidth="1"/>
    <col min="4623" max="4623" width="4" style="79" customWidth="1"/>
    <col min="4624" max="4624" width="2.5546875" style="79" customWidth="1"/>
    <col min="4625" max="4625" width="5.88671875" style="79"/>
    <col min="4626" max="4626" width="11.109375" style="79" bestFit="1" customWidth="1"/>
    <col min="4627" max="4630" width="5.88671875" style="79"/>
    <col min="4631" max="4631" width="23.88671875" style="79" bestFit="1" customWidth="1"/>
    <col min="4632" max="4866" width="5.88671875" style="79"/>
    <col min="4867" max="4867" width="14.109375" style="79" customWidth="1"/>
    <col min="4868" max="4868" width="22" style="79" customWidth="1"/>
    <col min="4869" max="4869" width="18.109375" style="79" customWidth="1"/>
    <col min="4870" max="4870" width="5.88671875" style="79"/>
    <col min="4871" max="4871" width="11.109375" style="79" customWidth="1"/>
    <col min="4872" max="4872" width="16" style="79" customWidth="1"/>
    <col min="4873" max="4873" width="7.109375" style="79" customWidth="1"/>
    <col min="4874" max="4874" width="9.109375" style="79" customWidth="1"/>
    <col min="4875" max="4875" width="16.109375" style="79" customWidth="1"/>
    <col min="4876" max="4876" width="17.109375" style="79" bestFit="1" customWidth="1"/>
    <col min="4877" max="4877" width="10.109375" style="79" customWidth="1"/>
    <col min="4878" max="4878" width="6.88671875" style="79" customWidth="1"/>
    <col min="4879" max="4879" width="4" style="79" customWidth="1"/>
    <col min="4880" max="4880" width="2.5546875" style="79" customWidth="1"/>
    <col min="4881" max="4881" width="5.88671875" style="79"/>
    <col min="4882" max="4882" width="11.109375" style="79" bestFit="1" customWidth="1"/>
    <col min="4883" max="4886" width="5.88671875" style="79"/>
    <col min="4887" max="4887" width="23.88671875" style="79" bestFit="1" customWidth="1"/>
    <col min="4888" max="5122" width="5.88671875" style="79"/>
    <col min="5123" max="5123" width="14.109375" style="79" customWidth="1"/>
    <col min="5124" max="5124" width="22" style="79" customWidth="1"/>
    <col min="5125" max="5125" width="18.109375" style="79" customWidth="1"/>
    <col min="5126" max="5126" width="5.88671875" style="79"/>
    <col min="5127" max="5127" width="11.109375" style="79" customWidth="1"/>
    <col min="5128" max="5128" width="16" style="79" customWidth="1"/>
    <col min="5129" max="5129" width="7.109375" style="79" customWidth="1"/>
    <col min="5130" max="5130" width="9.109375" style="79" customWidth="1"/>
    <col min="5131" max="5131" width="16.109375" style="79" customWidth="1"/>
    <col min="5132" max="5132" width="17.109375" style="79" bestFit="1" customWidth="1"/>
    <col min="5133" max="5133" width="10.109375" style="79" customWidth="1"/>
    <col min="5134" max="5134" width="6.88671875" style="79" customWidth="1"/>
    <col min="5135" max="5135" width="4" style="79" customWidth="1"/>
    <col min="5136" max="5136" width="2.5546875" style="79" customWidth="1"/>
    <col min="5137" max="5137" width="5.88671875" style="79"/>
    <col min="5138" max="5138" width="11.109375" style="79" bestFit="1" customWidth="1"/>
    <col min="5139" max="5142" width="5.88671875" style="79"/>
    <col min="5143" max="5143" width="23.88671875" style="79" bestFit="1" customWidth="1"/>
    <col min="5144" max="5378" width="5.88671875" style="79"/>
    <col min="5379" max="5379" width="14.109375" style="79" customWidth="1"/>
    <col min="5380" max="5380" width="22" style="79" customWidth="1"/>
    <col min="5381" max="5381" width="18.109375" style="79" customWidth="1"/>
    <col min="5382" max="5382" width="5.88671875" style="79"/>
    <col min="5383" max="5383" width="11.109375" style="79" customWidth="1"/>
    <col min="5384" max="5384" width="16" style="79" customWidth="1"/>
    <col min="5385" max="5385" width="7.109375" style="79" customWidth="1"/>
    <col min="5386" max="5386" width="9.109375" style="79" customWidth="1"/>
    <col min="5387" max="5387" width="16.109375" style="79" customWidth="1"/>
    <col min="5388" max="5388" width="17.109375" style="79" bestFit="1" customWidth="1"/>
    <col min="5389" max="5389" width="10.109375" style="79" customWidth="1"/>
    <col min="5390" max="5390" width="6.88671875" style="79" customWidth="1"/>
    <col min="5391" max="5391" width="4" style="79" customWidth="1"/>
    <col min="5392" max="5392" width="2.5546875" style="79" customWidth="1"/>
    <col min="5393" max="5393" width="5.88671875" style="79"/>
    <col min="5394" max="5394" width="11.109375" style="79" bestFit="1" customWidth="1"/>
    <col min="5395" max="5398" width="5.88671875" style="79"/>
    <col min="5399" max="5399" width="23.88671875" style="79" bestFit="1" customWidth="1"/>
    <col min="5400" max="5634" width="5.88671875" style="79"/>
    <col min="5635" max="5635" width="14.109375" style="79" customWidth="1"/>
    <col min="5636" max="5636" width="22" style="79" customWidth="1"/>
    <col min="5637" max="5637" width="18.109375" style="79" customWidth="1"/>
    <col min="5638" max="5638" width="5.88671875" style="79"/>
    <col min="5639" max="5639" width="11.109375" style="79" customWidth="1"/>
    <col min="5640" max="5640" width="16" style="79" customWidth="1"/>
    <col min="5641" max="5641" width="7.109375" style="79" customWidth="1"/>
    <col min="5642" max="5642" width="9.109375" style="79" customWidth="1"/>
    <col min="5643" max="5643" width="16.109375" style="79" customWidth="1"/>
    <col min="5644" max="5644" width="17.109375" style="79" bestFit="1" customWidth="1"/>
    <col min="5645" max="5645" width="10.109375" style="79" customWidth="1"/>
    <col min="5646" max="5646" width="6.88671875" style="79" customWidth="1"/>
    <col min="5647" max="5647" width="4" style="79" customWidth="1"/>
    <col min="5648" max="5648" width="2.5546875" style="79" customWidth="1"/>
    <col min="5649" max="5649" width="5.88671875" style="79"/>
    <col min="5650" max="5650" width="11.109375" style="79" bestFit="1" customWidth="1"/>
    <col min="5651" max="5654" width="5.88671875" style="79"/>
    <col min="5655" max="5655" width="23.88671875" style="79" bestFit="1" customWidth="1"/>
    <col min="5656" max="5890" width="5.88671875" style="79"/>
    <col min="5891" max="5891" width="14.109375" style="79" customWidth="1"/>
    <col min="5892" max="5892" width="22" style="79" customWidth="1"/>
    <col min="5893" max="5893" width="18.109375" style="79" customWidth="1"/>
    <col min="5894" max="5894" width="5.88671875" style="79"/>
    <col min="5895" max="5895" width="11.109375" style="79" customWidth="1"/>
    <col min="5896" max="5896" width="16" style="79" customWidth="1"/>
    <col min="5897" max="5897" width="7.109375" style="79" customWidth="1"/>
    <col min="5898" max="5898" width="9.109375" style="79" customWidth="1"/>
    <col min="5899" max="5899" width="16.109375" style="79" customWidth="1"/>
    <col min="5900" max="5900" width="17.109375" style="79" bestFit="1" customWidth="1"/>
    <col min="5901" max="5901" width="10.109375" style="79" customWidth="1"/>
    <col min="5902" max="5902" width="6.88671875" style="79" customWidth="1"/>
    <col min="5903" max="5903" width="4" style="79" customWidth="1"/>
    <col min="5904" max="5904" width="2.5546875" style="79" customWidth="1"/>
    <col min="5905" max="5905" width="5.88671875" style="79"/>
    <col min="5906" max="5906" width="11.109375" style="79" bestFit="1" customWidth="1"/>
    <col min="5907" max="5910" width="5.88671875" style="79"/>
    <col min="5911" max="5911" width="23.88671875" style="79" bestFit="1" customWidth="1"/>
    <col min="5912" max="6146" width="5.88671875" style="79"/>
    <col min="6147" max="6147" width="14.109375" style="79" customWidth="1"/>
    <col min="6148" max="6148" width="22" style="79" customWidth="1"/>
    <col min="6149" max="6149" width="18.109375" style="79" customWidth="1"/>
    <col min="6150" max="6150" width="5.88671875" style="79"/>
    <col min="6151" max="6151" width="11.109375" style="79" customWidth="1"/>
    <col min="6152" max="6152" width="16" style="79" customWidth="1"/>
    <col min="6153" max="6153" width="7.109375" style="79" customWidth="1"/>
    <col min="6154" max="6154" width="9.109375" style="79" customWidth="1"/>
    <col min="6155" max="6155" width="16.109375" style="79" customWidth="1"/>
    <col min="6156" max="6156" width="17.109375" style="79" bestFit="1" customWidth="1"/>
    <col min="6157" max="6157" width="10.109375" style="79" customWidth="1"/>
    <col min="6158" max="6158" width="6.88671875" style="79" customWidth="1"/>
    <col min="6159" max="6159" width="4" style="79" customWidth="1"/>
    <col min="6160" max="6160" width="2.5546875" style="79" customWidth="1"/>
    <col min="6161" max="6161" width="5.88671875" style="79"/>
    <col min="6162" max="6162" width="11.109375" style="79" bestFit="1" customWidth="1"/>
    <col min="6163" max="6166" width="5.88671875" style="79"/>
    <col min="6167" max="6167" width="23.88671875" style="79" bestFit="1" customWidth="1"/>
    <col min="6168" max="6402" width="5.88671875" style="79"/>
    <col min="6403" max="6403" width="14.109375" style="79" customWidth="1"/>
    <col min="6404" max="6404" width="22" style="79" customWidth="1"/>
    <col min="6405" max="6405" width="18.109375" style="79" customWidth="1"/>
    <col min="6406" max="6406" width="5.88671875" style="79"/>
    <col min="6407" max="6407" width="11.109375" style="79" customWidth="1"/>
    <col min="6408" max="6408" width="16" style="79" customWidth="1"/>
    <col min="6409" max="6409" width="7.109375" style="79" customWidth="1"/>
    <col min="6410" max="6410" width="9.109375" style="79" customWidth="1"/>
    <col min="6411" max="6411" width="16.109375" style="79" customWidth="1"/>
    <col min="6412" max="6412" width="17.109375" style="79" bestFit="1" customWidth="1"/>
    <col min="6413" max="6413" width="10.109375" style="79" customWidth="1"/>
    <col min="6414" max="6414" width="6.88671875" style="79" customWidth="1"/>
    <col min="6415" max="6415" width="4" style="79" customWidth="1"/>
    <col min="6416" max="6416" width="2.5546875" style="79" customWidth="1"/>
    <col min="6417" max="6417" width="5.88671875" style="79"/>
    <col min="6418" max="6418" width="11.109375" style="79" bestFit="1" customWidth="1"/>
    <col min="6419" max="6422" width="5.88671875" style="79"/>
    <col min="6423" max="6423" width="23.88671875" style="79" bestFit="1" customWidth="1"/>
    <col min="6424" max="6658" width="5.88671875" style="79"/>
    <col min="6659" max="6659" width="14.109375" style="79" customWidth="1"/>
    <col min="6660" max="6660" width="22" style="79" customWidth="1"/>
    <col min="6661" max="6661" width="18.109375" style="79" customWidth="1"/>
    <col min="6662" max="6662" width="5.88671875" style="79"/>
    <col min="6663" max="6663" width="11.109375" style="79" customWidth="1"/>
    <col min="6664" max="6664" width="16" style="79" customWidth="1"/>
    <col min="6665" max="6665" width="7.109375" style="79" customWidth="1"/>
    <col min="6666" max="6666" width="9.109375" style="79" customWidth="1"/>
    <col min="6667" max="6667" width="16.109375" style="79" customWidth="1"/>
    <col min="6668" max="6668" width="17.109375" style="79" bestFit="1" customWidth="1"/>
    <col min="6669" max="6669" width="10.109375" style="79" customWidth="1"/>
    <col min="6670" max="6670" width="6.88671875" style="79" customWidth="1"/>
    <col min="6671" max="6671" width="4" style="79" customWidth="1"/>
    <col min="6672" max="6672" width="2.5546875" style="79" customWidth="1"/>
    <col min="6673" max="6673" width="5.88671875" style="79"/>
    <col min="6674" max="6674" width="11.109375" style="79" bestFit="1" customWidth="1"/>
    <col min="6675" max="6678" width="5.88671875" style="79"/>
    <col min="6679" max="6679" width="23.88671875" style="79" bestFit="1" customWidth="1"/>
    <col min="6680" max="6914" width="5.88671875" style="79"/>
    <col min="6915" max="6915" width="14.109375" style="79" customWidth="1"/>
    <col min="6916" max="6916" width="22" style="79" customWidth="1"/>
    <col min="6917" max="6917" width="18.109375" style="79" customWidth="1"/>
    <col min="6918" max="6918" width="5.88671875" style="79"/>
    <col min="6919" max="6919" width="11.109375" style="79" customWidth="1"/>
    <col min="6920" max="6920" width="16" style="79" customWidth="1"/>
    <col min="6921" max="6921" width="7.109375" style="79" customWidth="1"/>
    <col min="6922" max="6922" width="9.109375" style="79" customWidth="1"/>
    <col min="6923" max="6923" width="16.109375" style="79" customWidth="1"/>
    <col min="6924" max="6924" width="17.109375" style="79" bestFit="1" customWidth="1"/>
    <col min="6925" max="6925" width="10.109375" style="79" customWidth="1"/>
    <col min="6926" max="6926" width="6.88671875" style="79" customWidth="1"/>
    <col min="6927" max="6927" width="4" style="79" customWidth="1"/>
    <col min="6928" max="6928" width="2.5546875" style="79" customWidth="1"/>
    <col min="6929" max="6929" width="5.88671875" style="79"/>
    <col min="6930" max="6930" width="11.109375" style="79" bestFit="1" customWidth="1"/>
    <col min="6931" max="6934" width="5.88671875" style="79"/>
    <col min="6935" max="6935" width="23.88671875" style="79" bestFit="1" customWidth="1"/>
    <col min="6936" max="7170" width="5.88671875" style="79"/>
    <col min="7171" max="7171" width="14.109375" style="79" customWidth="1"/>
    <col min="7172" max="7172" width="22" style="79" customWidth="1"/>
    <col min="7173" max="7173" width="18.109375" style="79" customWidth="1"/>
    <col min="7174" max="7174" width="5.88671875" style="79"/>
    <col min="7175" max="7175" width="11.109375" style="79" customWidth="1"/>
    <col min="7176" max="7176" width="16" style="79" customWidth="1"/>
    <col min="7177" max="7177" width="7.109375" style="79" customWidth="1"/>
    <col min="7178" max="7178" width="9.109375" style="79" customWidth="1"/>
    <col min="7179" max="7179" width="16.109375" style="79" customWidth="1"/>
    <col min="7180" max="7180" width="17.109375" style="79" bestFit="1" customWidth="1"/>
    <col min="7181" max="7181" width="10.109375" style="79" customWidth="1"/>
    <col min="7182" max="7182" width="6.88671875" style="79" customWidth="1"/>
    <col min="7183" max="7183" width="4" style="79" customWidth="1"/>
    <col min="7184" max="7184" width="2.5546875" style="79" customWidth="1"/>
    <col min="7185" max="7185" width="5.88671875" style="79"/>
    <col min="7186" max="7186" width="11.109375" style="79" bestFit="1" customWidth="1"/>
    <col min="7187" max="7190" width="5.88671875" style="79"/>
    <col min="7191" max="7191" width="23.88671875" style="79" bestFit="1" customWidth="1"/>
    <col min="7192" max="7426" width="5.88671875" style="79"/>
    <col min="7427" max="7427" width="14.109375" style="79" customWidth="1"/>
    <col min="7428" max="7428" width="22" style="79" customWidth="1"/>
    <col min="7429" max="7429" width="18.109375" style="79" customWidth="1"/>
    <col min="7430" max="7430" width="5.88671875" style="79"/>
    <col min="7431" max="7431" width="11.109375" style="79" customWidth="1"/>
    <col min="7432" max="7432" width="16" style="79" customWidth="1"/>
    <col min="7433" max="7433" width="7.109375" style="79" customWidth="1"/>
    <col min="7434" max="7434" width="9.109375" style="79" customWidth="1"/>
    <col min="7435" max="7435" width="16.109375" style="79" customWidth="1"/>
    <col min="7436" max="7436" width="17.109375" style="79" bestFit="1" customWidth="1"/>
    <col min="7437" max="7437" width="10.109375" style="79" customWidth="1"/>
    <col min="7438" max="7438" width="6.88671875" style="79" customWidth="1"/>
    <col min="7439" max="7439" width="4" style="79" customWidth="1"/>
    <col min="7440" max="7440" width="2.5546875" style="79" customWidth="1"/>
    <col min="7441" max="7441" width="5.88671875" style="79"/>
    <col min="7442" max="7442" width="11.109375" style="79" bestFit="1" customWidth="1"/>
    <col min="7443" max="7446" width="5.88671875" style="79"/>
    <col min="7447" max="7447" width="23.88671875" style="79" bestFit="1" customWidth="1"/>
    <col min="7448" max="7682" width="5.88671875" style="79"/>
    <col min="7683" max="7683" width="14.109375" style="79" customWidth="1"/>
    <col min="7684" max="7684" width="22" style="79" customWidth="1"/>
    <col min="7685" max="7685" width="18.109375" style="79" customWidth="1"/>
    <col min="7686" max="7686" width="5.88671875" style="79"/>
    <col min="7687" max="7687" width="11.109375" style="79" customWidth="1"/>
    <col min="7688" max="7688" width="16" style="79" customWidth="1"/>
    <col min="7689" max="7689" width="7.109375" style="79" customWidth="1"/>
    <col min="7690" max="7690" width="9.109375" style="79" customWidth="1"/>
    <col min="7691" max="7691" width="16.109375" style="79" customWidth="1"/>
    <col min="7692" max="7692" width="17.109375" style="79" bestFit="1" customWidth="1"/>
    <col min="7693" max="7693" width="10.109375" style="79" customWidth="1"/>
    <col min="7694" max="7694" width="6.88671875" style="79" customWidth="1"/>
    <col min="7695" max="7695" width="4" style="79" customWidth="1"/>
    <col min="7696" max="7696" width="2.5546875" style="79" customWidth="1"/>
    <col min="7697" max="7697" width="5.88671875" style="79"/>
    <col min="7698" max="7698" width="11.109375" style="79" bestFit="1" customWidth="1"/>
    <col min="7699" max="7702" width="5.88671875" style="79"/>
    <col min="7703" max="7703" width="23.88671875" style="79" bestFit="1" customWidth="1"/>
    <col min="7704" max="7938" width="5.88671875" style="79"/>
    <col min="7939" max="7939" width="14.109375" style="79" customWidth="1"/>
    <col min="7940" max="7940" width="22" style="79" customWidth="1"/>
    <col min="7941" max="7941" width="18.109375" style="79" customWidth="1"/>
    <col min="7942" max="7942" width="5.88671875" style="79"/>
    <col min="7943" max="7943" width="11.109375" style="79" customWidth="1"/>
    <col min="7944" max="7944" width="16" style="79" customWidth="1"/>
    <col min="7945" max="7945" width="7.109375" style="79" customWidth="1"/>
    <col min="7946" max="7946" width="9.109375" style="79" customWidth="1"/>
    <col min="7947" max="7947" width="16.109375" style="79" customWidth="1"/>
    <col min="7948" max="7948" width="17.109375" style="79" bestFit="1" customWidth="1"/>
    <col min="7949" max="7949" width="10.109375" style="79" customWidth="1"/>
    <col min="7950" max="7950" width="6.88671875" style="79" customWidth="1"/>
    <col min="7951" max="7951" width="4" style="79" customWidth="1"/>
    <col min="7952" max="7952" width="2.5546875" style="79" customWidth="1"/>
    <col min="7953" max="7953" width="5.88671875" style="79"/>
    <col min="7954" max="7954" width="11.109375" style="79" bestFit="1" customWidth="1"/>
    <col min="7955" max="7958" width="5.88671875" style="79"/>
    <col min="7959" max="7959" width="23.88671875" style="79" bestFit="1" customWidth="1"/>
    <col min="7960" max="8194" width="5.88671875" style="79"/>
    <col min="8195" max="8195" width="14.109375" style="79" customWidth="1"/>
    <col min="8196" max="8196" width="22" style="79" customWidth="1"/>
    <col min="8197" max="8197" width="18.109375" style="79" customWidth="1"/>
    <col min="8198" max="8198" width="5.88671875" style="79"/>
    <col min="8199" max="8199" width="11.109375" style="79" customWidth="1"/>
    <col min="8200" max="8200" width="16" style="79" customWidth="1"/>
    <col min="8201" max="8201" width="7.109375" style="79" customWidth="1"/>
    <col min="8202" max="8202" width="9.109375" style="79" customWidth="1"/>
    <col min="8203" max="8203" width="16.109375" style="79" customWidth="1"/>
    <col min="8204" max="8204" width="17.109375" style="79" bestFit="1" customWidth="1"/>
    <col min="8205" max="8205" width="10.109375" style="79" customWidth="1"/>
    <col min="8206" max="8206" width="6.88671875" style="79" customWidth="1"/>
    <col min="8207" max="8207" width="4" style="79" customWidth="1"/>
    <col min="8208" max="8208" width="2.5546875" style="79" customWidth="1"/>
    <col min="8209" max="8209" width="5.88671875" style="79"/>
    <col min="8210" max="8210" width="11.109375" style="79" bestFit="1" customWidth="1"/>
    <col min="8211" max="8214" width="5.88671875" style="79"/>
    <col min="8215" max="8215" width="23.88671875" style="79" bestFit="1" customWidth="1"/>
    <col min="8216" max="8450" width="5.88671875" style="79"/>
    <col min="8451" max="8451" width="14.109375" style="79" customWidth="1"/>
    <col min="8452" max="8452" width="22" style="79" customWidth="1"/>
    <col min="8453" max="8453" width="18.109375" style="79" customWidth="1"/>
    <col min="8454" max="8454" width="5.88671875" style="79"/>
    <col min="8455" max="8455" width="11.109375" style="79" customWidth="1"/>
    <col min="8456" max="8456" width="16" style="79" customWidth="1"/>
    <col min="8457" max="8457" width="7.109375" style="79" customWidth="1"/>
    <col min="8458" max="8458" width="9.109375" style="79" customWidth="1"/>
    <col min="8459" max="8459" width="16.109375" style="79" customWidth="1"/>
    <col min="8460" max="8460" width="17.109375" style="79" bestFit="1" customWidth="1"/>
    <col min="8461" max="8461" width="10.109375" style="79" customWidth="1"/>
    <col min="8462" max="8462" width="6.88671875" style="79" customWidth="1"/>
    <col min="8463" max="8463" width="4" style="79" customWidth="1"/>
    <col min="8464" max="8464" width="2.5546875" style="79" customWidth="1"/>
    <col min="8465" max="8465" width="5.88671875" style="79"/>
    <col min="8466" max="8466" width="11.109375" style="79" bestFit="1" customWidth="1"/>
    <col min="8467" max="8470" width="5.88671875" style="79"/>
    <col min="8471" max="8471" width="23.88671875" style="79" bestFit="1" customWidth="1"/>
    <col min="8472" max="8706" width="5.88671875" style="79"/>
    <col min="8707" max="8707" width="14.109375" style="79" customWidth="1"/>
    <col min="8708" max="8708" width="22" style="79" customWidth="1"/>
    <col min="8709" max="8709" width="18.109375" style="79" customWidth="1"/>
    <col min="8710" max="8710" width="5.88671875" style="79"/>
    <col min="8711" max="8711" width="11.109375" style="79" customWidth="1"/>
    <col min="8712" max="8712" width="16" style="79" customWidth="1"/>
    <col min="8713" max="8713" width="7.109375" style="79" customWidth="1"/>
    <col min="8714" max="8714" width="9.109375" style="79" customWidth="1"/>
    <col min="8715" max="8715" width="16.109375" style="79" customWidth="1"/>
    <col min="8716" max="8716" width="17.109375" style="79" bestFit="1" customWidth="1"/>
    <col min="8717" max="8717" width="10.109375" style="79" customWidth="1"/>
    <col min="8718" max="8718" width="6.88671875" style="79" customWidth="1"/>
    <col min="8719" max="8719" width="4" style="79" customWidth="1"/>
    <col min="8720" max="8720" width="2.5546875" style="79" customWidth="1"/>
    <col min="8721" max="8721" width="5.88671875" style="79"/>
    <col min="8722" max="8722" width="11.109375" style="79" bestFit="1" customWidth="1"/>
    <col min="8723" max="8726" width="5.88671875" style="79"/>
    <col min="8727" max="8727" width="23.88671875" style="79" bestFit="1" customWidth="1"/>
    <col min="8728" max="8962" width="5.88671875" style="79"/>
    <col min="8963" max="8963" width="14.109375" style="79" customWidth="1"/>
    <col min="8964" max="8964" width="22" style="79" customWidth="1"/>
    <col min="8965" max="8965" width="18.109375" style="79" customWidth="1"/>
    <col min="8966" max="8966" width="5.88671875" style="79"/>
    <col min="8967" max="8967" width="11.109375" style="79" customWidth="1"/>
    <col min="8968" max="8968" width="16" style="79" customWidth="1"/>
    <col min="8969" max="8969" width="7.109375" style="79" customWidth="1"/>
    <col min="8970" max="8970" width="9.109375" style="79" customWidth="1"/>
    <col min="8971" max="8971" width="16.109375" style="79" customWidth="1"/>
    <col min="8972" max="8972" width="17.109375" style="79" bestFit="1" customWidth="1"/>
    <col min="8973" max="8973" width="10.109375" style="79" customWidth="1"/>
    <col min="8974" max="8974" width="6.88671875" style="79" customWidth="1"/>
    <col min="8975" max="8975" width="4" style="79" customWidth="1"/>
    <col min="8976" max="8976" width="2.5546875" style="79" customWidth="1"/>
    <col min="8977" max="8977" width="5.88671875" style="79"/>
    <col min="8978" max="8978" width="11.109375" style="79" bestFit="1" customWidth="1"/>
    <col min="8979" max="8982" width="5.88671875" style="79"/>
    <col min="8983" max="8983" width="23.88671875" style="79" bestFit="1" customWidth="1"/>
    <col min="8984" max="9218" width="5.88671875" style="79"/>
    <col min="9219" max="9219" width="14.109375" style="79" customWidth="1"/>
    <col min="9220" max="9220" width="22" style="79" customWidth="1"/>
    <col min="9221" max="9221" width="18.109375" style="79" customWidth="1"/>
    <col min="9222" max="9222" width="5.88671875" style="79"/>
    <col min="9223" max="9223" width="11.109375" style="79" customWidth="1"/>
    <col min="9224" max="9224" width="16" style="79" customWidth="1"/>
    <col min="9225" max="9225" width="7.109375" style="79" customWidth="1"/>
    <col min="9226" max="9226" width="9.109375" style="79" customWidth="1"/>
    <col min="9227" max="9227" width="16.109375" style="79" customWidth="1"/>
    <col min="9228" max="9228" width="17.109375" style="79" bestFit="1" customWidth="1"/>
    <col min="9229" max="9229" width="10.109375" style="79" customWidth="1"/>
    <col min="9230" max="9230" width="6.88671875" style="79" customWidth="1"/>
    <col min="9231" max="9231" width="4" style="79" customWidth="1"/>
    <col min="9232" max="9232" width="2.5546875" style="79" customWidth="1"/>
    <col min="9233" max="9233" width="5.88671875" style="79"/>
    <col min="9234" max="9234" width="11.109375" style="79" bestFit="1" customWidth="1"/>
    <col min="9235" max="9238" width="5.88671875" style="79"/>
    <col min="9239" max="9239" width="23.88671875" style="79" bestFit="1" customWidth="1"/>
    <col min="9240" max="9474" width="5.88671875" style="79"/>
    <col min="9475" max="9475" width="14.109375" style="79" customWidth="1"/>
    <col min="9476" max="9476" width="22" style="79" customWidth="1"/>
    <col min="9477" max="9477" width="18.109375" style="79" customWidth="1"/>
    <col min="9478" max="9478" width="5.88671875" style="79"/>
    <col min="9479" max="9479" width="11.109375" style="79" customWidth="1"/>
    <col min="9480" max="9480" width="16" style="79" customWidth="1"/>
    <col min="9481" max="9481" width="7.109375" style="79" customWidth="1"/>
    <col min="9482" max="9482" width="9.109375" style="79" customWidth="1"/>
    <col min="9483" max="9483" width="16.109375" style="79" customWidth="1"/>
    <col min="9484" max="9484" width="17.109375" style="79" bestFit="1" customWidth="1"/>
    <col min="9485" max="9485" width="10.109375" style="79" customWidth="1"/>
    <col min="9486" max="9486" width="6.88671875" style="79" customWidth="1"/>
    <col min="9487" max="9487" width="4" style="79" customWidth="1"/>
    <col min="9488" max="9488" width="2.5546875" style="79" customWidth="1"/>
    <col min="9489" max="9489" width="5.88671875" style="79"/>
    <col min="9490" max="9490" width="11.109375" style="79" bestFit="1" customWidth="1"/>
    <col min="9491" max="9494" width="5.88671875" style="79"/>
    <col min="9495" max="9495" width="23.88671875" style="79" bestFit="1" customWidth="1"/>
    <col min="9496" max="9730" width="5.88671875" style="79"/>
    <col min="9731" max="9731" width="14.109375" style="79" customWidth="1"/>
    <col min="9732" max="9732" width="22" style="79" customWidth="1"/>
    <col min="9733" max="9733" width="18.109375" style="79" customWidth="1"/>
    <col min="9734" max="9734" width="5.88671875" style="79"/>
    <col min="9735" max="9735" width="11.109375" style="79" customWidth="1"/>
    <col min="9736" max="9736" width="16" style="79" customWidth="1"/>
    <col min="9737" max="9737" width="7.109375" style="79" customWidth="1"/>
    <col min="9738" max="9738" width="9.109375" style="79" customWidth="1"/>
    <col min="9739" max="9739" width="16.109375" style="79" customWidth="1"/>
    <col min="9740" max="9740" width="17.109375" style="79" bestFit="1" customWidth="1"/>
    <col min="9741" max="9741" width="10.109375" style="79" customWidth="1"/>
    <col min="9742" max="9742" width="6.88671875" style="79" customWidth="1"/>
    <col min="9743" max="9743" width="4" style="79" customWidth="1"/>
    <col min="9744" max="9744" width="2.5546875" style="79" customWidth="1"/>
    <col min="9745" max="9745" width="5.88671875" style="79"/>
    <col min="9746" max="9746" width="11.109375" style="79" bestFit="1" customWidth="1"/>
    <col min="9747" max="9750" width="5.88671875" style="79"/>
    <col min="9751" max="9751" width="23.88671875" style="79" bestFit="1" customWidth="1"/>
    <col min="9752" max="9986" width="5.88671875" style="79"/>
    <col min="9987" max="9987" width="14.109375" style="79" customWidth="1"/>
    <col min="9988" max="9988" width="22" style="79" customWidth="1"/>
    <col min="9989" max="9989" width="18.109375" style="79" customWidth="1"/>
    <col min="9990" max="9990" width="5.88671875" style="79"/>
    <col min="9991" max="9991" width="11.109375" style="79" customWidth="1"/>
    <col min="9992" max="9992" width="16" style="79" customWidth="1"/>
    <col min="9993" max="9993" width="7.109375" style="79" customWidth="1"/>
    <col min="9994" max="9994" width="9.109375" style="79" customWidth="1"/>
    <col min="9995" max="9995" width="16.109375" style="79" customWidth="1"/>
    <col min="9996" max="9996" width="17.109375" style="79" bestFit="1" customWidth="1"/>
    <col min="9997" max="9997" width="10.109375" style="79" customWidth="1"/>
    <col min="9998" max="9998" width="6.88671875" style="79" customWidth="1"/>
    <col min="9999" max="9999" width="4" style="79" customWidth="1"/>
    <col min="10000" max="10000" width="2.5546875" style="79" customWidth="1"/>
    <col min="10001" max="10001" width="5.88671875" style="79"/>
    <col min="10002" max="10002" width="11.109375" style="79" bestFit="1" customWidth="1"/>
    <col min="10003" max="10006" width="5.88671875" style="79"/>
    <col min="10007" max="10007" width="23.88671875" style="79" bestFit="1" customWidth="1"/>
    <col min="10008" max="10242" width="5.88671875" style="79"/>
    <col min="10243" max="10243" width="14.109375" style="79" customWidth="1"/>
    <col min="10244" max="10244" width="22" style="79" customWidth="1"/>
    <col min="10245" max="10245" width="18.109375" style="79" customWidth="1"/>
    <col min="10246" max="10246" width="5.88671875" style="79"/>
    <col min="10247" max="10247" width="11.109375" style="79" customWidth="1"/>
    <col min="10248" max="10248" width="16" style="79" customWidth="1"/>
    <col min="10249" max="10249" width="7.109375" style="79" customWidth="1"/>
    <col min="10250" max="10250" width="9.109375" style="79" customWidth="1"/>
    <col min="10251" max="10251" width="16.109375" style="79" customWidth="1"/>
    <col min="10252" max="10252" width="17.109375" style="79" bestFit="1" customWidth="1"/>
    <col min="10253" max="10253" width="10.109375" style="79" customWidth="1"/>
    <col min="10254" max="10254" width="6.88671875" style="79" customWidth="1"/>
    <col min="10255" max="10255" width="4" style="79" customWidth="1"/>
    <col min="10256" max="10256" width="2.5546875" style="79" customWidth="1"/>
    <col min="10257" max="10257" width="5.88671875" style="79"/>
    <col min="10258" max="10258" width="11.109375" style="79" bestFit="1" customWidth="1"/>
    <col min="10259" max="10262" width="5.88671875" style="79"/>
    <col min="10263" max="10263" width="23.88671875" style="79" bestFit="1" customWidth="1"/>
    <col min="10264" max="10498" width="5.88671875" style="79"/>
    <col min="10499" max="10499" width="14.109375" style="79" customWidth="1"/>
    <col min="10500" max="10500" width="22" style="79" customWidth="1"/>
    <col min="10501" max="10501" width="18.109375" style="79" customWidth="1"/>
    <col min="10502" max="10502" width="5.88671875" style="79"/>
    <col min="10503" max="10503" width="11.109375" style="79" customWidth="1"/>
    <col min="10504" max="10504" width="16" style="79" customWidth="1"/>
    <col min="10505" max="10505" width="7.109375" style="79" customWidth="1"/>
    <col min="10506" max="10506" width="9.109375" style="79" customWidth="1"/>
    <col min="10507" max="10507" width="16.109375" style="79" customWidth="1"/>
    <col min="10508" max="10508" width="17.109375" style="79" bestFit="1" customWidth="1"/>
    <col min="10509" max="10509" width="10.109375" style="79" customWidth="1"/>
    <col min="10510" max="10510" width="6.88671875" style="79" customWidth="1"/>
    <col min="10511" max="10511" width="4" style="79" customWidth="1"/>
    <col min="10512" max="10512" width="2.5546875" style="79" customWidth="1"/>
    <col min="10513" max="10513" width="5.88671875" style="79"/>
    <col min="10514" max="10514" width="11.109375" style="79" bestFit="1" customWidth="1"/>
    <col min="10515" max="10518" width="5.88671875" style="79"/>
    <col min="10519" max="10519" width="23.88671875" style="79" bestFit="1" customWidth="1"/>
    <col min="10520" max="10754" width="5.88671875" style="79"/>
    <col min="10755" max="10755" width="14.109375" style="79" customWidth="1"/>
    <col min="10756" max="10756" width="22" style="79" customWidth="1"/>
    <col min="10757" max="10757" width="18.109375" style="79" customWidth="1"/>
    <col min="10758" max="10758" width="5.88671875" style="79"/>
    <col min="10759" max="10759" width="11.109375" style="79" customWidth="1"/>
    <col min="10760" max="10760" width="16" style="79" customWidth="1"/>
    <col min="10761" max="10761" width="7.109375" style="79" customWidth="1"/>
    <col min="10762" max="10762" width="9.109375" style="79" customWidth="1"/>
    <col min="10763" max="10763" width="16.109375" style="79" customWidth="1"/>
    <col min="10764" max="10764" width="17.109375" style="79" bestFit="1" customWidth="1"/>
    <col min="10765" max="10765" width="10.109375" style="79" customWidth="1"/>
    <col min="10766" max="10766" width="6.88671875" style="79" customWidth="1"/>
    <col min="10767" max="10767" width="4" style="79" customWidth="1"/>
    <col min="10768" max="10768" width="2.5546875" style="79" customWidth="1"/>
    <col min="10769" max="10769" width="5.88671875" style="79"/>
    <col min="10770" max="10770" width="11.109375" style="79" bestFit="1" customWidth="1"/>
    <col min="10771" max="10774" width="5.88671875" style="79"/>
    <col min="10775" max="10775" width="23.88671875" style="79" bestFit="1" customWidth="1"/>
    <col min="10776" max="11010" width="5.88671875" style="79"/>
    <col min="11011" max="11011" width="14.109375" style="79" customWidth="1"/>
    <col min="11012" max="11012" width="22" style="79" customWidth="1"/>
    <col min="11013" max="11013" width="18.109375" style="79" customWidth="1"/>
    <col min="11014" max="11014" width="5.88671875" style="79"/>
    <col min="11015" max="11015" width="11.109375" style="79" customWidth="1"/>
    <col min="11016" max="11016" width="16" style="79" customWidth="1"/>
    <col min="11017" max="11017" width="7.109375" style="79" customWidth="1"/>
    <col min="11018" max="11018" width="9.109375" style="79" customWidth="1"/>
    <col min="11019" max="11019" width="16.109375" style="79" customWidth="1"/>
    <col min="11020" max="11020" width="17.109375" style="79" bestFit="1" customWidth="1"/>
    <col min="11021" max="11021" width="10.109375" style="79" customWidth="1"/>
    <col min="11022" max="11022" width="6.88671875" style="79" customWidth="1"/>
    <col min="11023" max="11023" width="4" style="79" customWidth="1"/>
    <col min="11024" max="11024" width="2.5546875" style="79" customWidth="1"/>
    <col min="11025" max="11025" width="5.88671875" style="79"/>
    <col min="11026" max="11026" width="11.109375" style="79" bestFit="1" customWidth="1"/>
    <col min="11027" max="11030" width="5.88671875" style="79"/>
    <col min="11031" max="11031" width="23.88671875" style="79" bestFit="1" customWidth="1"/>
    <col min="11032" max="11266" width="5.88671875" style="79"/>
    <col min="11267" max="11267" width="14.109375" style="79" customWidth="1"/>
    <col min="11268" max="11268" width="22" style="79" customWidth="1"/>
    <col min="11269" max="11269" width="18.109375" style="79" customWidth="1"/>
    <col min="11270" max="11270" width="5.88671875" style="79"/>
    <col min="11271" max="11271" width="11.109375" style="79" customWidth="1"/>
    <col min="11272" max="11272" width="16" style="79" customWidth="1"/>
    <col min="11273" max="11273" width="7.109375" style="79" customWidth="1"/>
    <col min="11274" max="11274" width="9.109375" style="79" customWidth="1"/>
    <col min="11275" max="11275" width="16.109375" style="79" customWidth="1"/>
    <col min="11276" max="11276" width="17.109375" style="79" bestFit="1" customWidth="1"/>
    <col min="11277" max="11277" width="10.109375" style="79" customWidth="1"/>
    <col min="11278" max="11278" width="6.88671875" style="79" customWidth="1"/>
    <col min="11279" max="11279" width="4" style="79" customWidth="1"/>
    <col min="11280" max="11280" width="2.5546875" style="79" customWidth="1"/>
    <col min="11281" max="11281" width="5.88671875" style="79"/>
    <col min="11282" max="11282" width="11.109375" style="79" bestFit="1" customWidth="1"/>
    <col min="11283" max="11286" width="5.88671875" style="79"/>
    <col min="11287" max="11287" width="23.88671875" style="79" bestFit="1" customWidth="1"/>
    <col min="11288" max="11522" width="5.88671875" style="79"/>
    <col min="11523" max="11523" width="14.109375" style="79" customWidth="1"/>
    <col min="11524" max="11524" width="22" style="79" customWidth="1"/>
    <col min="11525" max="11525" width="18.109375" style="79" customWidth="1"/>
    <col min="11526" max="11526" width="5.88671875" style="79"/>
    <col min="11527" max="11527" width="11.109375" style="79" customWidth="1"/>
    <col min="11528" max="11528" width="16" style="79" customWidth="1"/>
    <col min="11529" max="11529" width="7.109375" style="79" customWidth="1"/>
    <col min="11530" max="11530" width="9.109375" style="79" customWidth="1"/>
    <col min="11531" max="11531" width="16.109375" style="79" customWidth="1"/>
    <col min="11532" max="11532" width="17.109375" style="79" bestFit="1" customWidth="1"/>
    <col min="11533" max="11533" width="10.109375" style="79" customWidth="1"/>
    <col min="11534" max="11534" width="6.88671875" style="79" customWidth="1"/>
    <col min="11535" max="11535" width="4" style="79" customWidth="1"/>
    <col min="11536" max="11536" width="2.5546875" style="79" customWidth="1"/>
    <col min="11537" max="11537" width="5.88671875" style="79"/>
    <col min="11538" max="11538" width="11.109375" style="79" bestFit="1" customWidth="1"/>
    <col min="11539" max="11542" width="5.88671875" style="79"/>
    <col min="11543" max="11543" width="23.88671875" style="79" bestFit="1" customWidth="1"/>
    <col min="11544" max="11778" width="5.88671875" style="79"/>
    <col min="11779" max="11779" width="14.109375" style="79" customWidth="1"/>
    <col min="11780" max="11780" width="22" style="79" customWidth="1"/>
    <col min="11781" max="11781" width="18.109375" style="79" customWidth="1"/>
    <col min="11782" max="11782" width="5.88671875" style="79"/>
    <col min="11783" max="11783" width="11.109375" style="79" customWidth="1"/>
    <col min="11784" max="11784" width="16" style="79" customWidth="1"/>
    <col min="11785" max="11785" width="7.109375" style="79" customWidth="1"/>
    <col min="11786" max="11786" width="9.109375" style="79" customWidth="1"/>
    <col min="11787" max="11787" width="16.109375" style="79" customWidth="1"/>
    <col min="11788" max="11788" width="17.109375" style="79" bestFit="1" customWidth="1"/>
    <col min="11789" max="11789" width="10.109375" style="79" customWidth="1"/>
    <col min="11790" max="11790" width="6.88671875" style="79" customWidth="1"/>
    <col min="11791" max="11791" width="4" style="79" customWidth="1"/>
    <col min="11792" max="11792" width="2.5546875" style="79" customWidth="1"/>
    <col min="11793" max="11793" width="5.88671875" style="79"/>
    <col min="11794" max="11794" width="11.109375" style="79" bestFit="1" customWidth="1"/>
    <col min="11795" max="11798" width="5.88671875" style="79"/>
    <col min="11799" max="11799" width="23.88671875" style="79" bestFit="1" customWidth="1"/>
    <col min="11800" max="12034" width="5.88671875" style="79"/>
    <col min="12035" max="12035" width="14.109375" style="79" customWidth="1"/>
    <col min="12036" max="12036" width="22" style="79" customWidth="1"/>
    <col min="12037" max="12037" width="18.109375" style="79" customWidth="1"/>
    <col min="12038" max="12038" width="5.88671875" style="79"/>
    <col min="12039" max="12039" width="11.109375" style="79" customWidth="1"/>
    <col min="12040" max="12040" width="16" style="79" customWidth="1"/>
    <col min="12041" max="12041" width="7.109375" style="79" customWidth="1"/>
    <col min="12042" max="12042" width="9.109375" style="79" customWidth="1"/>
    <col min="12043" max="12043" width="16.109375" style="79" customWidth="1"/>
    <col min="12044" max="12044" width="17.109375" style="79" bestFit="1" customWidth="1"/>
    <col min="12045" max="12045" width="10.109375" style="79" customWidth="1"/>
    <col min="12046" max="12046" width="6.88671875" style="79" customWidth="1"/>
    <col min="12047" max="12047" width="4" style="79" customWidth="1"/>
    <col min="12048" max="12048" width="2.5546875" style="79" customWidth="1"/>
    <col min="12049" max="12049" width="5.88671875" style="79"/>
    <col min="12050" max="12050" width="11.109375" style="79" bestFit="1" customWidth="1"/>
    <col min="12051" max="12054" width="5.88671875" style="79"/>
    <col min="12055" max="12055" width="23.88671875" style="79" bestFit="1" customWidth="1"/>
    <col min="12056" max="12290" width="5.88671875" style="79"/>
    <col min="12291" max="12291" width="14.109375" style="79" customWidth="1"/>
    <col min="12292" max="12292" width="22" style="79" customWidth="1"/>
    <col min="12293" max="12293" width="18.109375" style="79" customWidth="1"/>
    <col min="12294" max="12294" width="5.88671875" style="79"/>
    <col min="12295" max="12295" width="11.109375" style="79" customWidth="1"/>
    <col min="12296" max="12296" width="16" style="79" customWidth="1"/>
    <col min="12297" max="12297" width="7.109375" style="79" customWidth="1"/>
    <col min="12298" max="12298" width="9.109375" style="79" customWidth="1"/>
    <col min="12299" max="12299" width="16.109375" style="79" customWidth="1"/>
    <col min="12300" max="12300" width="17.109375" style="79" bestFit="1" customWidth="1"/>
    <col min="12301" max="12301" width="10.109375" style="79" customWidth="1"/>
    <col min="12302" max="12302" width="6.88671875" style="79" customWidth="1"/>
    <col min="12303" max="12303" width="4" style="79" customWidth="1"/>
    <col min="12304" max="12304" width="2.5546875" style="79" customWidth="1"/>
    <col min="12305" max="12305" width="5.88671875" style="79"/>
    <col min="12306" max="12306" width="11.109375" style="79" bestFit="1" customWidth="1"/>
    <col min="12307" max="12310" width="5.88671875" style="79"/>
    <col min="12311" max="12311" width="23.88671875" style="79" bestFit="1" customWidth="1"/>
    <col min="12312" max="12546" width="5.88671875" style="79"/>
    <col min="12547" max="12547" width="14.109375" style="79" customWidth="1"/>
    <col min="12548" max="12548" width="22" style="79" customWidth="1"/>
    <col min="12549" max="12549" width="18.109375" style="79" customWidth="1"/>
    <col min="12550" max="12550" width="5.88671875" style="79"/>
    <col min="12551" max="12551" width="11.109375" style="79" customWidth="1"/>
    <col min="12552" max="12552" width="16" style="79" customWidth="1"/>
    <col min="12553" max="12553" width="7.109375" style="79" customWidth="1"/>
    <col min="12554" max="12554" width="9.109375" style="79" customWidth="1"/>
    <col min="12555" max="12555" width="16.109375" style="79" customWidth="1"/>
    <col min="12556" max="12556" width="17.109375" style="79" bestFit="1" customWidth="1"/>
    <col min="12557" max="12557" width="10.109375" style="79" customWidth="1"/>
    <col min="12558" max="12558" width="6.88671875" style="79" customWidth="1"/>
    <col min="12559" max="12559" width="4" style="79" customWidth="1"/>
    <col min="12560" max="12560" width="2.5546875" style="79" customWidth="1"/>
    <col min="12561" max="12561" width="5.88671875" style="79"/>
    <col min="12562" max="12562" width="11.109375" style="79" bestFit="1" customWidth="1"/>
    <col min="12563" max="12566" width="5.88671875" style="79"/>
    <col min="12567" max="12567" width="23.88671875" style="79" bestFit="1" customWidth="1"/>
    <col min="12568" max="12802" width="5.88671875" style="79"/>
    <col min="12803" max="12803" width="14.109375" style="79" customWidth="1"/>
    <col min="12804" max="12804" width="22" style="79" customWidth="1"/>
    <col min="12805" max="12805" width="18.109375" style="79" customWidth="1"/>
    <col min="12806" max="12806" width="5.88671875" style="79"/>
    <col min="12807" max="12807" width="11.109375" style="79" customWidth="1"/>
    <col min="12808" max="12808" width="16" style="79" customWidth="1"/>
    <col min="12809" max="12809" width="7.109375" style="79" customWidth="1"/>
    <col min="12810" max="12810" width="9.109375" style="79" customWidth="1"/>
    <col min="12811" max="12811" width="16.109375" style="79" customWidth="1"/>
    <col min="12812" max="12812" width="17.109375" style="79" bestFit="1" customWidth="1"/>
    <col min="12813" max="12813" width="10.109375" style="79" customWidth="1"/>
    <col min="12814" max="12814" width="6.88671875" style="79" customWidth="1"/>
    <col min="12815" max="12815" width="4" style="79" customWidth="1"/>
    <col min="12816" max="12816" width="2.5546875" style="79" customWidth="1"/>
    <col min="12817" max="12817" width="5.88671875" style="79"/>
    <col min="12818" max="12818" width="11.109375" style="79" bestFit="1" customWidth="1"/>
    <col min="12819" max="12822" width="5.88671875" style="79"/>
    <col min="12823" max="12823" width="23.88671875" style="79" bestFit="1" customWidth="1"/>
    <col min="12824" max="13058" width="5.88671875" style="79"/>
    <col min="13059" max="13059" width="14.109375" style="79" customWidth="1"/>
    <col min="13060" max="13060" width="22" style="79" customWidth="1"/>
    <col min="13061" max="13061" width="18.109375" style="79" customWidth="1"/>
    <col min="13062" max="13062" width="5.88671875" style="79"/>
    <col min="13063" max="13063" width="11.109375" style="79" customWidth="1"/>
    <col min="13064" max="13064" width="16" style="79" customWidth="1"/>
    <col min="13065" max="13065" width="7.109375" style="79" customWidth="1"/>
    <col min="13066" max="13066" width="9.109375" style="79" customWidth="1"/>
    <col min="13067" max="13067" width="16.109375" style="79" customWidth="1"/>
    <col min="13068" max="13068" width="17.109375" style="79" bestFit="1" customWidth="1"/>
    <col min="13069" max="13069" width="10.109375" style="79" customWidth="1"/>
    <col min="13070" max="13070" width="6.88671875" style="79" customWidth="1"/>
    <col min="13071" max="13071" width="4" style="79" customWidth="1"/>
    <col min="13072" max="13072" width="2.5546875" style="79" customWidth="1"/>
    <col min="13073" max="13073" width="5.88671875" style="79"/>
    <col min="13074" max="13074" width="11.109375" style="79" bestFit="1" customWidth="1"/>
    <col min="13075" max="13078" width="5.88671875" style="79"/>
    <col min="13079" max="13079" width="23.88671875" style="79" bestFit="1" customWidth="1"/>
    <col min="13080" max="13314" width="5.88671875" style="79"/>
    <col min="13315" max="13315" width="14.109375" style="79" customWidth="1"/>
    <col min="13316" max="13316" width="22" style="79" customWidth="1"/>
    <col min="13317" max="13317" width="18.109375" style="79" customWidth="1"/>
    <col min="13318" max="13318" width="5.88671875" style="79"/>
    <col min="13319" max="13319" width="11.109375" style="79" customWidth="1"/>
    <col min="13320" max="13320" width="16" style="79" customWidth="1"/>
    <col min="13321" max="13321" width="7.109375" style="79" customWidth="1"/>
    <col min="13322" max="13322" width="9.109375" style="79" customWidth="1"/>
    <col min="13323" max="13323" width="16.109375" style="79" customWidth="1"/>
    <col min="13324" max="13324" width="17.109375" style="79" bestFit="1" customWidth="1"/>
    <col min="13325" max="13325" width="10.109375" style="79" customWidth="1"/>
    <col min="13326" max="13326" width="6.88671875" style="79" customWidth="1"/>
    <col min="13327" max="13327" width="4" style="79" customWidth="1"/>
    <col min="13328" max="13328" width="2.5546875" style="79" customWidth="1"/>
    <col min="13329" max="13329" width="5.88671875" style="79"/>
    <col min="13330" max="13330" width="11.109375" style="79" bestFit="1" customWidth="1"/>
    <col min="13331" max="13334" width="5.88671875" style="79"/>
    <col min="13335" max="13335" width="23.88671875" style="79" bestFit="1" customWidth="1"/>
    <col min="13336" max="13570" width="5.88671875" style="79"/>
    <col min="13571" max="13571" width="14.109375" style="79" customWidth="1"/>
    <col min="13572" max="13572" width="22" style="79" customWidth="1"/>
    <col min="13573" max="13573" width="18.109375" style="79" customWidth="1"/>
    <col min="13574" max="13574" width="5.88671875" style="79"/>
    <col min="13575" max="13575" width="11.109375" style="79" customWidth="1"/>
    <col min="13576" max="13576" width="16" style="79" customWidth="1"/>
    <col min="13577" max="13577" width="7.109375" style="79" customWidth="1"/>
    <col min="13578" max="13578" width="9.109375" style="79" customWidth="1"/>
    <col min="13579" max="13579" width="16.109375" style="79" customWidth="1"/>
    <col min="13580" max="13580" width="17.109375" style="79" bestFit="1" customWidth="1"/>
    <col min="13581" max="13581" width="10.109375" style="79" customWidth="1"/>
    <col min="13582" max="13582" width="6.88671875" style="79" customWidth="1"/>
    <col min="13583" max="13583" width="4" style="79" customWidth="1"/>
    <col min="13584" max="13584" width="2.5546875" style="79" customWidth="1"/>
    <col min="13585" max="13585" width="5.88671875" style="79"/>
    <col min="13586" max="13586" width="11.109375" style="79" bestFit="1" customWidth="1"/>
    <col min="13587" max="13590" width="5.88671875" style="79"/>
    <col min="13591" max="13591" width="23.88671875" style="79" bestFit="1" customWidth="1"/>
    <col min="13592" max="13826" width="5.88671875" style="79"/>
    <col min="13827" max="13827" width="14.109375" style="79" customWidth="1"/>
    <col min="13828" max="13828" width="22" style="79" customWidth="1"/>
    <col min="13829" max="13829" width="18.109375" style="79" customWidth="1"/>
    <col min="13830" max="13830" width="5.88671875" style="79"/>
    <col min="13831" max="13831" width="11.109375" style="79" customWidth="1"/>
    <col min="13832" max="13832" width="16" style="79" customWidth="1"/>
    <col min="13833" max="13833" width="7.109375" style="79" customWidth="1"/>
    <col min="13834" max="13834" width="9.109375" style="79" customWidth="1"/>
    <col min="13835" max="13835" width="16.109375" style="79" customWidth="1"/>
    <col min="13836" max="13836" width="17.109375" style="79" bestFit="1" customWidth="1"/>
    <col min="13837" max="13837" width="10.109375" style="79" customWidth="1"/>
    <col min="13838" max="13838" width="6.88671875" style="79" customWidth="1"/>
    <col min="13839" max="13839" width="4" style="79" customWidth="1"/>
    <col min="13840" max="13840" width="2.5546875" style="79" customWidth="1"/>
    <col min="13841" max="13841" width="5.88671875" style="79"/>
    <col min="13842" max="13842" width="11.109375" style="79" bestFit="1" customWidth="1"/>
    <col min="13843" max="13846" width="5.88671875" style="79"/>
    <col min="13847" max="13847" width="23.88671875" style="79" bestFit="1" customWidth="1"/>
    <col min="13848" max="14082" width="5.88671875" style="79"/>
    <col min="14083" max="14083" width="14.109375" style="79" customWidth="1"/>
    <col min="14084" max="14084" width="22" style="79" customWidth="1"/>
    <col min="14085" max="14085" width="18.109375" style="79" customWidth="1"/>
    <col min="14086" max="14086" width="5.88671875" style="79"/>
    <col min="14087" max="14087" width="11.109375" style="79" customWidth="1"/>
    <col min="14088" max="14088" width="16" style="79" customWidth="1"/>
    <col min="14089" max="14089" width="7.109375" style="79" customWidth="1"/>
    <col min="14090" max="14090" width="9.109375" style="79" customWidth="1"/>
    <col min="14091" max="14091" width="16.109375" style="79" customWidth="1"/>
    <col min="14092" max="14092" width="17.109375" style="79" bestFit="1" customWidth="1"/>
    <col min="14093" max="14093" width="10.109375" style="79" customWidth="1"/>
    <col min="14094" max="14094" width="6.88671875" style="79" customWidth="1"/>
    <col min="14095" max="14095" width="4" style="79" customWidth="1"/>
    <col min="14096" max="14096" width="2.5546875" style="79" customWidth="1"/>
    <col min="14097" max="14097" width="5.88671875" style="79"/>
    <col min="14098" max="14098" width="11.109375" style="79" bestFit="1" customWidth="1"/>
    <col min="14099" max="14102" width="5.88671875" style="79"/>
    <col min="14103" max="14103" width="23.88671875" style="79" bestFit="1" customWidth="1"/>
    <col min="14104" max="14338" width="5.88671875" style="79"/>
    <col min="14339" max="14339" width="14.109375" style="79" customWidth="1"/>
    <col min="14340" max="14340" width="22" style="79" customWidth="1"/>
    <col min="14341" max="14341" width="18.109375" style="79" customWidth="1"/>
    <col min="14342" max="14342" width="5.88671875" style="79"/>
    <col min="14343" max="14343" width="11.109375" style="79" customWidth="1"/>
    <col min="14344" max="14344" width="16" style="79" customWidth="1"/>
    <col min="14345" max="14345" width="7.109375" style="79" customWidth="1"/>
    <col min="14346" max="14346" width="9.109375" style="79" customWidth="1"/>
    <col min="14347" max="14347" width="16.109375" style="79" customWidth="1"/>
    <col min="14348" max="14348" width="17.109375" style="79" bestFit="1" customWidth="1"/>
    <col min="14349" max="14349" width="10.109375" style="79" customWidth="1"/>
    <col min="14350" max="14350" width="6.88671875" style="79" customWidth="1"/>
    <col min="14351" max="14351" width="4" style="79" customWidth="1"/>
    <col min="14352" max="14352" width="2.5546875" style="79" customWidth="1"/>
    <col min="14353" max="14353" width="5.88671875" style="79"/>
    <col min="14354" max="14354" width="11.109375" style="79" bestFit="1" customWidth="1"/>
    <col min="14355" max="14358" width="5.88671875" style="79"/>
    <col min="14359" max="14359" width="23.88671875" style="79" bestFit="1" customWidth="1"/>
    <col min="14360" max="14594" width="5.88671875" style="79"/>
    <col min="14595" max="14595" width="14.109375" style="79" customWidth="1"/>
    <col min="14596" max="14596" width="22" style="79" customWidth="1"/>
    <col min="14597" max="14597" width="18.109375" style="79" customWidth="1"/>
    <col min="14598" max="14598" width="5.88671875" style="79"/>
    <col min="14599" max="14599" width="11.109375" style="79" customWidth="1"/>
    <col min="14600" max="14600" width="16" style="79" customWidth="1"/>
    <col min="14601" max="14601" width="7.109375" style="79" customWidth="1"/>
    <col min="14602" max="14602" width="9.109375" style="79" customWidth="1"/>
    <col min="14603" max="14603" width="16.109375" style="79" customWidth="1"/>
    <col min="14604" max="14604" width="17.109375" style="79" bestFit="1" customWidth="1"/>
    <col min="14605" max="14605" width="10.109375" style="79" customWidth="1"/>
    <col min="14606" max="14606" width="6.88671875" style="79" customWidth="1"/>
    <col min="14607" max="14607" width="4" style="79" customWidth="1"/>
    <col min="14608" max="14608" width="2.5546875" style="79" customWidth="1"/>
    <col min="14609" max="14609" width="5.88671875" style="79"/>
    <col min="14610" max="14610" width="11.109375" style="79" bestFit="1" customWidth="1"/>
    <col min="14611" max="14614" width="5.88671875" style="79"/>
    <col min="14615" max="14615" width="23.88671875" style="79" bestFit="1" customWidth="1"/>
    <col min="14616" max="14850" width="5.88671875" style="79"/>
    <col min="14851" max="14851" width="14.109375" style="79" customWidth="1"/>
    <col min="14852" max="14852" width="22" style="79" customWidth="1"/>
    <col min="14853" max="14853" width="18.109375" style="79" customWidth="1"/>
    <col min="14854" max="14854" width="5.88671875" style="79"/>
    <col min="14855" max="14855" width="11.109375" style="79" customWidth="1"/>
    <col min="14856" max="14856" width="16" style="79" customWidth="1"/>
    <col min="14857" max="14857" width="7.109375" style="79" customWidth="1"/>
    <col min="14858" max="14858" width="9.109375" style="79" customWidth="1"/>
    <col min="14859" max="14859" width="16.109375" style="79" customWidth="1"/>
    <col min="14860" max="14860" width="17.109375" style="79" bestFit="1" customWidth="1"/>
    <col min="14861" max="14861" width="10.109375" style="79" customWidth="1"/>
    <col min="14862" max="14862" width="6.88671875" style="79" customWidth="1"/>
    <col min="14863" max="14863" width="4" style="79" customWidth="1"/>
    <col min="14864" max="14864" width="2.5546875" style="79" customWidth="1"/>
    <col min="14865" max="14865" width="5.88671875" style="79"/>
    <col min="14866" max="14866" width="11.109375" style="79" bestFit="1" customWidth="1"/>
    <col min="14867" max="14870" width="5.88671875" style="79"/>
    <col min="14871" max="14871" width="23.88671875" style="79" bestFit="1" customWidth="1"/>
    <col min="14872" max="15106" width="5.88671875" style="79"/>
    <col min="15107" max="15107" width="14.109375" style="79" customWidth="1"/>
    <col min="15108" max="15108" width="22" style="79" customWidth="1"/>
    <col min="15109" max="15109" width="18.109375" style="79" customWidth="1"/>
    <col min="15110" max="15110" width="5.88671875" style="79"/>
    <col min="15111" max="15111" width="11.109375" style="79" customWidth="1"/>
    <col min="15112" max="15112" width="16" style="79" customWidth="1"/>
    <col min="15113" max="15113" width="7.109375" style="79" customWidth="1"/>
    <col min="15114" max="15114" width="9.109375" style="79" customWidth="1"/>
    <col min="15115" max="15115" width="16.109375" style="79" customWidth="1"/>
    <col min="15116" max="15116" width="17.109375" style="79" bestFit="1" customWidth="1"/>
    <col min="15117" max="15117" width="10.109375" style="79" customWidth="1"/>
    <col min="15118" max="15118" width="6.88671875" style="79" customWidth="1"/>
    <col min="15119" max="15119" width="4" style="79" customWidth="1"/>
    <col min="15120" max="15120" width="2.5546875" style="79" customWidth="1"/>
    <col min="15121" max="15121" width="5.88671875" style="79"/>
    <col min="15122" max="15122" width="11.109375" style="79" bestFit="1" customWidth="1"/>
    <col min="15123" max="15126" width="5.88671875" style="79"/>
    <col min="15127" max="15127" width="23.88671875" style="79" bestFit="1" customWidth="1"/>
    <col min="15128" max="15362" width="5.88671875" style="79"/>
    <col min="15363" max="15363" width="14.109375" style="79" customWidth="1"/>
    <col min="15364" max="15364" width="22" style="79" customWidth="1"/>
    <col min="15365" max="15365" width="18.109375" style="79" customWidth="1"/>
    <col min="15366" max="15366" width="5.88671875" style="79"/>
    <col min="15367" max="15367" width="11.109375" style="79" customWidth="1"/>
    <col min="15368" max="15368" width="16" style="79" customWidth="1"/>
    <col min="15369" max="15369" width="7.109375" style="79" customWidth="1"/>
    <col min="15370" max="15370" width="9.109375" style="79" customWidth="1"/>
    <col min="15371" max="15371" width="16.109375" style="79" customWidth="1"/>
    <col min="15372" max="15372" width="17.109375" style="79" bestFit="1" customWidth="1"/>
    <col min="15373" max="15373" width="10.109375" style="79" customWidth="1"/>
    <col min="15374" max="15374" width="6.88671875" style="79" customWidth="1"/>
    <col min="15375" max="15375" width="4" style="79" customWidth="1"/>
    <col min="15376" max="15376" width="2.5546875" style="79" customWidth="1"/>
    <col min="15377" max="15377" width="5.88671875" style="79"/>
    <col min="15378" max="15378" width="11.109375" style="79" bestFit="1" customWidth="1"/>
    <col min="15379" max="15382" width="5.88671875" style="79"/>
    <col min="15383" max="15383" width="23.88671875" style="79" bestFit="1" customWidth="1"/>
    <col min="15384" max="15618" width="5.88671875" style="79"/>
    <col min="15619" max="15619" width="14.109375" style="79" customWidth="1"/>
    <col min="15620" max="15620" width="22" style="79" customWidth="1"/>
    <col min="15621" max="15621" width="18.109375" style="79" customWidth="1"/>
    <col min="15622" max="15622" width="5.88671875" style="79"/>
    <col min="15623" max="15623" width="11.109375" style="79" customWidth="1"/>
    <col min="15624" max="15624" width="16" style="79" customWidth="1"/>
    <col min="15625" max="15625" width="7.109375" style="79" customWidth="1"/>
    <col min="15626" max="15626" width="9.109375" style="79" customWidth="1"/>
    <col min="15627" max="15627" width="16.109375" style="79" customWidth="1"/>
    <col min="15628" max="15628" width="17.109375" style="79" bestFit="1" customWidth="1"/>
    <col min="15629" max="15629" width="10.109375" style="79" customWidth="1"/>
    <col min="15630" max="15630" width="6.88671875" style="79" customWidth="1"/>
    <col min="15631" max="15631" width="4" style="79" customWidth="1"/>
    <col min="15632" max="15632" width="2.5546875" style="79" customWidth="1"/>
    <col min="15633" max="15633" width="5.88671875" style="79"/>
    <col min="15634" max="15634" width="11.109375" style="79" bestFit="1" customWidth="1"/>
    <col min="15635" max="15638" width="5.88671875" style="79"/>
    <col min="15639" max="15639" width="23.88671875" style="79" bestFit="1" customWidth="1"/>
    <col min="15640" max="15874" width="5.88671875" style="79"/>
    <col min="15875" max="15875" width="14.109375" style="79" customWidth="1"/>
    <col min="15876" max="15876" width="22" style="79" customWidth="1"/>
    <col min="15877" max="15877" width="18.109375" style="79" customWidth="1"/>
    <col min="15878" max="15878" width="5.88671875" style="79"/>
    <col min="15879" max="15879" width="11.109375" style="79" customWidth="1"/>
    <col min="15880" max="15880" width="16" style="79" customWidth="1"/>
    <col min="15881" max="15881" width="7.109375" style="79" customWidth="1"/>
    <col min="15882" max="15882" width="9.109375" style="79" customWidth="1"/>
    <col min="15883" max="15883" width="16.109375" style="79" customWidth="1"/>
    <col min="15884" max="15884" width="17.109375" style="79" bestFit="1" customWidth="1"/>
    <col min="15885" max="15885" width="10.109375" style="79" customWidth="1"/>
    <col min="15886" max="15886" width="6.88671875" style="79" customWidth="1"/>
    <col min="15887" max="15887" width="4" style="79" customWidth="1"/>
    <col min="15888" max="15888" width="2.5546875" style="79" customWidth="1"/>
    <col min="15889" max="15889" width="5.88671875" style="79"/>
    <col min="15890" max="15890" width="11.109375" style="79" bestFit="1" customWidth="1"/>
    <col min="15891" max="15894" width="5.88671875" style="79"/>
    <col min="15895" max="15895" width="23.88671875" style="79" bestFit="1" customWidth="1"/>
    <col min="15896" max="16130" width="5.88671875" style="79"/>
    <col min="16131" max="16131" width="14.109375" style="79" customWidth="1"/>
    <col min="16132" max="16132" width="22" style="79" customWidth="1"/>
    <col min="16133" max="16133" width="18.109375" style="79" customWidth="1"/>
    <col min="16134" max="16134" width="5.88671875" style="79"/>
    <col min="16135" max="16135" width="11.109375" style="79" customWidth="1"/>
    <col min="16136" max="16136" width="16" style="79" customWidth="1"/>
    <col min="16137" max="16137" width="7.109375" style="79" customWidth="1"/>
    <col min="16138" max="16138" width="9.109375" style="79" customWidth="1"/>
    <col min="16139" max="16139" width="16.109375" style="79" customWidth="1"/>
    <col min="16140" max="16140" width="17.109375" style="79" bestFit="1" customWidth="1"/>
    <col min="16141" max="16141" width="10.109375" style="79" customWidth="1"/>
    <col min="16142" max="16142" width="6.88671875" style="79" customWidth="1"/>
    <col min="16143" max="16143" width="4" style="79" customWidth="1"/>
    <col min="16144" max="16144" width="2.5546875" style="79" customWidth="1"/>
    <col min="16145" max="16145" width="5.88671875" style="79"/>
    <col min="16146" max="16146" width="11.109375" style="79" bestFit="1" customWidth="1"/>
    <col min="16147" max="16150" width="5.88671875" style="79"/>
    <col min="16151" max="16151" width="23.88671875" style="79" bestFit="1" customWidth="1"/>
    <col min="16152" max="16384" width="5.88671875" style="79"/>
  </cols>
  <sheetData>
    <row r="1" spans="1:16">
      <c r="P1" s="123"/>
    </row>
    <row r="2" spans="1:16">
      <c r="P2" s="123"/>
    </row>
    <row r="3" spans="1:16">
      <c r="P3" s="123"/>
    </row>
    <row r="4" spans="1:16">
      <c r="P4" s="123"/>
    </row>
    <row r="5" spans="1:16" ht="22.8" thickBot="1">
      <c r="A5" s="539" t="s">
        <v>0</v>
      </c>
      <c r="B5" s="539"/>
      <c r="C5" s="539"/>
      <c r="D5" s="539"/>
      <c r="E5" s="539"/>
      <c r="F5" s="539"/>
      <c r="G5" s="539"/>
      <c r="H5" s="539"/>
      <c r="I5" s="539"/>
      <c r="J5" s="539"/>
      <c r="K5" s="539"/>
      <c r="L5" s="539"/>
      <c r="M5" s="539"/>
      <c r="N5" s="539"/>
      <c r="O5" s="539"/>
      <c r="P5" s="540"/>
    </row>
    <row r="6" spans="1:16" ht="22.8" thickBot="1">
      <c r="A6" s="177"/>
      <c r="B6" s="173"/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6" t="s">
        <v>1</v>
      </c>
      <c r="N6" s="175">
        <v>2</v>
      </c>
      <c r="O6" s="173"/>
      <c r="P6" s="174"/>
    </row>
    <row r="7" spans="1:16" ht="16.5" customHeight="1">
      <c r="A7" s="541"/>
      <c r="B7" s="542"/>
      <c r="C7" s="542"/>
      <c r="D7" s="542"/>
      <c r="E7" s="542"/>
      <c r="F7" s="542"/>
      <c r="G7" s="542"/>
      <c r="H7" s="542"/>
      <c r="I7" s="542"/>
      <c r="J7" s="542"/>
      <c r="K7" s="542"/>
      <c r="L7" s="542"/>
      <c r="M7" s="542"/>
      <c r="N7" s="542"/>
      <c r="O7" s="542"/>
      <c r="P7" s="543"/>
    </row>
    <row r="8" spans="1:16" ht="20.25" customHeight="1">
      <c r="A8" s="98" t="s">
        <v>2</v>
      </c>
      <c r="B8" s="97"/>
      <c r="C8" s="97"/>
      <c r="D8" s="97"/>
      <c r="E8" s="97"/>
      <c r="F8" s="97"/>
      <c r="G8" s="172"/>
      <c r="H8" s="173"/>
      <c r="I8" s="172"/>
      <c r="J8" s="95"/>
      <c r="K8" s="95"/>
      <c r="L8" s="95"/>
      <c r="M8" s="95"/>
      <c r="N8" s="95"/>
      <c r="O8" s="95"/>
      <c r="P8" s="94"/>
    </row>
    <row r="9" spans="1:16">
      <c r="A9" s="102"/>
      <c r="B9" s="92"/>
      <c r="C9" s="92"/>
      <c r="D9" s="92"/>
      <c r="E9" s="92"/>
      <c r="F9" s="92"/>
      <c r="G9" s="92"/>
      <c r="H9" s="92"/>
      <c r="I9" s="92"/>
      <c r="J9" s="92"/>
      <c r="K9" s="92"/>
      <c r="L9" s="171"/>
      <c r="M9" s="92"/>
      <c r="N9" s="92"/>
      <c r="O9" s="92"/>
      <c r="P9" s="91"/>
    </row>
    <row r="10" spans="1:16" s="167" customFormat="1">
      <c r="A10" s="170"/>
      <c r="B10" s="169"/>
      <c r="C10" s="169"/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68"/>
    </row>
    <row r="11" spans="1:16">
      <c r="A11" s="102"/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1"/>
    </row>
    <row r="12" spans="1:16" ht="15">
      <c r="A12" s="86" t="s">
        <v>3</v>
      </c>
      <c r="B12" s="85"/>
      <c r="C12" s="85"/>
      <c r="D12" s="85"/>
      <c r="E12" s="165" t="s">
        <v>4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105"/>
    </row>
    <row r="13" spans="1:16" ht="15">
      <c r="A13" s="86" t="s">
        <v>5</v>
      </c>
      <c r="B13" s="85"/>
      <c r="C13" s="85"/>
      <c r="D13" s="85"/>
      <c r="E13" s="164" t="s">
        <v>6</v>
      </c>
      <c r="F13" s="166"/>
      <c r="G13" s="163"/>
      <c r="H13" s="163"/>
      <c r="I13" s="162"/>
      <c r="J13" s="85"/>
      <c r="K13" s="85"/>
      <c r="L13" s="85"/>
      <c r="M13" s="85"/>
      <c r="N13" s="85"/>
      <c r="O13" s="85"/>
      <c r="P13" s="105"/>
    </row>
    <row r="14" spans="1:16" ht="15">
      <c r="A14" s="86"/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105"/>
    </row>
    <row r="15" spans="1:16" ht="15">
      <c r="A15" s="86" t="s">
        <v>7</v>
      </c>
      <c r="B15" s="85"/>
      <c r="C15" s="85"/>
      <c r="D15" s="85"/>
      <c r="E15" s="165">
        <v>2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105"/>
    </row>
    <row r="16" spans="1:16" ht="15">
      <c r="A16" s="86" t="s">
        <v>8</v>
      </c>
      <c r="B16" s="85"/>
      <c r="C16" s="85"/>
      <c r="D16" s="85"/>
      <c r="E16" s="164" t="s">
        <v>9</v>
      </c>
      <c r="F16" s="163"/>
      <c r="G16" s="163"/>
      <c r="H16" s="163"/>
      <c r="I16" s="162"/>
      <c r="J16" s="85"/>
      <c r="K16" s="85"/>
      <c r="L16" s="85"/>
      <c r="M16" s="85"/>
      <c r="N16" s="85"/>
      <c r="O16" s="85"/>
      <c r="P16" s="105"/>
    </row>
    <row r="17" spans="1:16">
      <c r="A17" s="102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1"/>
    </row>
    <row r="18" spans="1:16" ht="15">
      <c r="A18" s="86" t="s">
        <v>10</v>
      </c>
      <c r="B18" s="92"/>
      <c r="C18" s="92"/>
      <c r="D18" s="92"/>
      <c r="E18" s="161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1"/>
    </row>
    <row r="19" spans="1:16" ht="15">
      <c r="A19" s="86" t="s">
        <v>11</v>
      </c>
      <c r="B19" s="92"/>
      <c r="C19" s="92"/>
      <c r="D19" s="92"/>
      <c r="E19" s="29" t="s">
        <v>12</v>
      </c>
      <c r="F19" s="156"/>
      <c r="G19" s="156"/>
      <c r="H19" s="156"/>
      <c r="I19" s="158"/>
      <c r="J19" s="92"/>
      <c r="K19" s="92"/>
      <c r="L19" s="92"/>
      <c r="M19" s="92"/>
      <c r="N19" s="92"/>
      <c r="O19" s="92"/>
      <c r="P19" s="91"/>
    </row>
    <row r="20" spans="1:16" ht="15">
      <c r="A20" s="86"/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1"/>
    </row>
    <row r="21" spans="1:16" ht="15">
      <c r="A21" s="86" t="s">
        <v>13</v>
      </c>
      <c r="B21" s="92"/>
      <c r="C21" s="92"/>
      <c r="D21" s="92"/>
      <c r="E21" s="29">
        <v>4100079131</v>
      </c>
      <c r="F21" s="156"/>
      <c r="G21" s="158"/>
      <c r="H21" s="92" t="s">
        <v>14</v>
      </c>
      <c r="I21" s="92"/>
      <c r="J21" s="92"/>
      <c r="K21" s="92"/>
      <c r="L21" s="92"/>
      <c r="M21" s="92"/>
      <c r="N21" s="92"/>
      <c r="O21" s="92"/>
      <c r="P21" s="91"/>
    </row>
    <row r="22" spans="1:16" ht="15">
      <c r="A22" s="86"/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1"/>
    </row>
    <row r="23" spans="1:16">
      <c r="A23" s="102" t="s">
        <v>15</v>
      </c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1"/>
    </row>
    <row r="24" spans="1:16" ht="15">
      <c r="A24" s="86"/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1"/>
    </row>
    <row r="25" spans="1:16" ht="15">
      <c r="A25" s="86" t="s">
        <v>16</v>
      </c>
      <c r="B25" s="92"/>
      <c r="C25" s="92"/>
      <c r="D25" s="92"/>
      <c r="E25" s="160">
        <f>FINALS!D22</f>
        <v>12295427</v>
      </c>
      <c r="F25" s="156"/>
      <c r="G25" s="158"/>
      <c r="H25" s="92"/>
      <c r="I25" s="92"/>
      <c r="J25" s="92"/>
      <c r="K25" s="92"/>
      <c r="L25" s="92"/>
      <c r="M25" s="92"/>
      <c r="N25" s="92"/>
      <c r="O25" s="92"/>
      <c r="P25" s="91"/>
    </row>
    <row r="26" spans="1:16" ht="15">
      <c r="A26" s="86"/>
      <c r="B26" s="92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1"/>
    </row>
    <row r="27" spans="1:16" ht="15">
      <c r="A27" s="86" t="s">
        <v>17</v>
      </c>
      <c r="B27" s="92"/>
      <c r="C27" s="92"/>
      <c r="D27" s="92"/>
      <c r="E27" s="157">
        <v>44562</v>
      </c>
      <c r="F27" s="156"/>
      <c r="G27" s="159"/>
      <c r="H27" s="158"/>
      <c r="I27" s="85" t="s">
        <v>18</v>
      </c>
      <c r="J27" s="85"/>
      <c r="K27" s="85"/>
      <c r="L27" s="157">
        <v>44651</v>
      </c>
      <c r="M27" s="156"/>
      <c r="N27" s="156"/>
      <c r="O27" s="155"/>
      <c r="P27" s="123"/>
    </row>
    <row r="28" spans="1:16" ht="15">
      <c r="A28" s="86"/>
      <c r="B28" s="92"/>
      <c r="C28" s="92"/>
      <c r="D28" s="92"/>
      <c r="E28" s="92"/>
      <c r="F28" s="92"/>
      <c r="G28" s="92"/>
      <c r="H28" s="92"/>
      <c r="I28" s="85"/>
      <c r="J28" s="85"/>
      <c r="K28" s="85"/>
      <c r="M28" s="92"/>
      <c r="N28" s="92"/>
      <c r="P28" s="123"/>
    </row>
    <row r="29" spans="1:16" ht="15">
      <c r="A29" s="154" t="s">
        <v>19</v>
      </c>
      <c r="B29" s="153"/>
      <c r="C29" s="153"/>
      <c r="D29" s="92"/>
      <c r="E29" s="92"/>
      <c r="F29" s="92"/>
      <c r="G29" s="92"/>
      <c r="H29" s="92"/>
      <c r="I29" s="85"/>
      <c r="J29" s="85"/>
      <c r="K29" s="85"/>
      <c r="M29" s="92"/>
      <c r="N29" s="92"/>
      <c r="P29" s="123"/>
    </row>
    <row r="30" spans="1:16" ht="15">
      <c r="A30" s="106"/>
      <c r="B30" s="92"/>
      <c r="C30" s="92"/>
      <c r="D30" s="92"/>
      <c r="E30" s="92" t="s">
        <v>20</v>
      </c>
      <c r="F30" s="92"/>
      <c r="G30" s="92"/>
      <c r="H30" s="92"/>
      <c r="I30" s="85"/>
      <c r="J30" s="85"/>
      <c r="K30" s="85"/>
      <c r="M30" s="92"/>
      <c r="N30" s="92"/>
      <c r="P30" s="123"/>
    </row>
    <row r="31" spans="1:16">
      <c r="A31" s="152" t="s">
        <v>21</v>
      </c>
      <c r="B31" s="151"/>
      <c r="C31" s="151"/>
      <c r="D31" s="151" t="s">
        <v>22</v>
      </c>
      <c r="E31" s="150" t="s">
        <v>23</v>
      </c>
      <c r="F31" s="149"/>
      <c r="G31" s="148"/>
      <c r="H31" s="150" t="s">
        <v>24</v>
      </c>
      <c r="I31" s="149"/>
      <c r="J31" s="148"/>
      <c r="K31" s="147" t="s">
        <v>25</v>
      </c>
      <c r="L31" s="146" t="s">
        <v>26</v>
      </c>
      <c r="M31" s="92"/>
      <c r="N31" s="92"/>
      <c r="P31" s="123"/>
    </row>
    <row r="32" spans="1:16" ht="18.75" customHeight="1">
      <c r="A32" s="145" t="s">
        <v>27</v>
      </c>
      <c r="B32" s="143"/>
      <c r="C32" s="144"/>
      <c r="D32" s="143"/>
      <c r="E32" s="138">
        <v>0</v>
      </c>
      <c r="F32" s="140"/>
      <c r="G32" s="139"/>
      <c r="H32" s="138">
        <v>0</v>
      </c>
      <c r="I32" s="142"/>
      <c r="J32" s="141"/>
      <c r="K32" s="129">
        <v>0</v>
      </c>
      <c r="L32" s="129">
        <f t="shared" ref="L32:L37" si="0">H32+K32</f>
        <v>0</v>
      </c>
      <c r="M32" s="92"/>
      <c r="N32" s="92"/>
      <c r="P32" s="123"/>
    </row>
    <row r="33" spans="1:23" ht="18.75" customHeight="1">
      <c r="A33" s="86" t="s">
        <v>28</v>
      </c>
      <c r="B33" s="92"/>
      <c r="C33" s="91"/>
      <c r="D33" s="92"/>
      <c r="E33" s="138">
        <v>0</v>
      </c>
      <c r="F33" s="140"/>
      <c r="G33" s="139"/>
      <c r="H33" s="138">
        <v>0</v>
      </c>
      <c r="I33" s="142"/>
      <c r="J33" s="141"/>
      <c r="K33" s="129">
        <f>+H33*0.001</f>
        <v>0</v>
      </c>
      <c r="L33" s="129">
        <f t="shared" si="0"/>
        <v>0</v>
      </c>
      <c r="M33" s="92"/>
      <c r="N33" s="92"/>
      <c r="P33" s="123"/>
    </row>
    <row r="34" spans="1:23" ht="18" customHeight="1">
      <c r="A34" s="86" t="s">
        <v>29</v>
      </c>
      <c r="B34" s="92"/>
      <c r="C34" s="91"/>
      <c r="D34" s="92"/>
      <c r="E34" s="138">
        <v>0</v>
      </c>
      <c r="F34" s="140"/>
      <c r="G34" s="139"/>
      <c r="H34" s="138">
        <v>0</v>
      </c>
      <c r="I34" s="137"/>
      <c r="J34" s="136"/>
      <c r="K34" s="129">
        <f>+H34*0.001</f>
        <v>0</v>
      </c>
      <c r="L34" s="129">
        <f t="shared" si="0"/>
        <v>0</v>
      </c>
      <c r="M34" s="92"/>
      <c r="N34" s="92"/>
      <c r="P34" s="123"/>
    </row>
    <row r="35" spans="1:23" ht="18" customHeight="1">
      <c r="A35" s="86" t="s">
        <v>30</v>
      </c>
      <c r="B35" s="92"/>
      <c r="C35" s="91"/>
      <c r="D35" s="92"/>
      <c r="E35" s="138">
        <v>0</v>
      </c>
      <c r="F35" s="140"/>
      <c r="G35" s="139"/>
      <c r="H35" s="138">
        <v>0</v>
      </c>
      <c r="I35" s="137"/>
      <c r="J35" s="136"/>
      <c r="K35" s="129">
        <f>+H35*0.001</f>
        <v>0</v>
      </c>
      <c r="L35" s="129">
        <f t="shared" si="0"/>
        <v>0</v>
      </c>
      <c r="M35" s="92"/>
      <c r="N35" s="92"/>
      <c r="P35" s="123"/>
    </row>
    <row r="36" spans="1:23" ht="18" customHeight="1">
      <c r="A36" s="86" t="s">
        <v>31</v>
      </c>
      <c r="B36" s="92"/>
      <c r="C36" s="91"/>
      <c r="D36" s="92"/>
      <c r="E36" s="138">
        <v>0</v>
      </c>
      <c r="F36" s="140"/>
      <c r="G36" s="139"/>
      <c r="H36" s="138">
        <v>0</v>
      </c>
      <c r="I36" s="137"/>
      <c r="J36" s="136"/>
      <c r="K36" s="129">
        <f>+H36*0.001</f>
        <v>0</v>
      </c>
      <c r="L36" s="129">
        <f t="shared" si="0"/>
        <v>0</v>
      </c>
      <c r="M36" s="92"/>
      <c r="N36" s="92"/>
      <c r="P36" s="123"/>
      <c r="R36" s="135"/>
    </row>
    <row r="37" spans="1:23" ht="18" customHeight="1">
      <c r="A37" s="86" t="s">
        <v>32</v>
      </c>
      <c r="B37" s="92"/>
      <c r="C37" s="91"/>
      <c r="D37" s="92"/>
      <c r="E37" s="132">
        <v>0</v>
      </c>
      <c r="F37" s="134"/>
      <c r="G37" s="133"/>
      <c r="H37" s="132">
        <v>0</v>
      </c>
      <c r="I37" s="131"/>
      <c r="J37" s="130"/>
      <c r="K37" s="129">
        <f>+H37*0.001</f>
        <v>0</v>
      </c>
      <c r="L37" s="129">
        <f t="shared" si="0"/>
        <v>0</v>
      </c>
      <c r="M37" s="92"/>
      <c r="N37" s="92"/>
      <c r="P37" s="123"/>
    </row>
    <row r="38" spans="1:23" ht="18" customHeight="1">
      <c r="A38" s="86"/>
      <c r="B38" s="92"/>
      <c r="C38" s="91"/>
      <c r="D38" s="42" t="s">
        <v>33</v>
      </c>
      <c r="E38" s="310">
        <f>FINALS!S21</f>
        <v>3203159.0676997378</v>
      </c>
      <c r="F38" s="311"/>
      <c r="G38" s="312"/>
      <c r="H38" s="310">
        <f>FINALS!K21</f>
        <v>3206362.2267674371</v>
      </c>
      <c r="I38" s="313"/>
      <c r="J38" s="314"/>
      <c r="K38" s="315">
        <f>E38*0.001</f>
        <v>3203.159067699738</v>
      </c>
      <c r="L38" s="451">
        <f>H38</f>
        <v>3206362.2267674371</v>
      </c>
      <c r="M38" s="92"/>
      <c r="N38" s="92"/>
      <c r="P38" s="123"/>
    </row>
    <row r="39" spans="1:23" ht="18" customHeight="1">
      <c r="A39" s="86"/>
      <c r="B39" s="92"/>
      <c r="C39" s="91"/>
      <c r="D39" s="42" t="s">
        <v>34</v>
      </c>
      <c r="E39" s="316">
        <f>FINALS!U21</f>
        <v>4596922.933080107</v>
      </c>
      <c r="F39" s="311"/>
      <c r="G39" s="312"/>
      <c r="H39" s="310">
        <f>FINALS!M21</f>
        <v>4660352.7624193709</v>
      </c>
      <c r="I39" s="313"/>
      <c r="J39" s="314"/>
      <c r="K39" s="315">
        <f t="shared" ref="K39:K44" si="1">E39*0.001</f>
        <v>4596.9229330801072</v>
      </c>
      <c r="L39" s="451">
        <f t="shared" ref="L39:L44" si="2">H39</f>
        <v>4660352.7624193709</v>
      </c>
      <c r="M39" s="107"/>
      <c r="N39" s="92"/>
      <c r="P39" s="123"/>
    </row>
    <row r="40" spans="1:23" ht="18" customHeight="1">
      <c r="A40" s="86"/>
      <c r="B40" s="92"/>
      <c r="C40" s="91"/>
      <c r="D40" s="42" t="s">
        <v>35</v>
      </c>
      <c r="E40" s="316">
        <f>FINALS!Q21+FINALS!R21</f>
        <v>1146136.0554214627</v>
      </c>
      <c r="F40" s="311"/>
      <c r="G40" s="312"/>
      <c r="H40" s="310">
        <f>FINALS!I21+FINALS!J21</f>
        <v>1161328.7600528933</v>
      </c>
      <c r="I40" s="313"/>
      <c r="J40" s="314"/>
      <c r="K40" s="315">
        <f t="shared" si="1"/>
        <v>1146.1360554214627</v>
      </c>
      <c r="L40" s="451">
        <f t="shared" si="2"/>
        <v>1161328.7600528933</v>
      </c>
      <c r="M40" s="107"/>
      <c r="N40" s="92"/>
      <c r="P40" s="123"/>
    </row>
    <row r="41" spans="1:23" ht="18" customHeight="1">
      <c r="A41" s="86"/>
      <c r="B41" s="92"/>
      <c r="C41" s="91"/>
      <c r="D41" s="42" t="s">
        <v>36</v>
      </c>
      <c r="E41" s="316">
        <f>FINALS!V21</f>
        <v>484390.56946343969</v>
      </c>
      <c r="F41" s="311"/>
      <c r="G41" s="312"/>
      <c r="H41" s="310">
        <f>FINALS!N21</f>
        <v>490705.10399941722</v>
      </c>
      <c r="I41" s="313"/>
      <c r="J41" s="314"/>
      <c r="K41" s="315">
        <f t="shared" si="1"/>
        <v>484.3905694634397</v>
      </c>
      <c r="L41" s="451">
        <f t="shared" si="2"/>
        <v>490705.10399941722</v>
      </c>
      <c r="M41" s="107"/>
      <c r="N41" s="92"/>
      <c r="P41" s="123"/>
    </row>
    <row r="42" spans="1:23" ht="18" customHeight="1">
      <c r="A42" s="86"/>
      <c r="B42" s="92"/>
      <c r="C42" s="91"/>
      <c r="D42" s="42" t="s">
        <v>37</v>
      </c>
      <c r="E42" s="316">
        <f>FINALS!T21</f>
        <v>111106</v>
      </c>
      <c r="F42" s="311"/>
      <c r="G42" s="312"/>
      <c r="H42" s="310">
        <f>FINALS!L21</f>
        <v>111217.106</v>
      </c>
      <c r="I42" s="313"/>
      <c r="J42" s="314"/>
      <c r="K42" s="315">
        <f t="shared" si="1"/>
        <v>111.10600000000001</v>
      </c>
      <c r="L42" s="451">
        <f t="shared" si="2"/>
        <v>111217.106</v>
      </c>
      <c r="M42" s="92"/>
      <c r="N42" s="92"/>
      <c r="P42" s="123"/>
    </row>
    <row r="43" spans="1:23" ht="18" customHeight="1">
      <c r="A43" s="86"/>
      <c r="B43" s="92"/>
      <c r="C43" s="91"/>
      <c r="D43" s="42" t="s">
        <v>38</v>
      </c>
      <c r="E43" s="317">
        <f>FINALS!W21</f>
        <v>572885.91121311102</v>
      </c>
      <c r="F43" s="318"/>
      <c r="G43" s="319"/>
      <c r="H43" s="310">
        <f>FINALS!O21</f>
        <v>573458.79712432413</v>
      </c>
      <c r="I43" s="320"/>
      <c r="J43" s="321"/>
      <c r="K43" s="315">
        <f t="shared" si="1"/>
        <v>572.88591121311106</v>
      </c>
      <c r="L43" s="451">
        <f t="shared" si="2"/>
        <v>573458.79712432413</v>
      </c>
      <c r="M43" s="92"/>
      <c r="N43" s="92"/>
      <c r="P43" s="123"/>
    </row>
    <row r="44" spans="1:23" ht="18" customHeight="1">
      <c r="A44" s="86"/>
      <c r="B44" s="92"/>
      <c r="C44" s="91"/>
      <c r="D44" s="92" t="s">
        <v>39</v>
      </c>
      <c r="E44" s="317">
        <f>FINALS!X21</f>
        <v>1008538.8894247863</v>
      </c>
      <c r="F44" s="318"/>
      <c r="G44" s="319"/>
      <c r="H44" s="310">
        <f>FINALS!P21</f>
        <v>1009547.4283142111</v>
      </c>
      <c r="I44" s="322"/>
      <c r="J44" s="323"/>
      <c r="K44" s="315">
        <f t="shared" si="1"/>
        <v>1008.5388894247864</v>
      </c>
      <c r="L44" s="451">
        <f t="shared" si="2"/>
        <v>1009547.4283142111</v>
      </c>
      <c r="M44" s="92"/>
      <c r="N44" s="92"/>
      <c r="P44" s="123"/>
    </row>
    <row r="45" spans="1:23" ht="18" customHeight="1">
      <c r="A45" s="86" t="s">
        <v>40</v>
      </c>
      <c r="B45" s="92"/>
      <c r="C45" s="91"/>
      <c r="D45" s="92"/>
      <c r="F45" s="127"/>
      <c r="G45" s="116"/>
      <c r="H45" s="128"/>
      <c r="I45" s="126"/>
      <c r="J45" s="125"/>
      <c r="K45" s="124"/>
      <c r="L45" s="124"/>
      <c r="M45" s="92"/>
      <c r="N45" s="92"/>
      <c r="P45" s="123"/>
    </row>
    <row r="46" spans="1:23">
      <c r="A46" s="122"/>
      <c r="B46" s="121"/>
      <c r="C46" s="120"/>
      <c r="D46" s="119" t="s">
        <v>41</v>
      </c>
      <c r="E46" s="118"/>
      <c r="F46" s="117"/>
      <c r="G46" s="116"/>
      <c r="H46" s="115"/>
      <c r="I46" s="115"/>
      <c r="J46" s="114"/>
      <c r="K46" s="113"/>
      <c r="L46" s="113"/>
      <c r="M46" s="92"/>
      <c r="N46" s="92"/>
      <c r="O46" s="92"/>
      <c r="P46" s="91"/>
    </row>
    <row r="47" spans="1:23">
      <c r="A47" s="102"/>
      <c r="B47" s="92"/>
      <c r="C47" s="92"/>
      <c r="D47" s="92"/>
      <c r="E47" s="107"/>
      <c r="F47" s="107"/>
      <c r="G47" s="107"/>
      <c r="H47" s="107"/>
      <c r="I47" s="107"/>
      <c r="J47" s="107"/>
      <c r="K47" s="107"/>
      <c r="L47" s="107"/>
      <c r="M47" s="92"/>
      <c r="N47" s="92"/>
      <c r="O47" s="92"/>
      <c r="P47" s="91"/>
    </row>
    <row r="48" spans="1:23" s="108" customFormat="1" ht="23.25" customHeight="1">
      <c r="A48" s="106" t="s">
        <v>42</v>
      </c>
      <c r="B48" s="95"/>
      <c r="C48" s="95"/>
      <c r="D48" s="95"/>
      <c r="E48" s="112">
        <f>SUM(E32:E44)</f>
        <v>11123139.426302643</v>
      </c>
      <c r="F48" s="111"/>
      <c r="G48" s="110"/>
      <c r="H48" s="112">
        <f>SUM(H32:H44)</f>
        <v>11212972.184677655</v>
      </c>
      <c r="I48" s="111"/>
      <c r="J48" s="110"/>
      <c r="K48" s="178">
        <f t="shared" ref="K48" si="3">SUM(K32:K44)</f>
        <v>11123.139426302643</v>
      </c>
      <c r="L48" s="450">
        <f>SUM(L32:L46)</f>
        <v>11212972.184677655</v>
      </c>
      <c r="M48" s="95"/>
      <c r="N48" s="95"/>
      <c r="O48" s="95"/>
      <c r="P48" s="94"/>
      <c r="W48" s="109"/>
    </row>
    <row r="49" spans="1:16">
      <c r="A49" s="102"/>
      <c r="B49" s="92"/>
      <c r="C49" s="92"/>
      <c r="D49" s="92"/>
      <c r="E49" s="107"/>
      <c r="F49" s="107"/>
      <c r="G49" s="107"/>
      <c r="H49" s="107"/>
      <c r="I49" s="107"/>
      <c r="J49" s="107"/>
      <c r="K49" s="107"/>
      <c r="L49" s="324"/>
      <c r="M49" s="92"/>
      <c r="N49" s="92"/>
      <c r="O49" s="92"/>
      <c r="P49" s="91"/>
    </row>
    <row r="50" spans="1:16" ht="23.25" customHeight="1">
      <c r="A50" s="106" t="s">
        <v>43</v>
      </c>
      <c r="B50" s="92"/>
      <c r="C50" s="92"/>
      <c r="D50" s="92"/>
      <c r="E50" s="107"/>
      <c r="F50" s="107"/>
      <c r="G50" s="107"/>
      <c r="H50" s="107"/>
      <c r="I50" s="107"/>
      <c r="J50" s="107"/>
      <c r="K50" s="107"/>
      <c r="M50" s="179"/>
      <c r="N50" s="92"/>
      <c r="O50" s="92"/>
      <c r="P50" s="91"/>
    </row>
    <row r="51" spans="1:16">
      <c r="A51" s="102"/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1"/>
    </row>
    <row r="52" spans="1:16" ht="15">
      <c r="A52" s="106" t="s">
        <v>44</v>
      </c>
      <c r="B52" s="95"/>
      <c r="C52" s="95"/>
      <c r="D52" s="95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1"/>
    </row>
    <row r="53" spans="1:16" s="84" customFormat="1" ht="27.75" customHeight="1">
      <c r="A53" s="86" t="s">
        <v>45</v>
      </c>
      <c r="B53" s="85"/>
      <c r="C53" s="85"/>
      <c r="D53" s="85"/>
      <c r="E53" s="85"/>
      <c r="F53" s="85"/>
      <c r="G53" s="85"/>
      <c r="H53" s="85"/>
      <c r="I53" s="85"/>
      <c r="J53" s="85"/>
      <c r="K53" s="544" t="s">
        <v>46</v>
      </c>
      <c r="L53" s="545"/>
      <c r="M53" s="85"/>
      <c r="N53" s="85"/>
      <c r="O53" s="85"/>
      <c r="P53" s="105"/>
    </row>
    <row r="54" spans="1:16" s="84" customFormat="1" ht="27.75" customHeight="1">
      <c r="A54" s="86" t="s">
        <v>47</v>
      </c>
      <c r="B54" s="85"/>
      <c r="C54" s="85"/>
      <c r="D54" s="85"/>
      <c r="E54" s="85"/>
      <c r="F54" s="85"/>
      <c r="G54" s="85"/>
      <c r="H54" s="85"/>
      <c r="I54" s="85"/>
      <c r="J54" s="85"/>
      <c r="K54" s="544" t="s">
        <v>46</v>
      </c>
      <c r="L54" s="545"/>
      <c r="M54" s="85"/>
      <c r="N54" s="85"/>
      <c r="O54" s="85"/>
      <c r="P54" s="105"/>
    </row>
    <row r="55" spans="1:16" s="84" customFormat="1" ht="27.75" customHeight="1">
      <c r="A55" s="86" t="s">
        <v>48</v>
      </c>
      <c r="B55" s="85"/>
      <c r="C55" s="85"/>
      <c r="D55" s="85"/>
      <c r="E55" s="85"/>
      <c r="F55" s="85"/>
      <c r="G55" s="85"/>
      <c r="H55" s="85"/>
      <c r="I55" s="85"/>
      <c r="J55" s="85"/>
      <c r="K55" s="546" t="s">
        <v>49</v>
      </c>
      <c r="L55" s="545"/>
      <c r="M55" s="85"/>
      <c r="N55" s="85"/>
      <c r="O55" s="85"/>
      <c r="P55" s="105"/>
    </row>
    <row r="56" spans="1:16">
      <c r="A56" s="102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1"/>
    </row>
    <row r="57" spans="1:16">
      <c r="A57" s="10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1"/>
    </row>
    <row r="58" spans="1:16" s="84" customFormat="1" ht="27.75" customHeight="1">
      <c r="A58" s="86" t="s">
        <v>50</v>
      </c>
      <c r="B58" s="85"/>
      <c r="C58" s="85"/>
      <c r="D58" s="92"/>
      <c r="E58" s="85"/>
      <c r="F58" s="85"/>
      <c r="G58" s="85"/>
      <c r="H58" s="85"/>
      <c r="I58" s="85"/>
      <c r="J58" s="85"/>
      <c r="K58" s="537"/>
      <c r="L58" s="538"/>
      <c r="M58" s="85"/>
      <c r="N58" s="85"/>
      <c r="O58" s="85"/>
      <c r="P58" s="105"/>
    </row>
    <row r="59" spans="1:16" s="84" customFormat="1" ht="27.75" customHeight="1">
      <c r="A59" s="86" t="s">
        <v>45</v>
      </c>
      <c r="B59" s="85"/>
      <c r="C59" s="85"/>
      <c r="D59" s="85"/>
      <c r="E59" s="85"/>
      <c r="F59" s="85"/>
      <c r="G59" s="85"/>
      <c r="H59" s="85"/>
      <c r="I59" s="85"/>
      <c r="J59" s="85"/>
      <c r="K59" s="537"/>
      <c r="L59" s="538"/>
      <c r="M59" s="85"/>
      <c r="N59" s="85"/>
      <c r="O59" s="85"/>
      <c r="P59" s="105"/>
    </row>
    <row r="60" spans="1:16" s="84" customFormat="1" ht="27.75" customHeight="1">
      <c r="A60" s="86" t="s">
        <v>48</v>
      </c>
      <c r="B60" s="85"/>
      <c r="C60" s="85"/>
      <c r="D60" s="85"/>
      <c r="E60" s="85"/>
      <c r="F60" s="85"/>
      <c r="G60" s="85"/>
      <c r="H60" s="85"/>
      <c r="I60" s="85"/>
      <c r="J60" s="85"/>
      <c r="K60" s="547"/>
      <c r="L60" s="538"/>
      <c r="M60" s="85"/>
      <c r="N60" s="85"/>
      <c r="O60" s="85"/>
      <c r="P60" s="105"/>
    </row>
    <row r="61" spans="1:16">
      <c r="A61" s="10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1"/>
    </row>
    <row r="62" spans="1:16">
      <c r="A62" s="10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1"/>
    </row>
    <row r="63" spans="1:16" ht="15">
      <c r="A63" s="104" t="s">
        <v>51</v>
      </c>
      <c r="B63" s="103"/>
      <c r="C63" s="103"/>
      <c r="D63" s="103"/>
      <c r="E63" s="103"/>
      <c r="F63" s="103"/>
      <c r="G63" s="103"/>
      <c r="H63" s="103"/>
      <c r="I63" s="95"/>
      <c r="J63" s="92"/>
      <c r="K63" s="92"/>
      <c r="L63" s="92"/>
      <c r="M63" s="92"/>
      <c r="N63" s="92"/>
      <c r="O63" s="92"/>
      <c r="P63" s="91"/>
    </row>
    <row r="64" spans="1:16">
      <c r="A64" s="10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1"/>
    </row>
    <row r="65" spans="1:16" ht="13.8" thickBot="1">
      <c r="A65" s="101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99"/>
    </row>
    <row r="66" spans="1:16" ht="15">
      <c r="A66" s="98" t="s">
        <v>52</v>
      </c>
      <c r="B66" s="97"/>
      <c r="C66" s="97"/>
      <c r="D66" s="97"/>
      <c r="E66" s="97"/>
      <c r="F66" s="97"/>
      <c r="G66" s="96"/>
      <c r="H66" s="96"/>
      <c r="I66" s="95"/>
      <c r="J66" s="95"/>
      <c r="K66" s="95"/>
      <c r="L66" s="95"/>
      <c r="M66" s="95"/>
      <c r="N66" s="95"/>
      <c r="O66" s="95"/>
      <c r="P66" s="94"/>
    </row>
    <row r="67" spans="1:16" ht="13.8">
      <c r="A67" s="93"/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1"/>
    </row>
    <row r="68" spans="1:16" ht="15">
      <c r="A68" s="87"/>
      <c r="B68" s="84"/>
      <c r="C68" s="84"/>
      <c r="D68" s="84"/>
      <c r="E68" s="84"/>
      <c r="F68" s="84"/>
      <c r="G68" s="85"/>
      <c r="H68" s="85"/>
      <c r="I68" s="548" t="s">
        <v>53</v>
      </c>
      <c r="J68" s="548"/>
      <c r="K68" s="90" t="s">
        <v>54</v>
      </c>
      <c r="L68" s="89" t="s">
        <v>55</v>
      </c>
      <c r="M68" s="84"/>
      <c r="N68" s="84"/>
      <c r="O68" s="84"/>
      <c r="P68" s="83"/>
    </row>
    <row r="69" spans="1:16" ht="21.75" customHeight="1">
      <c r="A69" s="87" t="s">
        <v>56</v>
      </c>
      <c r="B69" s="84"/>
      <c r="C69" s="84"/>
      <c r="D69" s="84"/>
      <c r="E69" s="84"/>
      <c r="F69" s="84"/>
      <c r="G69" s="84"/>
      <c r="H69" s="84"/>
      <c r="I69" s="549"/>
      <c r="J69" s="550"/>
      <c r="K69" s="88"/>
      <c r="L69" s="88"/>
      <c r="M69" s="84"/>
      <c r="N69" s="84"/>
      <c r="O69" s="84"/>
      <c r="P69" s="83"/>
    </row>
    <row r="70" spans="1:16" ht="15">
      <c r="A70" s="87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3"/>
    </row>
    <row r="71" spans="1:16" ht="15">
      <c r="A71" s="87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3"/>
    </row>
    <row r="72" spans="1:16" ht="27.75" customHeight="1">
      <c r="A72" s="86" t="s">
        <v>57</v>
      </c>
      <c r="B72" s="85"/>
      <c r="C72" s="85"/>
      <c r="D72" s="85"/>
      <c r="E72" s="84"/>
      <c r="F72" s="84"/>
      <c r="G72" s="84"/>
      <c r="H72" s="84"/>
      <c r="I72" s="84"/>
      <c r="J72" s="84"/>
      <c r="K72" s="537"/>
      <c r="L72" s="538"/>
      <c r="M72" s="84"/>
      <c r="N72" s="84"/>
      <c r="O72" s="84"/>
      <c r="P72" s="83"/>
    </row>
    <row r="73" spans="1:16" ht="27.75" customHeight="1">
      <c r="A73" s="86" t="s">
        <v>45</v>
      </c>
      <c r="B73" s="85"/>
      <c r="C73" s="85"/>
      <c r="D73" s="85"/>
      <c r="E73" s="84"/>
      <c r="F73" s="84"/>
      <c r="G73" s="84"/>
      <c r="H73" s="84"/>
      <c r="I73" s="84"/>
      <c r="J73" s="84"/>
      <c r="K73" s="537"/>
      <c r="L73" s="538"/>
      <c r="M73" s="84"/>
      <c r="N73" s="84"/>
      <c r="O73" s="84"/>
      <c r="P73" s="83"/>
    </row>
    <row r="74" spans="1:16" ht="27.75" customHeight="1">
      <c r="A74" s="86" t="s">
        <v>48</v>
      </c>
      <c r="B74" s="85"/>
      <c r="C74" s="85"/>
      <c r="D74" s="85"/>
      <c r="E74" s="84"/>
      <c r="F74" s="84"/>
      <c r="G74" s="84"/>
      <c r="H74" s="84"/>
      <c r="I74" s="84"/>
      <c r="J74" s="84"/>
      <c r="K74" s="537"/>
      <c r="L74" s="538"/>
      <c r="M74" s="84"/>
      <c r="N74" s="84"/>
      <c r="O74" s="84"/>
      <c r="P74" s="83"/>
    </row>
    <row r="75" spans="1:16" ht="15.6" thickBot="1">
      <c r="A75" s="82"/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0"/>
    </row>
  </sheetData>
  <sheetProtection selectLockedCells="1"/>
  <dataConsolidate/>
  <mergeCells count="13">
    <mergeCell ref="K74:L74"/>
    <mergeCell ref="K59:L59"/>
    <mergeCell ref="K60:L60"/>
    <mergeCell ref="I68:J68"/>
    <mergeCell ref="I69:J69"/>
    <mergeCell ref="K72:L72"/>
    <mergeCell ref="K73:L73"/>
    <mergeCell ref="K58:L58"/>
    <mergeCell ref="A5:P5"/>
    <mergeCell ref="A7:P7"/>
    <mergeCell ref="K53:L53"/>
    <mergeCell ref="K54:L54"/>
    <mergeCell ref="K55:L55"/>
  </mergeCells>
  <pageMargins left="0.15748031496062992" right="0.15748031496062992" top="0.98425196850393704" bottom="0.98425196850393704" header="0.51181102362204722" footer="0.51181102362204722"/>
  <pageSetup paperSize="9" scale="58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7" tint="0.79998168889431442"/>
  </sheetPr>
  <dimension ref="B1:AC44"/>
  <sheetViews>
    <sheetView zoomScale="80" zoomScaleNormal="80" workbookViewId="0">
      <selection activeCell="K40" sqref="K40"/>
    </sheetView>
  </sheetViews>
  <sheetFormatPr baseColWidth="10" defaultColWidth="8.5546875" defaultRowHeight="14.4"/>
  <cols>
    <col min="1" max="1" width="2.44140625" style="1" customWidth="1"/>
    <col min="2" max="2" width="8.5546875" style="1"/>
    <col min="3" max="3" width="11.88671875" style="1" customWidth="1"/>
    <col min="4" max="4" width="39" style="2" customWidth="1"/>
    <col min="5" max="5" width="8.5546875" style="2"/>
    <col min="6" max="6" width="15.88671875" style="2" bestFit="1" customWidth="1"/>
    <col min="7" max="7" width="13.88671875" style="2" bestFit="1" customWidth="1"/>
    <col min="8" max="8" width="13.88671875" style="2" customWidth="1"/>
    <col min="9" max="9" width="13.5546875" style="2" customWidth="1"/>
    <col min="10" max="10" width="15.109375" style="2" bestFit="1" customWidth="1"/>
    <col min="11" max="11" width="7.44140625" style="2" bestFit="1" customWidth="1"/>
    <col min="12" max="12" width="8.6640625" style="2" bestFit="1" customWidth="1"/>
    <col min="13" max="13" width="12.33203125" style="2" bestFit="1" customWidth="1"/>
    <col min="14" max="14" width="13.109375" style="2" bestFit="1" customWidth="1"/>
    <col min="15" max="15" width="11.6640625" style="2" bestFit="1" customWidth="1"/>
    <col min="16" max="16" width="17" style="2" bestFit="1" customWidth="1"/>
    <col min="17" max="17" width="29.44140625" style="1" bestFit="1" customWidth="1"/>
    <col min="18" max="18" width="12.88671875" style="1" bestFit="1" customWidth="1"/>
    <col min="19" max="19" width="15.33203125" style="1" bestFit="1" customWidth="1"/>
    <col min="20" max="20" width="12" style="1" bestFit="1" customWidth="1"/>
    <col min="21" max="16384" width="8.5546875" style="1"/>
  </cols>
  <sheetData>
    <row r="1" spans="2:20">
      <c r="F1" s="328"/>
      <c r="G1" s="328"/>
      <c r="H1" s="479"/>
      <c r="I1" s="479"/>
      <c r="P1" s="328"/>
      <c r="Q1" s="328"/>
    </row>
    <row r="2" spans="2:20">
      <c r="F2" s="328"/>
      <c r="G2" s="328"/>
      <c r="H2" s="328"/>
      <c r="I2" s="328"/>
    </row>
    <row r="3" spans="2:20" ht="19.8">
      <c r="E3" s="594" t="s">
        <v>362</v>
      </c>
      <c r="F3" s="569"/>
      <c r="G3" s="569"/>
      <c r="H3" s="569"/>
      <c r="I3" s="569"/>
      <c r="J3" s="569"/>
      <c r="K3" s="60"/>
      <c r="L3" s="60"/>
    </row>
    <row r="4" spans="2:20" ht="19.8">
      <c r="E4" s="569"/>
      <c r="F4" s="569"/>
      <c r="G4" s="569"/>
      <c r="H4" s="569"/>
      <c r="I4" s="569"/>
      <c r="J4" s="569"/>
      <c r="K4" s="60"/>
      <c r="L4" s="60"/>
    </row>
    <row r="5" spans="2:20">
      <c r="F5" s="328"/>
    </row>
    <row r="6" spans="2:20">
      <c r="B6" s="261" t="s">
        <v>363</v>
      </c>
      <c r="C6" s="261" t="s">
        <v>364</v>
      </c>
      <c r="D6" s="262" t="s">
        <v>365</v>
      </c>
      <c r="E6" s="262" t="s">
        <v>366</v>
      </c>
      <c r="F6" s="263" t="s">
        <v>272</v>
      </c>
      <c r="G6" s="263" t="s">
        <v>323</v>
      </c>
      <c r="H6" s="263" t="s">
        <v>278</v>
      </c>
      <c r="I6" s="263" t="s">
        <v>367</v>
      </c>
      <c r="J6" s="264" t="s">
        <v>198</v>
      </c>
      <c r="K6" s="264" t="s">
        <v>276</v>
      </c>
      <c r="L6" s="264" t="s">
        <v>368</v>
      </c>
      <c r="M6" s="264" t="s">
        <v>369</v>
      </c>
      <c r="N6" s="264" t="s">
        <v>370</v>
      </c>
      <c r="O6" s="264" t="s">
        <v>192</v>
      </c>
      <c r="P6" s="264" t="s">
        <v>280</v>
      </c>
      <c r="Q6" s="264" t="s">
        <v>328</v>
      </c>
      <c r="R6" s="264" t="s">
        <v>371</v>
      </c>
      <c r="S6" s="265" t="s">
        <v>200</v>
      </c>
    </row>
    <row r="7" spans="2:20" ht="26.1" customHeight="1">
      <c r="B7" s="595" t="s">
        <v>417</v>
      </c>
      <c r="C7" s="266" t="s">
        <v>236</v>
      </c>
      <c r="D7" s="267" t="s">
        <v>372</v>
      </c>
      <c r="E7" s="268" t="s">
        <v>373</v>
      </c>
      <c r="F7" s="269">
        <v>137548.18</v>
      </c>
      <c r="G7" s="269">
        <v>2.5</v>
      </c>
      <c r="H7" s="269"/>
      <c r="I7" s="270" t="s">
        <v>274</v>
      </c>
      <c r="J7" s="271">
        <f>F7/G7*1000</f>
        <v>55019272</v>
      </c>
      <c r="K7" s="269">
        <v>4.7</v>
      </c>
      <c r="L7" s="271">
        <f>F7/K7</f>
        <v>29265.570212765953</v>
      </c>
      <c r="M7" s="269">
        <f>J7*0.012/1000</f>
        <v>660.23126400000001</v>
      </c>
      <c r="N7" s="269">
        <f>J7*0.039/1000</f>
        <v>2145.751608</v>
      </c>
      <c r="O7" s="269">
        <f>F7*0.1%</f>
        <v>137.54818</v>
      </c>
      <c r="P7" s="269">
        <f>F7+M7+N7+O7</f>
        <v>140491.711052</v>
      </c>
      <c r="Q7" s="269">
        <f>F7+M7+N7</f>
        <v>140354.16287199999</v>
      </c>
      <c r="R7" s="269">
        <v>1420</v>
      </c>
      <c r="S7" s="272">
        <f>F7/R7</f>
        <v>96.864915492957735</v>
      </c>
      <c r="T7" s="22"/>
    </row>
    <row r="8" spans="2:20" ht="26.1" customHeight="1">
      <c r="B8" s="596"/>
      <c r="C8" s="266" t="s">
        <v>374</v>
      </c>
      <c r="D8" s="267" t="s">
        <v>372</v>
      </c>
      <c r="E8" s="268" t="s">
        <v>373</v>
      </c>
      <c r="F8" s="269">
        <v>19996.97</v>
      </c>
      <c r="G8" s="269">
        <v>2.5</v>
      </c>
      <c r="H8" s="269"/>
      <c r="I8" s="270" t="s">
        <v>274</v>
      </c>
      <c r="J8" s="271">
        <f>F8/G8*1000</f>
        <v>7998788</v>
      </c>
      <c r="K8" s="269">
        <v>4.7</v>
      </c>
      <c r="L8" s="271">
        <f>F8/K8</f>
        <v>4254.6744680851061</v>
      </c>
      <c r="M8" s="269">
        <f>J8*0.012/1000</f>
        <v>95.985455999999999</v>
      </c>
      <c r="N8" s="269">
        <f>J8*0.039/1000</f>
        <v>311.95273200000003</v>
      </c>
      <c r="O8" s="269">
        <f>F8*0.1%</f>
        <v>19.996970000000001</v>
      </c>
      <c r="P8" s="269">
        <f>F8+M8+N8+O8</f>
        <v>20424.905158000001</v>
      </c>
      <c r="Q8" s="269">
        <f>F8+M8+N8</f>
        <v>20404.908188000001</v>
      </c>
      <c r="R8" s="269">
        <v>1420</v>
      </c>
      <c r="S8" s="272">
        <f>F8/R8</f>
        <v>14.08237323943662</v>
      </c>
      <c r="T8" s="22"/>
    </row>
    <row r="9" spans="2:20" ht="26.1" customHeight="1">
      <c r="B9" s="596"/>
      <c r="C9" s="266" t="s">
        <v>236</v>
      </c>
      <c r="D9" s="267" t="s">
        <v>372</v>
      </c>
      <c r="E9" s="268" t="s">
        <v>373</v>
      </c>
      <c r="F9" s="269">
        <v>55206.77</v>
      </c>
      <c r="G9" s="269">
        <v>4.5</v>
      </c>
      <c r="H9" s="269">
        <v>25</v>
      </c>
      <c r="I9" s="270" t="s">
        <v>278</v>
      </c>
      <c r="J9" s="271">
        <f>F9/G9*1000</f>
        <v>12268171.11111111</v>
      </c>
      <c r="K9" s="269">
        <v>4.7</v>
      </c>
      <c r="L9" s="271">
        <f>F9/K9</f>
        <v>11746.121276595744</v>
      </c>
      <c r="M9" s="269">
        <f t="shared" ref="M9" si="0">J9*0.012/1000</f>
        <v>147.2180533333333</v>
      </c>
      <c r="N9" s="269">
        <f>J9*0.039/1000</f>
        <v>478.45867333333331</v>
      </c>
      <c r="O9" s="269">
        <f>F9*0.1%</f>
        <v>55.206769999999999</v>
      </c>
      <c r="P9" s="269">
        <f>F9+M9+N9+O9</f>
        <v>55887.653496666659</v>
      </c>
      <c r="Q9" s="269">
        <f>F9+M9+N9</f>
        <v>55832.446726666662</v>
      </c>
      <c r="R9" s="269">
        <v>1420</v>
      </c>
      <c r="S9" s="272">
        <f>F9/R9</f>
        <v>38.878007042253522</v>
      </c>
    </row>
    <row r="10" spans="2:20" ht="26.1" customHeight="1">
      <c r="B10" s="596"/>
      <c r="C10" s="266" t="s">
        <v>374</v>
      </c>
      <c r="D10" s="267" t="s">
        <v>372</v>
      </c>
      <c r="E10" s="268" t="s">
        <v>373</v>
      </c>
      <c r="F10" s="269">
        <v>7369.26</v>
      </c>
      <c r="G10" s="269">
        <v>4.5</v>
      </c>
      <c r="H10" s="269">
        <v>25</v>
      </c>
      <c r="I10" s="270" t="s">
        <v>278</v>
      </c>
      <c r="J10" s="271">
        <f>F10/G10*1000</f>
        <v>1637613.3333333335</v>
      </c>
      <c r="K10" s="269">
        <v>4.7</v>
      </c>
      <c r="L10" s="271">
        <f>F10/K10</f>
        <v>1567.9276595744682</v>
      </c>
      <c r="M10" s="269">
        <f>J10*0.012/1000</f>
        <v>19.65136</v>
      </c>
      <c r="N10" s="269">
        <f>J10*0.039/1000</f>
        <v>63.866920000000007</v>
      </c>
      <c r="O10" s="269">
        <f>F10*0.1%</f>
        <v>7.3692600000000006</v>
      </c>
      <c r="P10" s="269">
        <f>F10+M10+N10+O10</f>
        <v>7460.1475400000008</v>
      </c>
      <c r="Q10" s="269">
        <f>F10+M10+N10</f>
        <v>7452.7782800000004</v>
      </c>
      <c r="R10" s="269">
        <v>1420</v>
      </c>
      <c r="S10" s="272">
        <f>F10/R10</f>
        <v>5.1896197183098591</v>
      </c>
    </row>
    <row r="11" spans="2:20">
      <c r="B11" s="597"/>
      <c r="C11" s="384" t="s">
        <v>243</v>
      </c>
      <c r="D11" s="385"/>
      <c r="E11" s="386"/>
      <c r="F11" s="387">
        <f>SUM(F7:F10)</f>
        <v>220121.18</v>
      </c>
      <c r="G11" s="388">
        <f>F11/J11*1000</f>
        <v>2.8615467881220478</v>
      </c>
      <c r="H11" s="388">
        <v>25</v>
      </c>
      <c r="I11" s="389"/>
      <c r="J11" s="390">
        <f>SUM(J7:J10)</f>
        <v>76923844.444444433</v>
      </c>
      <c r="K11" s="388"/>
      <c r="L11" s="390">
        <f>SUM(L7:L10)</f>
        <v>46834.293617021271</v>
      </c>
      <c r="M11" s="388">
        <f t="shared" ref="M11:P11" si="1">SUM(M7:M10)</f>
        <v>923.08613333333324</v>
      </c>
      <c r="N11" s="388">
        <f t="shared" si="1"/>
        <v>3000.0299333333337</v>
      </c>
      <c r="O11" s="388">
        <f t="shared" si="1"/>
        <v>220.12118000000001</v>
      </c>
      <c r="P11" s="388">
        <f t="shared" si="1"/>
        <v>224264.41724666668</v>
      </c>
      <c r="Q11" s="388">
        <f>SUM(Q7:Q10)</f>
        <v>224044.29606666663</v>
      </c>
      <c r="R11" s="388">
        <f>F11/S11</f>
        <v>1419.9999999999998</v>
      </c>
      <c r="S11" s="391">
        <f>SUM(S7:S10)</f>
        <v>155.01491549295775</v>
      </c>
    </row>
    <row r="12" spans="2:20" ht="26.4" customHeight="1">
      <c r="B12" s="595" t="s">
        <v>418</v>
      </c>
      <c r="C12" s="266" t="s">
        <v>236</v>
      </c>
      <c r="D12" s="267" t="s">
        <v>372</v>
      </c>
      <c r="E12" s="268" t="s">
        <v>373</v>
      </c>
      <c r="F12" s="269">
        <v>146454.92000000001</v>
      </c>
      <c r="G12" s="269">
        <v>2.5</v>
      </c>
      <c r="H12" s="269"/>
      <c r="I12" s="270" t="s">
        <v>274</v>
      </c>
      <c r="J12" s="271">
        <f>F12/G12*1000</f>
        <v>58581968.000000007</v>
      </c>
      <c r="K12" s="269">
        <v>8.57</v>
      </c>
      <c r="L12" s="271">
        <f>F12/K12</f>
        <v>17089.255542590432</v>
      </c>
      <c r="M12" s="269">
        <f>J12*0.012/1000</f>
        <v>702.98361600000021</v>
      </c>
      <c r="N12" s="269">
        <f>J12*0.039/1000</f>
        <v>2284.6967520000003</v>
      </c>
      <c r="O12" s="269">
        <f>F12*0.1%</f>
        <v>146.45492000000002</v>
      </c>
      <c r="P12" s="269">
        <f>F12+M12+N12+O12</f>
        <v>149589.055288</v>
      </c>
      <c r="Q12" s="269">
        <f>F12+M12+N12</f>
        <v>149442.60036800001</v>
      </c>
      <c r="R12" s="269">
        <v>1695</v>
      </c>
      <c r="S12" s="272">
        <f>F12/R12</f>
        <v>86.404082595870207</v>
      </c>
    </row>
    <row r="13" spans="2:20" ht="26.4" customHeight="1">
      <c r="B13" s="596"/>
      <c r="C13" s="266" t="s">
        <v>374</v>
      </c>
      <c r="D13" s="267" t="s">
        <v>372</v>
      </c>
      <c r="E13" s="268" t="s">
        <v>373</v>
      </c>
      <c r="F13" s="269">
        <v>14926.83</v>
      </c>
      <c r="G13" s="269">
        <v>2.5</v>
      </c>
      <c r="H13" s="269"/>
      <c r="I13" s="270" t="s">
        <v>274</v>
      </c>
      <c r="J13" s="271">
        <f>F13/G13*1000</f>
        <v>5970732</v>
      </c>
      <c r="K13" s="269">
        <v>8.57</v>
      </c>
      <c r="L13" s="271">
        <f>F13/K13</f>
        <v>1741.7537922987165</v>
      </c>
      <c r="M13" s="269">
        <f>J13*0.012/1000</f>
        <v>71.648784000000006</v>
      </c>
      <c r="N13" s="269">
        <f>J13*0.039/1000</f>
        <v>232.85854800000001</v>
      </c>
      <c r="O13" s="269">
        <f>F13*0.1%</f>
        <v>14.926830000000001</v>
      </c>
      <c r="P13" s="269">
        <f>F13+M13+N13+O13</f>
        <v>15246.264162000001</v>
      </c>
      <c r="Q13" s="269">
        <f>F13+M13+N13</f>
        <v>15231.337332000001</v>
      </c>
      <c r="R13" s="269">
        <v>1695</v>
      </c>
      <c r="S13" s="272">
        <f>F13/R13</f>
        <v>8.8063893805309732</v>
      </c>
    </row>
    <row r="14" spans="2:20" ht="26.4" customHeight="1">
      <c r="B14" s="596"/>
      <c r="C14" s="266" t="s">
        <v>236</v>
      </c>
      <c r="D14" s="267" t="s">
        <v>372</v>
      </c>
      <c r="E14" s="268" t="s">
        <v>373</v>
      </c>
      <c r="F14" s="269">
        <v>49832.55</v>
      </c>
      <c r="G14" s="269">
        <v>4.5</v>
      </c>
      <c r="H14" s="269">
        <v>25</v>
      </c>
      <c r="I14" s="270" t="s">
        <v>278</v>
      </c>
      <c r="J14" s="271">
        <f>F14/G14*1000</f>
        <v>11073900.000000002</v>
      </c>
      <c r="K14" s="269">
        <v>8.57</v>
      </c>
      <c r="L14" s="271">
        <f>F14/K14</f>
        <v>5814.7666277712951</v>
      </c>
      <c r="M14" s="269">
        <f>J14*0.012/1000</f>
        <v>132.88680000000002</v>
      </c>
      <c r="N14" s="269">
        <f>J14*0.039/1000</f>
        <v>431.88210000000009</v>
      </c>
      <c r="O14" s="269">
        <f>F14*0.1%</f>
        <v>49.832550000000005</v>
      </c>
      <c r="P14" s="269">
        <f>F14+M14+N14+O14</f>
        <v>50447.151450000005</v>
      </c>
      <c r="Q14" s="269">
        <f>F14+M14+N14</f>
        <v>50397.318900000006</v>
      </c>
      <c r="R14" s="269">
        <v>1695</v>
      </c>
      <c r="S14" s="272">
        <f>F14/R14</f>
        <v>29.399734513274339</v>
      </c>
    </row>
    <row r="15" spans="2:20" ht="26.4" customHeight="1">
      <c r="B15" s="596"/>
      <c r="C15" s="266" t="s">
        <v>374</v>
      </c>
      <c r="D15" s="267" t="s">
        <v>372</v>
      </c>
      <c r="E15" s="268" t="s">
        <v>373</v>
      </c>
      <c r="F15" s="269">
        <v>5966.1</v>
      </c>
      <c r="G15" s="269">
        <v>4.5</v>
      </c>
      <c r="H15" s="269">
        <v>25</v>
      </c>
      <c r="I15" s="270" t="s">
        <v>278</v>
      </c>
      <c r="J15" s="271">
        <f>F15/G15*1000</f>
        <v>1325800.0000000002</v>
      </c>
      <c r="K15" s="269">
        <v>8.57</v>
      </c>
      <c r="L15" s="271">
        <f>F15/K15</f>
        <v>696.16102683780628</v>
      </c>
      <c r="M15" s="269">
        <f>J15*0.012/1000</f>
        <v>15.909600000000005</v>
      </c>
      <c r="N15" s="269">
        <f>J15*0.039/1000</f>
        <v>51.70620000000001</v>
      </c>
      <c r="O15" s="269">
        <f>F15*0.1%</f>
        <v>5.9661000000000008</v>
      </c>
      <c r="P15" s="269">
        <f>F15+M15+N15+O15</f>
        <v>6039.6818999999996</v>
      </c>
      <c r="Q15" s="269">
        <f>F15+M15+N15</f>
        <v>6033.7157999999999</v>
      </c>
      <c r="R15" s="269">
        <v>1695</v>
      </c>
      <c r="S15" s="272">
        <f>F15/R15</f>
        <v>3.5198230088495577</v>
      </c>
    </row>
    <row r="16" spans="2:20" s="382" customFormat="1" ht="12.6" customHeight="1">
      <c r="B16" s="597"/>
      <c r="C16" s="384" t="s">
        <v>243</v>
      </c>
      <c r="D16" s="385"/>
      <c r="E16" s="386"/>
      <c r="F16" s="387">
        <f>SUM(F12:F15)</f>
        <v>217180.4</v>
      </c>
      <c r="G16" s="388">
        <f>F16/J16*1000</f>
        <v>2.8222693509234276</v>
      </c>
      <c r="H16" s="388">
        <v>25</v>
      </c>
      <c r="I16" s="389"/>
      <c r="J16" s="390">
        <f>SUM(J12:J15)</f>
        <v>76952400.000000015</v>
      </c>
      <c r="K16" s="388"/>
      <c r="L16" s="390">
        <f t="shared" ref="L16:Q16" si="2">SUM(L12:L15)</f>
        <v>25341.936989498252</v>
      </c>
      <c r="M16" s="388">
        <f t="shared" si="2"/>
        <v>923.42880000000014</v>
      </c>
      <c r="N16" s="388">
        <f t="shared" si="2"/>
        <v>3001.1436000000008</v>
      </c>
      <c r="O16" s="388">
        <f t="shared" si="2"/>
        <v>217.18040000000002</v>
      </c>
      <c r="P16" s="388">
        <f t="shared" si="2"/>
        <v>221322.15280000001</v>
      </c>
      <c r="Q16" s="388">
        <f t="shared" si="2"/>
        <v>221104.97240000003</v>
      </c>
      <c r="R16" s="388">
        <f>F16/S16</f>
        <v>1694.9999999999998</v>
      </c>
      <c r="S16" s="391">
        <f>SUM(S12:S15)</f>
        <v>128.13002949852509</v>
      </c>
    </row>
    <row r="17" spans="2:20" ht="26.4" customHeight="1">
      <c r="B17" s="595" t="s">
        <v>419</v>
      </c>
      <c r="C17" s="266" t="s">
        <v>236</v>
      </c>
      <c r="D17" s="267" t="s">
        <v>372</v>
      </c>
      <c r="E17" s="268" t="s">
        <v>373</v>
      </c>
      <c r="F17" s="269">
        <v>50418.81</v>
      </c>
      <c r="G17" s="269">
        <v>2.5</v>
      </c>
      <c r="H17" s="269"/>
      <c r="I17" s="270" t="s">
        <v>274</v>
      </c>
      <c r="J17" s="271">
        <f>F17/G17*1000</f>
        <v>20167523.999999996</v>
      </c>
      <c r="K17" s="269">
        <v>3</v>
      </c>
      <c r="L17" s="271">
        <f>F17/K17</f>
        <v>16806.27</v>
      </c>
      <c r="M17" s="269">
        <f>J17*0.012/1000</f>
        <v>242.01028799999997</v>
      </c>
      <c r="N17" s="269">
        <f t="shared" ref="N17:N20" si="3">J17*0.039/1000</f>
        <v>786.53343599999982</v>
      </c>
      <c r="O17" s="269">
        <f>F17*0.1%</f>
        <v>50.418810000000001</v>
      </c>
      <c r="P17" s="269">
        <f>F17+M17+N17+O17</f>
        <v>51497.772533999996</v>
      </c>
      <c r="Q17" s="269">
        <f>F17+M17+N17</f>
        <v>51447.353723999993</v>
      </c>
      <c r="R17" s="269">
        <v>1185</v>
      </c>
      <c r="S17" s="272">
        <f>F17/R17</f>
        <v>42.547518987341768</v>
      </c>
    </row>
    <row r="18" spans="2:20" ht="26.4" customHeight="1">
      <c r="B18" s="596"/>
      <c r="C18" s="266" t="s">
        <v>374</v>
      </c>
      <c r="D18" s="267" t="s">
        <v>372</v>
      </c>
      <c r="E18" s="268" t="s">
        <v>373</v>
      </c>
      <c r="F18" s="269">
        <v>4722.32</v>
      </c>
      <c r="G18" s="269">
        <v>2.5</v>
      </c>
      <c r="H18" s="269"/>
      <c r="I18" s="270" t="s">
        <v>274</v>
      </c>
      <c r="J18" s="271">
        <f>F18/G18*1000</f>
        <v>1888928</v>
      </c>
      <c r="K18" s="269">
        <v>3</v>
      </c>
      <c r="L18" s="271">
        <f>F18/K18</f>
        <v>1574.1066666666666</v>
      </c>
      <c r="M18" s="269">
        <f>J18*0.012/1000</f>
        <v>22.667136000000003</v>
      </c>
      <c r="N18" s="269">
        <f t="shared" si="3"/>
        <v>73.668191999999991</v>
      </c>
      <c r="O18" s="269">
        <f>F18*0.1%</f>
        <v>4.7223199999999999</v>
      </c>
      <c r="P18" s="269">
        <f>F18+M18+N18+O18</f>
        <v>4823.3776479999997</v>
      </c>
      <c r="Q18" s="269">
        <f>F18+M18+N18</f>
        <v>4818.6553279999998</v>
      </c>
      <c r="R18" s="269">
        <v>1185</v>
      </c>
      <c r="S18" s="272">
        <f>F18/R18</f>
        <v>3.9850801687763711</v>
      </c>
    </row>
    <row r="19" spans="2:20" ht="26.4" customHeight="1">
      <c r="B19" s="596"/>
      <c r="C19" s="266" t="s">
        <v>236</v>
      </c>
      <c r="D19" s="267" t="s">
        <v>372</v>
      </c>
      <c r="E19" s="268" t="s">
        <v>373</v>
      </c>
      <c r="F19" s="269">
        <v>18214.29</v>
      </c>
      <c r="G19" s="269">
        <v>4.5</v>
      </c>
      <c r="H19" s="269">
        <v>25</v>
      </c>
      <c r="I19" s="270" t="s">
        <v>278</v>
      </c>
      <c r="J19" s="271">
        <f>F19/G19*1000</f>
        <v>4047620.0000000005</v>
      </c>
      <c r="K19" s="269">
        <v>3</v>
      </c>
      <c r="L19" s="271">
        <f>F19/K19</f>
        <v>6071.43</v>
      </c>
      <c r="M19" s="269">
        <f>J19*0.012/1000</f>
        <v>48.57144000000001</v>
      </c>
      <c r="N19" s="269">
        <f t="shared" si="3"/>
        <v>157.85718000000003</v>
      </c>
      <c r="O19" s="269">
        <f>F19*0.1%</f>
        <v>18.214290000000002</v>
      </c>
      <c r="P19" s="269">
        <f>F19+M19+N19+O19</f>
        <v>18438.93291</v>
      </c>
      <c r="Q19" s="269">
        <f>F19+M19+N19</f>
        <v>18420.71862</v>
      </c>
      <c r="R19" s="269">
        <v>1185</v>
      </c>
      <c r="S19" s="272">
        <f>F19/R19</f>
        <v>15.370708860759494</v>
      </c>
    </row>
    <row r="20" spans="2:20" ht="26.4" customHeight="1">
      <c r="B20" s="596"/>
      <c r="C20" s="266" t="s">
        <v>374</v>
      </c>
      <c r="D20" s="267" t="s">
        <v>372</v>
      </c>
      <c r="E20" s="268" t="s">
        <v>373</v>
      </c>
      <c r="F20" s="269">
        <v>1769.75</v>
      </c>
      <c r="G20" s="269">
        <v>4.5</v>
      </c>
      <c r="H20" s="269">
        <v>25</v>
      </c>
      <c r="I20" s="270" t="s">
        <v>278</v>
      </c>
      <c r="J20" s="271">
        <f>F20/G20*1000</f>
        <v>393277.77777777775</v>
      </c>
      <c r="K20" s="269">
        <v>3</v>
      </c>
      <c r="L20" s="271">
        <f>F20/K20</f>
        <v>589.91666666666663</v>
      </c>
      <c r="M20" s="269">
        <f>J20*0.012/1000</f>
        <v>4.7193333333333332</v>
      </c>
      <c r="N20" s="269">
        <f t="shared" si="3"/>
        <v>15.337833333333332</v>
      </c>
      <c r="O20" s="269">
        <f>F20*0.1%</f>
        <v>1.7697499999999999</v>
      </c>
      <c r="P20" s="269">
        <f>F20+M20+N20+O20</f>
        <v>1791.5769166666664</v>
      </c>
      <c r="Q20" s="269">
        <f>F20+M20+N20</f>
        <v>1789.8071666666665</v>
      </c>
      <c r="R20" s="269">
        <v>1185</v>
      </c>
      <c r="S20" s="272">
        <f>F20/R20</f>
        <v>1.4934599156118142</v>
      </c>
    </row>
    <row r="21" spans="2:20" s="382" customFormat="1" ht="12.6" customHeight="1">
      <c r="B21" s="597"/>
      <c r="C21" s="384" t="s">
        <v>243</v>
      </c>
      <c r="D21" s="385"/>
      <c r="E21" s="386"/>
      <c r="F21" s="387">
        <f>SUM(F17:F20)</f>
        <v>75125.17</v>
      </c>
      <c r="G21" s="388">
        <f>F21/J21*1000</f>
        <v>2.8351956188088048</v>
      </c>
      <c r="H21" s="388">
        <v>25</v>
      </c>
      <c r="I21" s="389"/>
      <c r="J21" s="390">
        <f>SUM(J17:J20)</f>
        <v>26497349.777777772</v>
      </c>
      <c r="K21" s="388"/>
      <c r="L21" s="390">
        <f t="shared" ref="L21:Q21" si="4">SUM(L17:L20)</f>
        <v>25041.723333333335</v>
      </c>
      <c r="M21" s="388">
        <f t="shared" si="4"/>
        <v>317.96819733333331</v>
      </c>
      <c r="N21" s="388">
        <f t="shared" si="4"/>
        <v>1033.396641333333</v>
      </c>
      <c r="O21" s="388">
        <f t="shared" si="4"/>
        <v>75.125170000000011</v>
      </c>
      <c r="P21" s="388">
        <f t="shared" si="4"/>
        <v>76551.660008666673</v>
      </c>
      <c r="Q21" s="388">
        <f t="shared" si="4"/>
        <v>76476.534838666659</v>
      </c>
      <c r="R21" s="388">
        <f>F21/S21</f>
        <v>1185</v>
      </c>
      <c r="S21" s="391">
        <f>SUM(S17:S20)</f>
        <v>63.396767932489446</v>
      </c>
    </row>
    <row r="22" spans="2:20" ht="26.4" customHeight="1">
      <c r="B22" s="595" t="s">
        <v>420</v>
      </c>
      <c r="C22" s="266" t="s">
        <v>236</v>
      </c>
      <c r="D22" s="267" t="s">
        <v>372</v>
      </c>
      <c r="E22" s="268" t="s">
        <v>373</v>
      </c>
      <c r="F22" s="269">
        <v>32700.69</v>
      </c>
      <c r="G22" s="305">
        <v>2.5</v>
      </c>
      <c r="H22" s="305"/>
      <c r="I22" s="270" t="s">
        <v>274</v>
      </c>
      <c r="J22" s="306">
        <f>F22/G22*1000</f>
        <v>13080276</v>
      </c>
      <c r="K22" s="305">
        <v>7</v>
      </c>
      <c r="L22" s="306">
        <f>F22/K22</f>
        <v>4671.5271428571423</v>
      </c>
      <c r="M22" s="305">
        <f t="shared" ref="M22:M30" si="5">J22*0.012/1000</f>
        <v>156.963312</v>
      </c>
      <c r="N22" s="305">
        <f t="shared" ref="N22:N30" si="6">J22*0.039/1000</f>
        <v>510.130764</v>
      </c>
      <c r="O22" s="305">
        <f>F22*0.1%</f>
        <v>32.700690000000002</v>
      </c>
      <c r="P22" s="305">
        <f>F22+M22+N22+O22</f>
        <v>33400.484766000001</v>
      </c>
      <c r="Q22" s="305">
        <f>F22+M22+N22</f>
        <v>33367.784076000004</v>
      </c>
      <c r="R22" s="305">
        <v>1500</v>
      </c>
      <c r="S22" s="272">
        <f>F22/R22</f>
        <v>21.800459999999998</v>
      </c>
    </row>
    <row r="23" spans="2:20" ht="26.4" customHeight="1">
      <c r="B23" s="596"/>
      <c r="C23" s="266" t="s">
        <v>374</v>
      </c>
      <c r="D23" s="267" t="s">
        <v>372</v>
      </c>
      <c r="E23" s="268" t="s">
        <v>373</v>
      </c>
      <c r="F23" s="269">
        <v>3618.55</v>
      </c>
      <c r="G23" s="305">
        <v>2.5</v>
      </c>
      <c r="H23" s="305"/>
      <c r="I23" s="270" t="s">
        <v>274</v>
      </c>
      <c r="J23" s="306">
        <f>F23/G23*1000</f>
        <v>1447420</v>
      </c>
      <c r="K23" s="305">
        <v>7</v>
      </c>
      <c r="L23" s="306">
        <f>F23/K23</f>
        <v>516.93571428571431</v>
      </c>
      <c r="M23" s="305">
        <f t="shared" si="5"/>
        <v>17.369040000000002</v>
      </c>
      <c r="N23" s="305">
        <f t="shared" si="6"/>
        <v>56.449379999999998</v>
      </c>
      <c r="O23" s="305">
        <f>F23*0.1%</f>
        <v>3.6185500000000004</v>
      </c>
      <c r="P23" s="305">
        <f>F23+M23+N23+O23</f>
        <v>3695.9869700000004</v>
      </c>
      <c r="Q23" s="305">
        <f>F23+M23+N23</f>
        <v>3692.3684200000002</v>
      </c>
      <c r="R23" s="305">
        <v>1500</v>
      </c>
      <c r="S23" s="272">
        <f>F23/R23</f>
        <v>2.4123666666666668</v>
      </c>
    </row>
    <row r="24" spans="2:20" ht="26.4" customHeight="1">
      <c r="B24" s="596"/>
      <c r="C24" s="266" t="s">
        <v>236</v>
      </c>
      <c r="D24" s="267" t="s">
        <v>372</v>
      </c>
      <c r="E24" s="268" t="s">
        <v>373</v>
      </c>
      <c r="F24" s="269">
        <v>12073.93</v>
      </c>
      <c r="G24" s="305">
        <v>4.5</v>
      </c>
      <c r="H24" s="305">
        <v>35</v>
      </c>
      <c r="I24" s="270" t="s">
        <v>278</v>
      </c>
      <c r="J24" s="306">
        <f>F24/G24*1000</f>
        <v>2683095.5555555555</v>
      </c>
      <c r="K24" s="305">
        <v>7</v>
      </c>
      <c r="L24" s="306">
        <f>F24/K24</f>
        <v>1724.8471428571429</v>
      </c>
      <c r="M24" s="305">
        <f t="shared" si="5"/>
        <v>32.197146666666669</v>
      </c>
      <c r="N24" s="305">
        <f t="shared" si="6"/>
        <v>104.64072666666667</v>
      </c>
      <c r="O24" s="305">
        <f>F24*0.1%</f>
        <v>12.073930000000001</v>
      </c>
      <c r="P24" s="305">
        <f>F24+M24+N24+O24</f>
        <v>12222.841803333335</v>
      </c>
      <c r="Q24" s="305">
        <f>F24+M24+N24</f>
        <v>12210.767873333334</v>
      </c>
      <c r="R24" s="305">
        <v>1500</v>
      </c>
      <c r="S24" s="272">
        <f>F24/R24</f>
        <v>8.0492866666666671</v>
      </c>
    </row>
    <row r="25" spans="2:20" ht="26.4" customHeight="1">
      <c r="B25" s="596"/>
      <c r="C25" s="266" t="s">
        <v>374</v>
      </c>
      <c r="D25" s="267" t="s">
        <v>372</v>
      </c>
      <c r="E25" s="268" t="s">
        <v>373</v>
      </c>
      <c r="F25" s="269">
        <v>1315.45</v>
      </c>
      <c r="G25" s="305">
        <v>4.5</v>
      </c>
      <c r="H25" s="305">
        <v>35</v>
      </c>
      <c r="I25" s="270" t="s">
        <v>278</v>
      </c>
      <c r="J25" s="306">
        <f>F25/G25*1000</f>
        <v>292322.22222222225</v>
      </c>
      <c r="K25" s="305">
        <v>7</v>
      </c>
      <c r="L25" s="306">
        <f>F25/K25</f>
        <v>187.92142857142858</v>
      </c>
      <c r="M25" s="305">
        <f t="shared" si="5"/>
        <v>3.5078666666666671</v>
      </c>
      <c r="N25" s="305">
        <f t="shared" si="6"/>
        <v>11.400566666666668</v>
      </c>
      <c r="O25" s="305">
        <f>F25*0.1%</f>
        <v>1.31545</v>
      </c>
      <c r="P25" s="305">
        <f>F25+M25+N25+O25</f>
        <v>1331.6738833333334</v>
      </c>
      <c r="Q25" s="305">
        <f>F25+M25+N25</f>
        <v>1330.3584333333333</v>
      </c>
      <c r="R25" s="305">
        <v>1500</v>
      </c>
      <c r="S25" s="272">
        <f>F25/R25</f>
        <v>0.87696666666666667</v>
      </c>
    </row>
    <row r="26" spans="2:20" s="382" customFormat="1" ht="12.6" customHeight="1">
      <c r="B26" s="597"/>
      <c r="C26" s="384" t="s">
        <v>243</v>
      </c>
      <c r="D26" s="385"/>
      <c r="E26" s="386"/>
      <c r="F26" s="387">
        <f>SUM(F22:F25)</f>
        <v>49708.619999999995</v>
      </c>
      <c r="G26" s="388">
        <f>F26/J26*1000</f>
        <v>2.8399872520460225</v>
      </c>
      <c r="H26" s="388">
        <v>25</v>
      </c>
      <c r="I26" s="389"/>
      <c r="J26" s="390">
        <f>SUM(J22:J25)</f>
        <v>17503113.77777778</v>
      </c>
      <c r="K26" s="388"/>
      <c r="L26" s="390">
        <f t="shared" ref="L26:Q26" si="7">SUM(L22:L25)</f>
        <v>7101.2314285714283</v>
      </c>
      <c r="M26" s="388">
        <f t="shared" si="7"/>
        <v>210.03736533333336</v>
      </c>
      <c r="N26" s="388">
        <f t="shared" si="7"/>
        <v>682.62143733333335</v>
      </c>
      <c r="O26" s="388">
        <f t="shared" si="7"/>
        <v>49.708619999999996</v>
      </c>
      <c r="P26" s="388">
        <f t="shared" si="7"/>
        <v>50650.987422666673</v>
      </c>
      <c r="Q26" s="388">
        <f t="shared" si="7"/>
        <v>50601.278802666675</v>
      </c>
      <c r="R26" s="388">
        <f>F26/S26</f>
        <v>1499.9999999999998</v>
      </c>
      <c r="S26" s="391">
        <f>SUM(S22:S25)</f>
        <v>33.13908</v>
      </c>
    </row>
    <row r="27" spans="2:20" ht="26.4" customHeight="1">
      <c r="B27" s="595" t="s">
        <v>425</v>
      </c>
      <c r="C27" s="266" t="s">
        <v>236</v>
      </c>
      <c r="D27" s="267" t="s">
        <v>372</v>
      </c>
      <c r="E27" s="268" t="s">
        <v>373</v>
      </c>
      <c r="F27" s="269">
        <v>37333.39</v>
      </c>
      <c r="G27" s="305">
        <v>2.5</v>
      </c>
      <c r="H27" s="305"/>
      <c r="I27" s="270" t="s">
        <v>274</v>
      </c>
      <c r="J27" s="306">
        <f>F27/G27*1000</f>
        <v>14933356</v>
      </c>
      <c r="K27" s="305">
        <v>3</v>
      </c>
      <c r="L27" s="306">
        <f>F27/K27</f>
        <v>12444.463333333333</v>
      </c>
      <c r="M27" s="305">
        <f t="shared" ref="M27:M28" si="8">J27*0.012/1000</f>
        <v>179.20027199999998</v>
      </c>
      <c r="N27" s="305">
        <f t="shared" ref="N27:N28" si="9">J27*0.039/1000</f>
        <v>582.40088399999991</v>
      </c>
      <c r="O27" s="305">
        <f>F27*0.1%</f>
        <v>37.333390000000001</v>
      </c>
      <c r="P27" s="305">
        <f>F27+M27+N27+O27</f>
        <v>38132.324546000003</v>
      </c>
      <c r="Q27" s="305">
        <f>F27+M27+N27</f>
        <v>38094.991156000004</v>
      </c>
      <c r="R27" s="305">
        <v>1500</v>
      </c>
      <c r="S27" s="272">
        <f>F27/R27</f>
        <v>24.888926666666666</v>
      </c>
      <c r="T27" s="22"/>
    </row>
    <row r="28" spans="2:20" ht="26.4" customHeight="1">
      <c r="B28" s="596"/>
      <c r="C28" s="266" t="s">
        <v>374</v>
      </c>
      <c r="D28" s="267" t="s">
        <v>372</v>
      </c>
      <c r="E28" s="268" t="s">
        <v>373</v>
      </c>
      <c r="F28" s="269">
        <v>3841.53</v>
      </c>
      <c r="G28" s="305">
        <v>2.5</v>
      </c>
      <c r="H28" s="305"/>
      <c r="I28" s="270" t="s">
        <v>274</v>
      </c>
      <c r="J28" s="306">
        <f>F28/G28*1000</f>
        <v>1536612</v>
      </c>
      <c r="K28" s="305">
        <v>3</v>
      </c>
      <c r="L28" s="306">
        <f>F28/K28</f>
        <v>1280.51</v>
      </c>
      <c r="M28" s="305">
        <f t="shared" si="8"/>
        <v>18.439344000000002</v>
      </c>
      <c r="N28" s="305">
        <f t="shared" si="9"/>
        <v>59.927868000000004</v>
      </c>
      <c r="O28" s="305">
        <f>F28*0.1%</f>
        <v>3.8415300000000001</v>
      </c>
      <c r="P28" s="305">
        <f>F28+M28+N28+O28</f>
        <v>3923.7387420000005</v>
      </c>
      <c r="Q28" s="305">
        <f>F28+M28+N28</f>
        <v>3919.8972120000003</v>
      </c>
      <c r="R28" s="305">
        <v>1500</v>
      </c>
      <c r="S28" s="272">
        <f>F28/R28</f>
        <v>2.5610200000000001</v>
      </c>
      <c r="T28" s="22"/>
    </row>
    <row r="29" spans="2:20" ht="26.4" customHeight="1">
      <c r="B29" s="596"/>
      <c r="C29" s="266" t="s">
        <v>236</v>
      </c>
      <c r="D29" s="267" t="s">
        <v>372</v>
      </c>
      <c r="E29" s="268" t="s">
        <v>373</v>
      </c>
      <c r="F29" s="269">
        <v>11290.73</v>
      </c>
      <c r="G29" s="305">
        <v>4.5</v>
      </c>
      <c r="H29" s="305">
        <v>25</v>
      </c>
      <c r="I29" s="270" t="s">
        <v>278</v>
      </c>
      <c r="J29" s="306">
        <f>F29/G29*1000</f>
        <v>2509051.111111111</v>
      </c>
      <c r="K29" s="305">
        <v>3</v>
      </c>
      <c r="L29" s="306">
        <f>F29/K29</f>
        <v>3763.5766666666664</v>
      </c>
      <c r="M29" s="305">
        <f t="shared" si="5"/>
        <v>30.108613333333331</v>
      </c>
      <c r="N29" s="305">
        <f t="shared" si="6"/>
        <v>97.85299333333333</v>
      </c>
      <c r="O29" s="305">
        <f>F29*0.1%</f>
        <v>11.29073</v>
      </c>
      <c r="P29" s="305">
        <f>F29+M29+N29+O29</f>
        <v>11429.982336666668</v>
      </c>
      <c r="Q29" s="305">
        <f>F29+M29+N29</f>
        <v>11418.691606666667</v>
      </c>
      <c r="R29" s="305">
        <v>1500</v>
      </c>
      <c r="S29" s="272">
        <f>F29/R29</f>
        <v>7.5271533333333327</v>
      </c>
      <c r="T29" s="22"/>
    </row>
    <row r="30" spans="2:20" ht="26.4" customHeight="1">
      <c r="B30" s="596"/>
      <c r="C30" s="266" t="s">
        <v>374</v>
      </c>
      <c r="D30" s="267" t="s">
        <v>372</v>
      </c>
      <c r="E30" s="268" t="s">
        <v>373</v>
      </c>
      <c r="F30" s="269">
        <v>1501.85</v>
      </c>
      <c r="G30" s="305">
        <v>4.5</v>
      </c>
      <c r="H30" s="305">
        <v>25</v>
      </c>
      <c r="I30" s="270" t="s">
        <v>278</v>
      </c>
      <c r="J30" s="306">
        <f>F30/G30*1000</f>
        <v>333744.44444444444</v>
      </c>
      <c r="K30" s="305">
        <v>3</v>
      </c>
      <c r="L30" s="306">
        <f>F30/K30</f>
        <v>500.61666666666662</v>
      </c>
      <c r="M30" s="305">
        <f t="shared" si="5"/>
        <v>4.0049333333333337</v>
      </c>
      <c r="N30" s="305">
        <f t="shared" si="6"/>
        <v>13.016033333333333</v>
      </c>
      <c r="O30" s="305">
        <f>F30*0.1%</f>
        <v>1.5018499999999999</v>
      </c>
      <c r="P30" s="305">
        <f>F30+M30+N30+O30</f>
        <v>1520.3728166666667</v>
      </c>
      <c r="Q30" s="305">
        <f>F30+M30+N30</f>
        <v>1518.8709666666666</v>
      </c>
      <c r="R30" s="305">
        <v>1500</v>
      </c>
      <c r="S30" s="272">
        <f>F30/R30</f>
        <v>1.0012333333333332</v>
      </c>
      <c r="T30" s="22"/>
    </row>
    <row r="31" spans="2:20" s="382" customFormat="1" ht="12.6" customHeight="1">
      <c r="B31" s="597"/>
      <c r="C31" s="384" t="s">
        <v>243</v>
      </c>
      <c r="D31" s="385"/>
      <c r="E31" s="386"/>
      <c r="F31" s="387">
        <f>SUM(F27:F30)</f>
        <v>53967.499999999993</v>
      </c>
      <c r="G31" s="388">
        <f>F31/J31*1000</f>
        <v>2.7943955221507162</v>
      </c>
      <c r="H31" s="388">
        <v>25</v>
      </c>
      <c r="I31" s="389"/>
      <c r="J31" s="390">
        <f>SUM(J27:J30)</f>
        <v>19312763.555555556</v>
      </c>
      <c r="K31" s="388"/>
      <c r="L31" s="390">
        <f t="shared" ref="L31:Q31" si="10">SUM(L27:L30)</f>
        <v>17989.166666666664</v>
      </c>
      <c r="M31" s="388">
        <f t="shared" si="10"/>
        <v>231.75316266666664</v>
      </c>
      <c r="N31" s="388">
        <f t="shared" si="10"/>
        <v>753.19777866666652</v>
      </c>
      <c r="O31" s="388">
        <f t="shared" si="10"/>
        <v>53.967499999999994</v>
      </c>
      <c r="P31" s="388">
        <f t="shared" si="10"/>
        <v>55006.418441333342</v>
      </c>
      <c r="Q31" s="388">
        <f t="shared" si="10"/>
        <v>54952.450941333344</v>
      </c>
      <c r="R31" s="388">
        <f>F31/S31</f>
        <v>1499.9999999999998</v>
      </c>
      <c r="S31" s="391">
        <f>SUM(S27:S30)</f>
        <v>35.978333333333332</v>
      </c>
      <c r="T31" s="383"/>
    </row>
    <row r="32" spans="2:20" ht="15" thickBot="1">
      <c r="B32" s="193" t="s">
        <v>202</v>
      </c>
      <c r="C32" s="193"/>
      <c r="D32" s="194"/>
      <c r="E32" s="215"/>
      <c r="F32" s="215"/>
      <c r="G32" s="215"/>
      <c r="H32" s="215"/>
      <c r="I32" s="215"/>
      <c r="J32" s="215"/>
      <c r="K32" s="215"/>
      <c r="L32" s="215"/>
      <c r="M32" s="215"/>
      <c r="N32" s="215"/>
      <c r="O32" s="216"/>
      <c r="P32" s="215">
        <f>P16+P21+P11+P26+P31</f>
        <v>627795.63591933332</v>
      </c>
      <c r="Q32" s="215">
        <f>Q16+Q21+Q11+Q26+Q31</f>
        <v>627179.53304933337</v>
      </c>
      <c r="R32" s="215"/>
      <c r="S32" s="194"/>
    </row>
    <row r="33" spans="2:29" s="689" customFormat="1" ht="15" thickTop="1">
      <c r="D33" s="690"/>
      <c r="E33" s="690"/>
      <c r="F33" s="691">
        <f>F31-[7]Display!$F$31</f>
        <v>-126.21949992080044</v>
      </c>
      <c r="G33" s="691"/>
      <c r="H33" s="691"/>
      <c r="I33" s="691"/>
      <c r="J33" s="691"/>
      <c r="K33" s="691"/>
      <c r="L33" s="691"/>
      <c r="M33" s="691">
        <f>M31-[7]Display!$M$31</f>
        <v>18.510692059795645</v>
      </c>
      <c r="N33" s="691">
        <f>N31-[7]Display!$N$31</f>
        <v>60.159749194335859</v>
      </c>
      <c r="O33" s="691">
        <f>O31-[7]Display!$F$31</f>
        <v>-54039.751999920794</v>
      </c>
      <c r="P33" s="691">
        <f>P31-[7]Display!$F$31</f>
        <v>912.69894141254917</v>
      </c>
      <c r="Q33" s="691">
        <f>Q31-[7]Display!$Q$31</f>
        <v>-47.549058666656492</v>
      </c>
    </row>
    <row r="34" spans="2:29" s="689" customFormat="1">
      <c r="D34" s="690"/>
      <c r="E34" s="690"/>
      <c r="F34" s="691"/>
      <c r="G34" s="690"/>
      <c r="H34" s="690"/>
      <c r="I34" s="690"/>
      <c r="J34" s="690"/>
      <c r="K34" s="690"/>
      <c r="L34" s="690"/>
      <c r="M34" s="690"/>
      <c r="N34" s="690"/>
      <c r="O34" s="690"/>
      <c r="P34" s="691"/>
      <c r="T34" s="692"/>
      <c r="U34" s="692"/>
      <c r="V34" s="692"/>
      <c r="W34" s="692"/>
      <c r="X34" s="692"/>
      <c r="Y34" s="692"/>
      <c r="Z34" s="692"/>
      <c r="AA34" s="692"/>
      <c r="AB34" s="692"/>
      <c r="AC34" s="692"/>
    </row>
    <row r="35" spans="2:29" s="613" customFormat="1">
      <c r="B35" s="608"/>
      <c r="C35" s="693" t="s">
        <v>318</v>
      </c>
      <c r="D35" s="693"/>
      <c r="E35" s="693"/>
      <c r="F35" s="694">
        <f>F7+F9+F12+F14+F17+F19+F22+F24+F27+F29</f>
        <v>551074.25999999989</v>
      </c>
      <c r="G35" s="694">
        <f>F35/J35*1000</f>
        <v>2.8352657754412727</v>
      </c>
      <c r="H35" s="695"/>
      <c r="I35" s="695"/>
      <c r="J35" s="695">
        <f>J7+J9+J12+J14+J17+J19+J22+J24+J27+J29</f>
        <v>194364233.77777776</v>
      </c>
      <c r="K35" s="694">
        <f>F35/L35</f>
        <v>5.0373418773437519</v>
      </c>
      <c r="L35" s="695">
        <f t="shared" ref="L35:Q36" si="11">L7+L9+L12+L14+L17+L19+L22+L24+L27+L29</f>
        <v>109397.8279454377</v>
      </c>
      <c r="M35" s="694">
        <f t="shared" si="11"/>
        <v>2332.3708053333335</v>
      </c>
      <c r="N35" s="694">
        <f t="shared" si="11"/>
        <v>7580.2051173333311</v>
      </c>
      <c r="O35" s="695">
        <f t="shared" si="11"/>
        <v>551.07426000000009</v>
      </c>
      <c r="P35" s="694">
        <f t="shared" si="11"/>
        <v>561537.91018266662</v>
      </c>
      <c r="Q35" s="694">
        <f t="shared" si="11"/>
        <v>560986.83592266659</v>
      </c>
      <c r="R35" s="694">
        <f>F35/S35</f>
        <v>1482.4552301257722</v>
      </c>
      <c r="S35" s="695">
        <f>S7+S9+S12+S14+S17+S19+S22+S24+S27+S29</f>
        <v>371.73079415912377</v>
      </c>
      <c r="T35" s="692"/>
      <c r="U35" s="692"/>
      <c r="V35" s="692"/>
      <c r="W35" s="692"/>
      <c r="X35" s="692"/>
      <c r="Y35" s="692"/>
      <c r="Z35" s="692"/>
      <c r="AA35" s="692"/>
      <c r="AB35" s="692"/>
      <c r="AC35" s="692"/>
    </row>
    <row r="36" spans="2:29" s="613" customFormat="1">
      <c r="B36" s="615"/>
      <c r="C36" s="696" t="s">
        <v>319</v>
      </c>
      <c r="D36" s="696"/>
      <c r="E36" s="696"/>
      <c r="F36" s="697">
        <f>F8+F10+F13+F15+F18+F20+F23+F25+F28+F30</f>
        <v>65028.61</v>
      </c>
      <c r="G36" s="697">
        <f>F36/J36*1000</f>
        <v>2.8489784261222737</v>
      </c>
      <c r="H36" s="698"/>
      <c r="I36" s="698"/>
      <c r="J36" s="698">
        <f>J8+J10+J13+J15+J18+J20+J23+J25+J28+J30</f>
        <v>22825237.77777778</v>
      </c>
      <c r="K36" s="697">
        <f>F36/L36</f>
        <v>5.0368683369031677</v>
      </c>
      <c r="L36" s="698">
        <f t="shared" si="11"/>
        <v>12910.52408965324</v>
      </c>
      <c r="M36" s="697">
        <f t="shared" si="11"/>
        <v>273.90285333333333</v>
      </c>
      <c r="N36" s="697">
        <f t="shared" si="11"/>
        <v>890.18427333333341</v>
      </c>
      <c r="O36" s="698">
        <f t="shared" si="11"/>
        <v>65.02861</v>
      </c>
      <c r="P36" s="697">
        <f t="shared" si="11"/>
        <v>66257.725736666674</v>
      </c>
      <c r="Q36" s="697">
        <f t="shared" si="11"/>
        <v>66192.697126666666</v>
      </c>
      <c r="R36" s="697">
        <f>F36/S36</f>
        <v>1480.3341464150753</v>
      </c>
      <c r="S36" s="698">
        <f>S8+S10+S13+S15+S18+S20+S23+S25+S28+S30</f>
        <v>43.928332098181862</v>
      </c>
      <c r="T36" s="692"/>
      <c r="U36" s="692"/>
      <c r="V36" s="692"/>
      <c r="W36" s="692"/>
      <c r="X36" s="692"/>
      <c r="Y36" s="692"/>
      <c r="Z36" s="692"/>
      <c r="AA36" s="692"/>
      <c r="AB36" s="692"/>
      <c r="AC36" s="692"/>
    </row>
    <row r="37" spans="2:29" s="613" customFormat="1">
      <c r="B37" s="619"/>
      <c r="C37" s="696" t="s">
        <v>292</v>
      </c>
      <c r="D37" s="696"/>
      <c r="E37" s="696"/>
      <c r="F37" s="620"/>
      <c r="G37" s="620"/>
      <c r="H37" s="621"/>
      <c r="I37" s="621"/>
      <c r="J37" s="621"/>
      <c r="K37" s="620"/>
      <c r="L37" s="621"/>
      <c r="M37" s="620"/>
      <c r="N37" s="620"/>
      <c r="O37" s="621"/>
      <c r="P37" s="620"/>
      <c r="Q37" s="620"/>
      <c r="R37" s="620"/>
      <c r="S37" s="620"/>
      <c r="T37" s="692"/>
      <c r="U37" s="692"/>
      <c r="V37" s="692"/>
      <c r="W37" s="692"/>
      <c r="X37" s="692"/>
      <c r="Y37" s="692"/>
      <c r="Z37" s="692"/>
      <c r="AA37" s="692"/>
      <c r="AB37" s="692"/>
      <c r="AC37" s="692"/>
    </row>
    <row r="38" spans="2:29" s="8" customFormat="1" ht="20.85" customHeight="1" thickBot="1">
      <c r="B38" s="461" t="s">
        <v>202</v>
      </c>
      <c r="C38" s="462"/>
      <c r="D38" s="461"/>
      <c r="E38" s="461"/>
      <c r="F38" s="216">
        <f>F35+F36</f>
        <v>616102.86999999988</v>
      </c>
      <c r="G38" s="216">
        <f>F38/J38*1000</f>
        <v>2.836706888171626</v>
      </c>
      <c r="H38" s="463"/>
      <c r="I38" s="463"/>
      <c r="J38" s="463">
        <f>J35+J36</f>
        <v>217189471.55555555</v>
      </c>
      <c r="K38" s="216"/>
      <c r="L38" s="463">
        <f t="shared" ref="L38:S38" si="12">L35+L36</f>
        <v>122308.35203509094</v>
      </c>
      <c r="M38" s="216">
        <f t="shared" si="12"/>
        <v>2606.273658666667</v>
      </c>
      <c r="N38" s="216">
        <f t="shared" si="12"/>
        <v>8470.3893906666653</v>
      </c>
      <c r="O38" s="216">
        <f t="shared" ref="O38" si="13">O14+O19+O24+O29+O32</f>
        <v>91.411500000000004</v>
      </c>
      <c r="P38" s="216">
        <f t="shared" si="12"/>
        <v>627795.63591933332</v>
      </c>
      <c r="Q38" s="216">
        <f t="shared" si="12"/>
        <v>627179.53304933326</v>
      </c>
      <c r="R38" s="216">
        <f>F38/S38</f>
        <v>1482.231066469147</v>
      </c>
      <c r="S38" s="463">
        <f t="shared" si="12"/>
        <v>415.65912625730562</v>
      </c>
      <c r="T38" s="328"/>
      <c r="U38" s="328"/>
      <c r="V38" s="328"/>
      <c r="W38" s="328"/>
      <c r="X38" s="328"/>
      <c r="Y38" s="328"/>
      <c r="Z38" s="328"/>
      <c r="AA38" s="328"/>
      <c r="AB38" s="328"/>
      <c r="AC38" s="328"/>
    </row>
    <row r="39" spans="2:29" ht="15" thickTop="1">
      <c r="T39" s="22"/>
      <c r="U39" s="22"/>
      <c r="V39" s="22"/>
      <c r="W39" s="22"/>
      <c r="X39" s="22"/>
      <c r="Y39" s="22"/>
      <c r="Z39" s="22"/>
      <c r="AA39" s="22"/>
      <c r="AB39" s="22"/>
      <c r="AC39" s="22"/>
    </row>
    <row r="40" spans="2:29">
      <c r="T40" s="22"/>
      <c r="U40" s="22"/>
      <c r="V40" s="22"/>
      <c r="W40" s="22"/>
      <c r="X40" s="22"/>
      <c r="Y40" s="22"/>
      <c r="Z40" s="22"/>
      <c r="AA40" s="22"/>
      <c r="AB40" s="22"/>
      <c r="AC40" s="22"/>
    </row>
    <row r="41" spans="2:29">
      <c r="Q41" s="2"/>
      <c r="R41" s="2"/>
      <c r="T41" s="22"/>
      <c r="U41" s="22"/>
      <c r="V41" s="22"/>
      <c r="W41" s="22"/>
      <c r="X41" s="22"/>
      <c r="Y41" s="22"/>
      <c r="Z41" s="22"/>
      <c r="AA41" s="22"/>
      <c r="AB41" s="22"/>
      <c r="AC41" s="22"/>
    </row>
    <row r="42" spans="2:29">
      <c r="Q42" s="2"/>
      <c r="R42" s="2"/>
    </row>
    <row r="43" spans="2:29">
      <c r="Q43" s="2"/>
      <c r="R43" s="2"/>
    </row>
    <row r="44" spans="2:29">
      <c r="Q44" s="2"/>
      <c r="R44" s="2"/>
    </row>
  </sheetData>
  <mergeCells count="9">
    <mergeCell ref="C35:E35"/>
    <mergeCell ref="C36:E36"/>
    <mergeCell ref="C37:E37"/>
    <mergeCell ref="E3:J4"/>
    <mergeCell ref="B7:B11"/>
    <mergeCell ref="B12:B16"/>
    <mergeCell ref="B17:B21"/>
    <mergeCell ref="B22:B26"/>
    <mergeCell ref="B27:B31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7" tint="0.79998168889431442"/>
  </sheetPr>
  <dimension ref="B2:AH29"/>
  <sheetViews>
    <sheetView showGridLines="0" zoomScale="91" zoomScaleNormal="91" workbookViewId="0">
      <selection activeCell="H27" sqref="H27"/>
    </sheetView>
  </sheetViews>
  <sheetFormatPr baseColWidth="10" defaultColWidth="8.88671875" defaultRowHeight="14.4"/>
  <cols>
    <col min="2" max="2" width="14" bestFit="1" customWidth="1"/>
    <col min="3" max="3" width="12" bestFit="1" customWidth="1"/>
    <col min="4" max="4" width="23.109375" bestFit="1" customWidth="1"/>
    <col min="5" max="5" width="12.44140625" bestFit="1" customWidth="1"/>
    <col min="6" max="7" width="10.109375" bestFit="1" customWidth="1"/>
    <col min="8" max="8" width="8.5546875" bestFit="1" customWidth="1"/>
    <col min="9" max="9" width="12.109375" bestFit="1" customWidth="1"/>
    <col min="10" max="10" width="23.88671875" bestFit="1" customWidth="1"/>
    <col min="11" max="11" width="12.88671875" bestFit="1" customWidth="1"/>
    <col min="12" max="12" width="10.77734375" customWidth="1"/>
    <col min="13" max="15" width="8.5546875" customWidth="1"/>
    <col min="16" max="16" width="12.88671875" bestFit="1" customWidth="1"/>
    <col min="17" max="18" width="8.5546875" style="348" customWidth="1"/>
    <col min="19" max="19" width="12" style="348" bestFit="1" customWidth="1"/>
    <col min="20" max="20" width="9.109375" style="348" customWidth="1"/>
    <col min="21" max="21" width="15.109375" style="348" bestFit="1" customWidth="1"/>
    <col min="22" max="22" width="8.88671875" style="348"/>
    <col min="23" max="23" width="11.77734375" style="348" bestFit="1" customWidth="1"/>
    <col min="24" max="24" width="8.88671875" style="348"/>
    <col min="25" max="25" width="11.77734375" style="348" bestFit="1" customWidth="1"/>
    <col min="26" max="26" width="10.77734375" style="348" bestFit="1" customWidth="1"/>
    <col min="27" max="34" width="8.88671875" style="348"/>
  </cols>
  <sheetData>
    <row r="2" spans="2:26">
      <c r="J2" s="19" t="s">
        <v>434</v>
      </c>
    </row>
    <row r="3" spans="2:26">
      <c r="U3" s="507"/>
    </row>
    <row r="4" spans="2:26" ht="15" thickBot="1">
      <c r="E4" s="347"/>
      <c r="G4" s="347"/>
      <c r="I4" s="14"/>
      <c r="N4" s="14"/>
      <c r="U4" s="507"/>
    </row>
    <row r="5" spans="2:26" s="7" customFormat="1" ht="24.6" customHeight="1" thickBot="1">
      <c r="B5" s="434" t="s">
        <v>237</v>
      </c>
      <c r="C5" s="435" t="s">
        <v>265</v>
      </c>
      <c r="D5" s="435" t="s">
        <v>266</v>
      </c>
      <c r="E5" s="435" t="s">
        <v>267</v>
      </c>
      <c r="F5" s="436" t="s">
        <v>268</v>
      </c>
      <c r="G5" s="436" t="s">
        <v>269</v>
      </c>
      <c r="H5" s="435" t="s">
        <v>270</v>
      </c>
      <c r="I5" s="436" t="s">
        <v>198</v>
      </c>
      <c r="J5" s="435" t="s">
        <v>271</v>
      </c>
      <c r="K5" s="435" t="s">
        <v>272</v>
      </c>
      <c r="L5" s="436" t="s">
        <v>273</v>
      </c>
      <c r="M5" s="435" t="s">
        <v>274</v>
      </c>
      <c r="N5" s="435" t="s">
        <v>275</v>
      </c>
      <c r="O5" s="435" t="s">
        <v>276</v>
      </c>
      <c r="P5" s="436" t="s">
        <v>277</v>
      </c>
      <c r="Q5" s="435" t="s">
        <v>278</v>
      </c>
      <c r="R5" s="435" t="s">
        <v>279</v>
      </c>
      <c r="S5" s="436" t="s">
        <v>200</v>
      </c>
      <c r="T5" s="435" t="s">
        <v>192</v>
      </c>
      <c r="U5" s="437" t="s">
        <v>280</v>
      </c>
      <c r="W5" s="364"/>
    </row>
    <row r="6" spans="2:26" s="7" customFormat="1" ht="21.6" customHeight="1">
      <c r="B6" s="598" t="s">
        <v>417</v>
      </c>
      <c r="C6" s="572" t="s">
        <v>38</v>
      </c>
      <c r="D6" s="423" t="s">
        <v>236</v>
      </c>
      <c r="E6" s="423" t="s">
        <v>284</v>
      </c>
      <c r="F6" s="424">
        <v>16500000</v>
      </c>
      <c r="G6" s="424">
        <f>I6/J6</f>
        <v>15972222.222222224</v>
      </c>
      <c r="H6" s="425">
        <f>G6/F6</f>
        <v>0.9680134680134681</v>
      </c>
      <c r="I6" s="424">
        <f>K6/N6*1000</f>
        <v>95833333.333333343</v>
      </c>
      <c r="J6" s="426">
        <v>6</v>
      </c>
      <c r="K6" s="427">
        <v>115000</v>
      </c>
      <c r="L6" s="428">
        <f>I6*M6</f>
        <v>383333.33333333337</v>
      </c>
      <c r="M6" s="429">
        <v>4.0000000000000001E-3</v>
      </c>
      <c r="N6" s="430">
        <v>1.2</v>
      </c>
      <c r="O6" s="430">
        <v>0.4</v>
      </c>
      <c r="P6" s="428">
        <f>K6/O6</f>
        <v>287500</v>
      </c>
      <c r="Q6" s="430">
        <v>30</v>
      </c>
      <c r="R6" s="431">
        <f>S6/L6</f>
        <v>0.01</v>
      </c>
      <c r="S6" s="428">
        <f>K6/Q6</f>
        <v>3833.3333333333335</v>
      </c>
      <c r="T6" s="432">
        <f>K6*0.1%</f>
        <v>115</v>
      </c>
      <c r="U6" s="433">
        <f>K6+T6</f>
        <v>115115</v>
      </c>
      <c r="V6" s="373"/>
      <c r="W6" s="404"/>
    </row>
    <row r="7" spans="2:26" s="7" customFormat="1" ht="21.6" customHeight="1">
      <c r="B7" s="599"/>
      <c r="C7" s="601"/>
      <c r="D7" s="21" t="s">
        <v>236</v>
      </c>
      <c r="E7" s="21" t="s">
        <v>200</v>
      </c>
      <c r="F7" s="424">
        <v>16500000</v>
      </c>
      <c r="G7" s="379">
        <f>I7/J7</f>
        <v>15697520.661157023</v>
      </c>
      <c r="H7" s="59">
        <f t="shared" ref="H7" si="0">G7/F7</f>
        <v>0.95136488855497114</v>
      </c>
      <c r="I7" s="379">
        <f>K7/N7*1000</f>
        <v>86336363.636363626</v>
      </c>
      <c r="J7" s="43">
        <v>5.5</v>
      </c>
      <c r="K7" s="39">
        <v>94970</v>
      </c>
      <c r="L7" s="49">
        <f t="shared" ref="L7" si="1">I7*M7</f>
        <v>276276.36363636359</v>
      </c>
      <c r="M7" s="36">
        <v>3.2000000000000002E-3</v>
      </c>
      <c r="N7" s="38">
        <v>1.1000000000000001</v>
      </c>
      <c r="O7" s="38">
        <v>0.5</v>
      </c>
      <c r="P7" s="49">
        <f t="shared" ref="P7" si="2">K7/O7</f>
        <v>189940</v>
      </c>
      <c r="Q7" s="38">
        <v>25</v>
      </c>
      <c r="R7" s="62">
        <f t="shared" ref="R7" si="3">S7/L7</f>
        <v>1.3750000000000004E-2</v>
      </c>
      <c r="S7" s="49">
        <f t="shared" ref="S7" si="4">K7/Q7</f>
        <v>3798.8</v>
      </c>
      <c r="T7" s="37">
        <f>K7*0.1%</f>
        <v>94.97</v>
      </c>
      <c r="U7" s="414">
        <f>K7+T7</f>
        <v>95064.97</v>
      </c>
      <c r="V7" s="373"/>
      <c r="W7" s="404"/>
    </row>
    <row r="8" spans="2:26" s="7" customFormat="1" ht="21.6" customHeight="1">
      <c r="B8" s="599"/>
      <c r="C8" s="601"/>
      <c r="D8" s="623" t="s">
        <v>310</v>
      </c>
      <c r="E8" s="668" t="s">
        <v>284</v>
      </c>
      <c r="F8" s="624">
        <v>5000000</v>
      </c>
      <c r="G8" s="624">
        <f>I8/J8</f>
        <v>3313937.4999999995</v>
      </c>
      <c r="H8" s="625">
        <f t="shared" ref="H8:H9" si="5">G8/F8</f>
        <v>0.66278749999999986</v>
      </c>
      <c r="I8" s="624">
        <f t="shared" ref="I8:I9" si="6">K8/N8*1000</f>
        <v>26511499.999999996</v>
      </c>
      <c r="J8" s="43">
        <v>8</v>
      </c>
      <c r="K8" s="626">
        <f>34450+14.95</f>
        <v>34464.949999999997</v>
      </c>
      <c r="L8" s="627">
        <f t="shared" ref="L8:L9" si="7">I8*M8</f>
        <v>106045.99999999999</v>
      </c>
      <c r="M8" s="36">
        <v>4.0000000000000001E-3</v>
      </c>
      <c r="N8" s="38">
        <v>1.3</v>
      </c>
      <c r="O8" s="38">
        <v>0.5</v>
      </c>
      <c r="P8" s="627">
        <f t="shared" ref="P8:P9" si="8">K8/O8</f>
        <v>68929.899999999994</v>
      </c>
      <c r="Q8" s="38">
        <v>35</v>
      </c>
      <c r="R8" s="62">
        <f>S8/L8</f>
        <v>9.285714285714286E-3</v>
      </c>
      <c r="S8" s="627">
        <f t="shared" ref="S8:S9" si="9">K8/Q8</f>
        <v>984.71285714285705</v>
      </c>
      <c r="T8" s="628">
        <f>K8*0.1%</f>
        <v>34.464949999999995</v>
      </c>
      <c r="U8" s="669">
        <f>K8+T8</f>
        <v>34499.414949999998</v>
      </c>
      <c r="V8" s="373"/>
      <c r="W8" s="364"/>
      <c r="X8" s="404"/>
    </row>
    <row r="9" spans="2:26" s="7" customFormat="1" ht="21.6" customHeight="1">
      <c r="B9" s="599"/>
      <c r="C9" s="601"/>
      <c r="D9" s="623" t="s">
        <v>310</v>
      </c>
      <c r="E9" s="623" t="s">
        <v>200</v>
      </c>
      <c r="F9" s="624">
        <v>5000000</v>
      </c>
      <c r="G9" s="624">
        <f>I9/J9</f>
        <v>3091773.9583333335</v>
      </c>
      <c r="H9" s="625">
        <f t="shared" si="5"/>
        <v>0.61835479166666674</v>
      </c>
      <c r="I9" s="624">
        <f t="shared" si="6"/>
        <v>24734191.666666668</v>
      </c>
      <c r="J9" s="43">
        <v>8</v>
      </c>
      <c r="K9" s="626">
        <v>29681.030000000002</v>
      </c>
      <c r="L9" s="627">
        <f t="shared" si="7"/>
        <v>79149.413333333345</v>
      </c>
      <c r="M9" s="36">
        <v>3.2000000000000002E-3</v>
      </c>
      <c r="N9" s="38">
        <v>1.2</v>
      </c>
      <c r="O9" s="38">
        <v>0.6</v>
      </c>
      <c r="P9" s="627">
        <f t="shared" si="8"/>
        <v>49468.383333333339</v>
      </c>
      <c r="Q9" s="38">
        <v>30</v>
      </c>
      <c r="R9" s="62">
        <f>S9/L9</f>
        <v>1.2499999999999999E-2</v>
      </c>
      <c r="S9" s="627">
        <f t="shared" si="9"/>
        <v>989.36766666666676</v>
      </c>
      <c r="T9" s="628">
        <f>K9*0.1%</f>
        <v>29.681030000000003</v>
      </c>
      <c r="U9" s="669">
        <f>K9+T9</f>
        <v>29710.711030000002</v>
      </c>
      <c r="V9" s="373"/>
      <c r="W9" s="364"/>
      <c r="X9" s="404"/>
    </row>
    <row r="10" spans="2:26" s="7" customFormat="1" ht="21.6" customHeight="1" thickBot="1">
      <c r="B10" s="600"/>
      <c r="C10" s="602"/>
      <c r="D10" s="415" t="s">
        <v>243</v>
      </c>
      <c r="E10" s="415"/>
      <c r="F10" s="416"/>
      <c r="G10" s="416"/>
      <c r="H10" s="417"/>
      <c r="I10" s="416">
        <f>SUM(I6:I9)</f>
        <v>233415388.63636363</v>
      </c>
      <c r="J10" s="418"/>
      <c r="K10" s="419">
        <f>SUM(K6:K9)</f>
        <v>274115.98000000004</v>
      </c>
      <c r="L10" s="416">
        <f>SUM(L6:L9)</f>
        <v>844805.11030303035</v>
      </c>
      <c r="M10" s="420"/>
      <c r="N10" s="417"/>
      <c r="O10" s="417"/>
      <c r="P10" s="416">
        <f>SUM(P6:P9)</f>
        <v>595838.28333333333</v>
      </c>
      <c r="Q10" s="417"/>
      <c r="R10" s="421">
        <f>S10/L10</f>
        <v>1.1370922997491246E-2</v>
      </c>
      <c r="S10" s="416">
        <f>SUM(S6:S9)</f>
        <v>9606.2138571428568</v>
      </c>
      <c r="T10" s="419">
        <f>SUM(T6:T9)</f>
        <v>274.11597999999998</v>
      </c>
      <c r="U10" s="422">
        <f>SUM(U6:U9)</f>
        <v>274390.09597999998</v>
      </c>
      <c r="V10" s="373"/>
      <c r="W10" s="364"/>
      <c r="Y10" s="364"/>
      <c r="Z10" s="364"/>
    </row>
    <row r="11" spans="2:26" s="7" customFormat="1" ht="21.6" customHeight="1">
      <c r="B11" s="598" t="s">
        <v>418</v>
      </c>
      <c r="C11" s="572" t="s">
        <v>38</v>
      </c>
      <c r="D11" s="423" t="s">
        <v>236</v>
      </c>
      <c r="E11" s="423" t="s">
        <v>284</v>
      </c>
      <c r="F11" s="424">
        <v>10000000</v>
      </c>
      <c r="G11" s="424">
        <f>I11/J11</f>
        <v>7317073.1707317075</v>
      </c>
      <c r="H11" s="425">
        <f>G11/F11</f>
        <v>0.73170731707317072</v>
      </c>
      <c r="I11" s="424">
        <f>K11/N11*1000</f>
        <v>43902439.024390243</v>
      </c>
      <c r="J11" s="426">
        <v>6</v>
      </c>
      <c r="K11" s="427">
        <v>90000</v>
      </c>
      <c r="L11" s="428">
        <f>I11*M11</f>
        <v>285365.85365853657</v>
      </c>
      <c r="M11" s="429">
        <v>6.4999999999999997E-3</v>
      </c>
      <c r="N11" s="430">
        <v>2.0499999999999998</v>
      </c>
      <c r="O11" s="430">
        <v>0.75</v>
      </c>
      <c r="P11" s="428">
        <f>K11/O11</f>
        <v>120000</v>
      </c>
      <c r="Q11" s="430">
        <v>150</v>
      </c>
      <c r="R11" s="431">
        <f>S11/L11</f>
        <v>2.1025641025641025E-3</v>
      </c>
      <c r="S11" s="428">
        <f>K11/Q11</f>
        <v>600</v>
      </c>
      <c r="T11" s="432">
        <f>K11*0.1%</f>
        <v>90</v>
      </c>
      <c r="U11" s="433">
        <f>K11+T11</f>
        <v>90090</v>
      </c>
      <c r="V11" s="373"/>
      <c r="W11" s="364"/>
      <c r="Y11" s="364"/>
      <c r="Z11" s="364"/>
    </row>
    <row r="12" spans="2:26" s="7" customFormat="1" ht="21.6" customHeight="1">
      <c r="B12" s="599"/>
      <c r="C12" s="601"/>
      <c r="D12" s="21" t="s">
        <v>236</v>
      </c>
      <c r="E12" s="21" t="s">
        <v>200</v>
      </c>
      <c r="F12" s="424">
        <v>10000000</v>
      </c>
      <c r="G12" s="379">
        <f>I12/J12</f>
        <v>3750000</v>
      </c>
      <c r="H12" s="59">
        <f t="shared" ref="H12" si="10">G12/F12</f>
        <v>0.375</v>
      </c>
      <c r="I12" s="379">
        <f t="shared" ref="I12" si="11">K12/N12*1000</f>
        <v>22500000</v>
      </c>
      <c r="J12" s="43">
        <v>6</v>
      </c>
      <c r="K12" s="39">
        <v>45000</v>
      </c>
      <c r="L12" s="49">
        <f t="shared" ref="L12" si="12">I12*M12</f>
        <v>101249.99999999999</v>
      </c>
      <c r="M12" s="36">
        <v>4.4999999999999997E-3</v>
      </c>
      <c r="N12" s="38">
        <v>2</v>
      </c>
      <c r="O12" s="38">
        <v>0.65</v>
      </c>
      <c r="P12" s="49">
        <f t="shared" ref="P12" si="13">K12/O12</f>
        <v>69230.769230769234</v>
      </c>
      <c r="Q12" s="38">
        <v>129</v>
      </c>
      <c r="R12" s="62">
        <f t="shared" ref="R12" si="14">S12/L12</f>
        <v>3.4453057708871667E-3</v>
      </c>
      <c r="S12" s="49">
        <f t="shared" ref="S12" si="15">K12/Q12</f>
        <v>348.83720930232556</v>
      </c>
      <c r="T12" s="37">
        <f>K12*0.1%</f>
        <v>45</v>
      </c>
      <c r="U12" s="414">
        <f>K12+T12</f>
        <v>45045</v>
      </c>
      <c r="V12" s="373"/>
      <c r="W12" s="364"/>
    </row>
    <row r="13" spans="2:26" s="7" customFormat="1" ht="21.6" hidden="1" customHeight="1">
      <c r="B13" s="599"/>
      <c r="C13" s="601"/>
      <c r="D13" s="21" t="s">
        <v>310</v>
      </c>
      <c r="E13" s="21" t="s">
        <v>200</v>
      </c>
      <c r="F13" s="379"/>
      <c r="G13" s="379"/>
      <c r="H13" s="59"/>
      <c r="I13" s="379"/>
      <c r="J13" s="43"/>
      <c r="K13" s="39"/>
      <c r="L13" s="49"/>
      <c r="M13" s="36"/>
      <c r="N13" s="38"/>
      <c r="O13" s="38"/>
      <c r="P13" s="49"/>
      <c r="Q13" s="38"/>
      <c r="R13" s="62"/>
      <c r="S13" s="49"/>
      <c r="T13" s="37"/>
      <c r="U13" s="414"/>
      <c r="V13" s="373"/>
      <c r="W13" s="364"/>
    </row>
    <row r="14" spans="2:26" s="7" customFormat="1" ht="21.6" customHeight="1" thickBot="1">
      <c r="B14" s="600"/>
      <c r="C14" s="602"/>
      <c r="D14" s="415" t="s">
        <v>243</v>
      </c>
      <c r="E14" s="415"/>
      <c r="F14" s="416"/>
      <c r="G14" s="416"/>
      <c r="H14" s="417"/>
      <c r="I14" s="416">
        <f>SUM(I11:I13)</f>
        <v>66402439.024390243</v>
      </c>
      <c r="J14" s="418"/>
      <c r="K14" s="419">
        <f>SUM(K11:K13)</f>
        <v>135000</v>
      </c>
      <c r="L14" s="416">
        <f>SUM(L11:L13)</f>
        <v>386615.85365853657</v>
      </c>
      <c r="M14" s="420"/>
      <c r="N14" s="417"/>
      <c r="O14" s="417"/>
      <c r="P14" s="416">
        <f>SUM(P11:P13)</f>
        <v>189230.76923076925</v>
      </c>
      <c r="Q14" s="417"/>
      <c r="R14" s="421">
        <f>S14/L14</f>
        <v>2.4542118496267079E-3</v>
      </c>
      <c r="S14" s="416">
        <f>SUM(S11:S13)</f>
        <v>948.83720930232562</v>
      </c>
      <c r="T14" s="419">
        <f>SUM(T11:T13)</f>
        <v>135</v>
      </c>
      <c r="U14" s="422">
        <f>SUM(U11:U13)</f>
        <v>135135</v>
      </c>
      <c r="V14" s="373"/>
      <c r="W14" s="364"/>
    </row>
    <row r="15" spans="2:26" s="7" customFormat="1" ht="21.6" customHeight="1">
      <c r="B15" s="598" t="s">
        <v>419</v>
      </c>
      <c r="C15" s="572" t="s">
        <v>38</v>
      </c>
      <c r="D15" s="423" t="s">
        <v>236</v>
      </c>
      <c r="E15" s="423" t="s">
        <v>284</v>
      </c>
      <c r="F15" s="424">
        <v>18500000</v>
      </c>
      <c r="G15" s="424">
        <f>I15/J15</f>
        <v>13541940.622950554</v>
      </c>
      <c r="H15" s="425">
        <f>G15/F15</f>
        <v>0.73199679042975963</v>
      </c>
      <c r="I15" s="424">
        <f>K15/N15*1000</f>
        <v>81251643.737703323</v>
      </c>
      <c r="J15" s="426">
        <v>6</v>
      </c>
      <c r="K15" s="427">
        <v>97501.972485243998</v>
      </c>
      <c r="L15" s="428">
        <f>I15*M15</f>
        <v>357507.23244589462</v>
      </c>
      <c r="M15" s="429">
        <v>4.4000000000000003E-3</v>
      </c>
      <c r="N15" s="430">
        <v>1.2</v>
      </c>
      <c r="O15" s="430">
        <v>0.3</v>
      </c>
      <c r="P15" s="428">
        <f>K15/O15</f>
        <v>325006.57495081332</v>
      </c>
      <c r="Q15" s="430">
        <v>21.4</v>
      </c>
      <c r="R15" s="431">
        <f>S15/L15</f>
        <v>1.274426508071368E-2</v>
      </c>
      <c r="S15" s="428">
        <f>K15/Q15</f>
        <v>4556.1669385628038</v>
      </c>
      <c r="T15" s="432">
        <f>K15*0.1%</f>
        <v>97.501972485243996</v>
      </c>
      <c r="U15" s="433">
        <f>K15+T15</f>
        <v>97599.474457729244</v>
      </c>
      <c r="V15" s="373"/>
      <c r="W15" s="404"/>
    </row>
    <row r="16" spans="2:26" s="7" customFormat="1" ht="21.6" customHeight="1">
      <c r="B16" s="599"/>
      <c r="C16" s="601"/>
      <c r="D16" s="21" t="s">
        <v>236</v>
      </c>
      <c r="E16" s="21" t="s">
        <v>200</v>
      </c>
      <c r="F16" s="379">
        <v>18500000</v>
      </c>
      <c r="G16" s="379">
        <f>I16/J16</f>
        <v>11719366.401638957</v>
      </c>
      <c r="H16" s="59">
        <f t="shared" ref="H16" si="16">G16/F16</f>
        <v>0.63347926495345708</v>
      </c>
      <c r="I16" s="379">
        <f t="shared" ref="I16" si="17">K16/N16*1000</f>
        <v>70316198.409833744</v>
      </c>
      <c r="J16" s="43">
        <v>6</v>
      </c>
      <c r="K16" s="39">
        <v>56252.958727867001</v>
      </c>
      <c r="L16" s="49">
        <f t="shared" ref="L16" si="18">I16*M16</f>
        <v>295328.03332130169</v>
      </c>
      <c r="M16" s="36">
        <v>4.1999999999999997E-3</v>
      </c>
      <c r="N16" s="38">
        <v>0.8</v>
      </c>
      <c r="O16" s="38">
        <v>0.28000000000000003</v>
      </c>
      <c r="P16" s="49">
        <f t="shared" ref="P16" si="19">K16/O16</f>
        <v>200903.4240280964</v>
      </c>
      <c r="Q16" s="38">
        <v>21.4</v>
      </c>
      <c r="R16" s="62">
        <f t="shared" ref="R16" si="20">S16/L16</f>
        <v>8.9007565643079694E-3</v>
      </c>
      <c r="S16" s="49">
        <f t="shared" ref="S16" si="21">K16/Q16</f>
        <v>2628.6429312087384</v>
      </c>
      <c r="T16" s="37">
        <f>K16*0.1%</f>
        <v>56.252958727867004</v>
      </c>
      <c r="U16" s="414">
        <f>K16+T16</f>
        <v>56309.21168659487</v>
      </c>
      <c r="V16" s="373"/>
      <c r="W16" s="404"/>
    </row>
    <row r="17" spans="2:23" s="7" customFormat="1" ht="21.6" hidden="1" customHeight="1">
      <c r="B17" s="599"/>
      <c r="C17" s="601"/>
      <c r="D17" s="21" t="s">
        <v>310</v>
      </c>
      <c r="E17" s="21" t="s">
        <v>200</v>
      </c>
      <c r="F17" s="379"/>
      <c r="G17" s="379"/>
      <c r="H17" s="59"/>
      <c r="I17" s="379"/>
      <c r="J17" s="43"/>
      <c r="K17" s="39"/>
      <c r="L17" s="49"/>
      <c r="M17" s="36"/>
      <c r="N17" s="38"/>
      <c r="O17" s="38"/>
      <c r="P17" s="49"/>
      <c r="Q17" s="38"/>
      <c r="R17" s="62"/>
      <c r="S17" s="49"/>
      <c r="T17" s="37"/>
      <c r="U17" s="414"/>
      <c r="V17" s="373"/>
      <c r="W17" s="364"/>
    </row>
    <row r="18" spans="2:23" s="7" customFormat="1" ht="21.6" customHeight="1" thickBot="1">
      <c r="B18" s="600"/>
      <c r="C18" s="602"/>
      <c r="D18" s="415" t="s">
        <v>243</v>
      </c>
      <c r="E18" s="415"/>
      <c r="F18" s="416"/>
      <c r="G18" s="416"/>
      <c r="H18" s="417"/>
      <c r="I18" s="416">
        <f>SUM(I15:I17)</f>
        <v>151567842.14753705</v>
      </c>
      <c r="J18" s="418"/>
      <c r="K18" s="419">
        <f>SUM(K15:K17)</f>
        <v>153754.93121311101</v>
      </c>
      <c r="L18" s="416">
        <f>SUM(L15:L17)</f>
        <v>652835.26576719631</v>
      </c>
      <c r="M18" s="420"/>
      <c r="N18" s="417"/>
      <c r="O18" s="417"/>
      <c r="P18" s="416">
        <f>SUM(P15:P17)</f>
        <v>525909.99897890969</v>
      </c>
      <c r="Q18" s="417"/>
      <c r="R18" s="421">
        <f>S18/L18</f>
        <v>1.1005548024934171E-2</v>
      </c>
      <c r="S18" s="416">
        <f>SUM(S15:S17)</f>
        <v>7184.8098697715423</v>
      </c>
      <c r="T18" s="419">
        <f>SUM(T15:T17)</f>
        <v>153.75493121311101</v>
      </c>
      <c r="U18" s="422">
        <f>SUM(U15:U17)</f>
        <v>153908.68614432411</v>
      </c>
      <c r="V18" s="373"/>
      <c r="W18" s="364"/>
    </row>
    <row r="19" spans="2:23" s="7" customFormat="1" ht="21.6" customHeight="1">
      <c r="B19" s="598" t="s">
        <v>425</v>
      </c>
      <c r="C19" s="572" t="s">
        <v>38</v>
      </c>
      <c r="D19" s="423" t="s">
        <v>236</v>
      </c>
      <c r="E19" s="423" t="s">
        <v>284</v>
      </c>
      <c r="F19" s="424">
        <v>4000000</v>
      </c>
      <c r="G19" s="424">
        <f>I19/J19</f>
        <v>771538.4615384615</v>
      </c>
      <c r="H19" s="425">
        <f>G19/F19</f>
        <v>0.19288461538461538</v>
      </c>
      <c r="I19" s="424">
        <f>K19/N19*1000</f>
        <v>3857692.3076923075</v>
      </c>
      <c r="J19" s="426">
        <v>5</v>
      </c>
      <c r="K19" s="427">
        <v>5015</v>
      </c>
      <c r="L19" s="428">
        <f>I19*M19</f>
        <v>15430.76923076923</v>
      </c>
      <c r="M19" s="429">
        <v>4.0000000000000001E-3</v>
      </c>
      <c r="N19" s="430">
        <v>1.3</v>
      </c>
      <c r="O19" s="430">
        <v>0.4</v>
      </c>
      <c r="P19" s="428">
        <f>K19/O19</f>
        <v>12537.5</v>
      </c>
      <c r="Q19" s="430">
        <v>25</v>
      </c>
      <c r="R19" s="431">
        <f>S19/L19</f>
        <v>1.2999999999999999E-2</v>
      </c>
      <c r="S19" s="428">
        <f>K19/Q19</f>
        <v>200.6</v>
      </c>
      <c r="T19" s="432">
        <f>K19*0.1%</f>
        <v>5.0149999999999997</v>
      </c>
      <c r="U19" s="433">
        <f>K19+T19</f>
        <v>5020.0150000000003</v>
      </c>
      <c r="V19" s="373"/>
      <c r="W19" s="404"/>
    </row>
    <row r="20" spans="2:23" s="7" customFormat="1" ht="21.6" customHeight="1">
      <c r="B20" s="599"/>
      <c r="C20" s="601"/>
      <c r="D20" s="21" t="s">
        <v>236</v>
      </c>
      <c r="E20" s="21" t="s">
        <v>200</v>
      </c>
      <c r="F20" s="424">
        <v>4000000</v>
      </c>
      <c r="G20" s="379">
        <f>I20/J20</f>
        <v>1111111.1111111112</v>
      </c>
      <c r="H20" s="59">
        <f t="shared" ref="H20" si="22">G20/F20</f>
        <v>0.27777777777777779</v>
      </c>
      <c r="I20" s="379">
        <f t="shared" ref="I20" si="23">K20/N20*1000</f>
        <v>5555555.555555556</v>
      </c>
      <c r="J20" s="43">
        <v>5</v>
      </c>
      <c r="K20" s="427">
        <v>5000</v>
      </c>
      <c r="L20" s="49">
        <f t="shared" ref="L20" si="24">I20*M20</f>
        <v>16666.666666666668</v>
      </c>
      <c r="M20" s="36">
        <v>3.0000000000000001E-3</v>
      </c>
      <c r="N20" s="38">
        <v>0.9</v>
      </c>
      <c r="O20" s="38">
        <v>0.35</v>
      </c>
      <c r="P20" s="49">
        <f t="shared" ref="P20" si="25">K20/O20</f>
        <v>14285.714285714286</v>
      </c>
      <c r="Q20" s="38">
        <v>20</v>
      </c>
      <c r="R20" s="62">
        <f t="shared" ref="R20" si="26">S20/L20</f>
        <v>1.4999999999999999E-2</v>
      </c>
      <c r="S20" s="49">
        <f t="shared" ref="S20" si="27">K20/Q20</f>
        <v>250</v>
      </c>
      <c r="T20" s="37">
        <f>K20*0.1%</f>
        <v>5</v>
      </c>
      <c r="U20" s="414">
        <f>K20+T20</f>
        <v>5005</v>
      </c>
      <c r="V20" s="373"/>
      <c r="W20" s="404"/>
    </row>
    <row r="21" spans="2:23" s="7" customFormat="1" ht="21.6" hidden="1" customHeight="1">
      <c r="B21" s="599"/>
      <c r="C21" s="601"/>
      <c r="D21" s="21" t="s">
        <v>310</v>
      </c>
      <c r="E21" s="21" t="s">
        <v>200</v>
      </c>
      <c r="F21" s="379"/>
      <c r="G21" s="379"/>
      <c r="H21" s="59"/>
      <c r="I21" s="379"/>
      <c r="J21" s="43"/>
      <c r="K21" s="39"/>
      <c r="L21" s="49"/>
      <c r="M21" s="36"/>
      <c r="N21" s="38"/>
      <c r="O21" s="38"/>
      <c r="P21" s="49"/>
      <c r="Q21" s="38"/>
      <c r="R21" s="62"/>
      <c r="S21" s="49"/>
      <c r="T21" s="37"/>
      <c r="U21" s="414"/>
      <c r="V21" s="373"/>
      <c r="W21" s="364"/>
    </row>
    <row r="22" spans="2:23" s="7" customFormat="1" ht="21.6" customHeight="1" thickBot="1">
      <c r="B22" s="600"/>
      <c r="C22" s="602"/>
      <c r="D22" s="415" t="s">
        <v>243</v>
      </c>
      <c r="E22" s="415"/>
      <c r="F22" s="416"/>
      <c r="G22" s="416"/>
      <c r="H22" s="417"/>
      <c r="I22" s="416">
        <f>SUM(I19:I21)</f>
        <v>9413247.8632478639</v>
      </c>
      <c r="J22" s="418"/>
      <c r="K22" s="419">
        <f>SUM(K19:K21)</f>
        <v>10015</v>
      </c>
      <c r="L22" s="416">
        <f>SUM(L19:L21)</f>
        <v>32097.435897435898</v>
      </c>
      <c r="M22" s="420"/>
      <c r="N22" s="417"/>
      <c r="O22" s="417"/>
      <c r="P22" s="416">
        <f>SUM(P19:P21)</f>
        <v>26823.214285714286</v>
      </c>
      <c r="Q22" s="417"/>
      <c r="R22" s="421">
        <f>S22/L22</f>
        <v>1.4038504553443042E-2</v>
      </c>
      <c r="S22" s="416">
        <f>SUM(S19:S21)</f>
        <v>450.6</v>
      </c>
      <c r="T22" s="419">
        <f>SUM(T19:T21)</f>
        <v>10.015000000000001</v>
      </c>
      <c r="U22" s="422">
        <f>SUM(U19:U21)</f>
        <v>10025.014999999999</v>
      </c>
      <c r="V22" s="373"/>
      <c r="W22" s="364"/>
    </row>
    <row r="25" spans="2:23" s="613" customFormat="1">
      <c r="B25" s="608"/>
      <c r="C25" s="609" t="s">
        <v>318</v>
      </c>
      <c r="D25" s="609"/>
      <c r="E25" s="609"/>
      <c r="F25" s="610"/>
      <c r="G25" s="610"/>
      <c r="H25" s="609"/>
      <c r="I25" s="610">
        <f>I6+I7+I11+I12+I15+I16+I19+I20</f>
        <v>409553226.00487214</v>
      </c>
      <c r="J25" s="609"/>
      <c r="K25" s="609">
        <f>K6+K7+K11+K12+K15+K16+K19+K20</f>
        <v>508739.93121311098</v>
      </c>
      <c r="L25" s="610">
        <f>L6+L7+L11+L12+L15+L16+L19+L20</f>
        <v>1731158.2522928659</v>
      </c>
      <c r="M25" s="609"/>
      <c r="N25" s="609"/>
      <c r="O25" s="609"/>
      <c r="P25" s="611">
        <f>P6+P7+P11+P12+P15+P16+P19+P20</f>
        <v>1219403.9824953934</v>
      </c>
      <c r="Q25" s="609"/>
      <c r="R25" s="609"/>
      <c r="S25" s="611">
        <f>S6+S7+S11+S12+S15+S16+S19+S20</f>
        <v>16216.380412407203</v>
      </c>
      <c r="T25" s="609">
        <f>T6+T7+T11+T12+T15+T16+T19+T20</f>
        <v>508.73993121311099</v>
      </c>
      <c r="U25" s="609">
        <f>U6+U7+U11+U12+U15+U16+U19+U20</f>
        <v>509248.67114432412</v>
      </c>
      <c r="W25" s="614"/>
    </row>
    <row r="26" spans="2:23" s="613" customFormat="1">
      <c r="B26" s="615"/>
      <c r="C26" s="616" t="s">
        <v>319</v>
      </c>
      <c r="D26" s="616"/>
      <c r="E26" s="616"/>
      <c r="F26" s="617"/>
      <c r="G26" s="617"/>
      <c r="H26" s="616"/>
      <c r="I26" s="617"/>
      <c r="J26" s="616"/>
      <c r="K26" s="616"/>
      <c r="L26" s="617"/>
      <c r="M26" s="616"/>
      <c r="N26" s="616"/>
      <c r="O26" s="616"/>
      <c r="P26" s="618"/>
      <c r="Q26" s="616"/>
      <c r="R26" s="616"/>
      <c r="S26" s="618"/>
      <c r="T26" s="616"/>
      <c r="U26" s="616"/>
      <c r="W26" s="614"/>
    </row>
    <row r="27" spans="2:23" s="613" customFormat="1">
      <c r="B27" s="619"/>
      <c r="C27" s="620" t="s">
        <v>292</v>
      </c>
      <c r="D27" s="620"/>
      <c r="E27" s="620"/>
      <c r="F27" s="621"/>
      <c r="G27" s="621"/>
      <c r="H27" s="620"/>
      <c r="I27" s="621">
        <f>I8+I9</f>
        <v>51245691.666666664</v>
      </c>
      <c r="J27" s="620"/>
      <c r="K27" s="620">
        <f t="shared" ref="K27:L27" si="28">K8+K9</f>
        <v>64145.979999999996</v>
      </c>
      <c r="L27" s="621">
        <f t="shared" si="28"/>
        <v>185195.41333333333</v>
      </c>
      <c r="M27" s="620"/>
      <c r="N27" s="620"/>
      <c r="O27" s="620"/>
      <c r="P27" s="622">
        <f>P8+P9</f>
        <v>118398.28333333333</v>
      </c>
      <c r="Q27" s="620"/>
      <c r="R27" s="620"/>
      <c r="S27" s="622">
        <f t="shared" ref="S27:U27" si="29">S8+S9</f>
        <v>1974.0805238095238</v>
      </c>
      <c r="T27" s="620">
        <f t="shared" si="29"/>
        <v>64.145979999999994</v>
      </c>
      <c r="U27" s="620">
        <f t="shared" si="29"/>
        <v>64210.125979999997</v>
      </c>
      <c r="W27" s="614"/>
    </row>
    <row r="28" spans="2:23" s="7" customFormat="1" ht="20.85" customHeight="1" thickBot="1">
      <c r="B28" s="193" t="s">
        <v>207</v>
      </c>
      <c r="C28" s="193"/>
      <c r="D28" s="193"/>
      <c r="E28" s="193"/>
      <c r="F28" s="377"/>
      <c r="G28" s="377"/>
      <c r="H28" s="215"/>
      <c r="I28" s="377">
        <f>I25+I26+I27</f>
        <v>460798917.67153883</v>
      </c>
      <c r="J28" s="216"/>
      <c r="K28" s="215">
        <f t="shared" ref="K28:L28" si="30">K25+K26+K27</f>
        <v>572885.91121311102</v>
      </c>
      <c r="L28" s="377">
        <f t="shared" si="30"/>
        <v>1916353.6656261992</v>
      </c>
      <c r="M28" s="215"/>
      <c r="N28" s="215"/>
      <c r="O28" s="215"/>
      <c r="P28" s="381">
        <f>P25+P26+P27</f>
        <v>1337802.2658287268</v>
      </c>
      <c r="Q28" s="215"/>
      <c r="R28" s="215"/>
      <c r="S28" s="381">
        <f t="shared" ref="S28:U28" si="31">S25+S26+S27</f>
        <v>18190.460936216728</v>
      </c>
      <c r="T28" s="215">
        <f t="shared" si="31"/>
        <v>572.88591121311094</v>
      </c>
      <c r="U28" s="215">
        <f t="shared" si="31"/>
        <v>573458.79712432413</v>
      </c>
      <c r="W28" s="364"/>
    </row>
    <row r="29" spans="2:23" ht="15" thickTop="1"/>
  </sheetData>
  <mergeCells count="8">
    <mergeCell ref="B19:B22"/>
    <mergeCell ref="C19:C22"/>
    <mergeCell ref="B15:B18"/>
    <mergeCell ref="C15:C18"/>
    <mergeCell ref="B6:B10"/>
    <mergeCell ref="C6:C10"/>
    <mergeCell ref="B11:B14"/>
    <mergeCell ref="C11:C1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7" tint="0.79998168889431442"/>
  </sheetPr>
  <dimension ref="A1:W39"/>
  <sheetViews>
    <sheetView showGridLines="0" zoomScale="56" zoomScaleNormal="56" workbookViewId="0">
      <selection activeCell="I43" sqref="I43"/>
    </sheetView>
  </sheetViews>
  <sheetFormatPr baseColWidth="10" defaultColWidth="8.88671875" defaultRowHeight="14.4"/>
  <cols>
    <col min="2" max="2" width="15.6640625" customWidth="1"/>
    <col min="3" max="3" width="11.5546875" bestFit="1" customWidth="1"/>
    <col min="4" max="4" width="20.5546875" bestFit="1" customWidth="1"/>
    <col min="5" max="6" width="11.109375" customWidth="1"/>
    <col min="7" max="7" width="17.88671875" customWidth="1"/>
    <col min="8" max="8" width="10.88671875" customWidth="1"/>
    <col min="9" max="9" width="15.109375" customWidth="1"/>
    <col min="10" max="10" width="27.109375" customWidth="1"/>
    <col min="11" max="11" width="16.5546875" bestFit="1" customWidth="1"/>
    <col min="12" max="12" width="15" bestFit="1" customWidth="1"/>
    <col min="13" max="13" width="9.88671875" customWidth="1"/>
    <col min="14" max="14" width="10.5546875" customWidth="1"/>
    <col min="15" max="15" width="16.44140625" customWidth="1"/>
    <col min="16" max="16" width="13.21875" bestFit="1" customWidth="1"/>
    <col min="19" max="19" width="9" bestFit="1" customWidth="1"/>
    <col min="20" max="20" width="13" bestFit="1" customWidth="1"/>
    <col min="21" max="21" width="16.5546875" bestFit="1" customWidth="1"/>
  </cols>
  <sheetData>
    <row r="1" spans="1:23">
      <c r="U1" s="454"/>
    </row>
    <row r="2" spans="1:23">
      <c r="G2" s="14"/>
      <c r="K2" s="454"/>
      <c r="L2" s="454"/>
      <c r="U2" s="667">
        <v>70653.923789749402</v>
      </c>
    </row>
    <row r="3" spans="1:23" ht="15" thickBot="1">
      <c r="G3" s="14"/>
      <c r="K3" s="454"/>
      <c r="L3" s="454"/>
      <c r="U3" s="667">
        <f>U2-U30-U31</f>
        <v>-14999.985000000001</v>
      </c>
    </row>
    <row r="4" spans="1:23" s="7" customFormat="1" ht="24.6" customHeight="1" thickBot="1">
      <c r="B4" s="180" t="s">
        <v>237</v>
      </c>
      <c r="C4" s="181" t="s">
        <v>265</v>
      </c>
      <c r="D4" s="181" t="s">
        <v>266</v>
      </c>
      <c r="E4" s="181" t="s">
        <v>267</v>
      </c>
      <c r="F4" s="375" t="s">
        <v>268</v>
      </c>
      <c r="G4" s="375" t="s">
        <v>269</v>
      </c>
      <c r="H4" s="181" t="s">
        <v>270</v>
      </c>
      <c r="I4" s="375" t="s">
        <v>198</v>
      </c>
      <c r="J4" s="181" t="s">
        <v>271</v>
      </c>
      <c r="K4" s="181" t="s">
        <v>272</v>
      </c>
      <c r="L4" s="375" t="s">
        <v>273</v>
      </c>
      <c r="M4" s="181" t="s">
        <v>274</v>
      </c>
      <c r="N4" s="181" t="s">
        <v>275</v>
      </c>
      <c r="O4" s="191" t="s">
        <v>276</v>
      </c>
      <c r="P4" s="380" t="s">
        <v>277</v>
      </c>
      <c r="Q4" s="191" t="s">
        <v>278</v>
      </c>
      <c r="R4" s="190" t="s">
        <v>279</v>
      </c>
      <c r="S4" s="380" t="s">
        <v>200</v>
      </c>
      <c r="T4" s="190" t="s">
        <v>192</v>
      </c>
      <c r="U4" s="181" t="s">
        <v>280</v>
      </c>
      <c r="W4" s="364"/>
    </row>
    <row r="5" spans="1:23" s="7" customFormat="1" ht="21.6" customHeight="1">
      <c r="B5" s="574" t="s">
        <v>417</v>
      </c>
      <c r="C5" s="571" t="s">
        <v>39</v>
      </c>
      <c r="D5" s="21" t="s">
        <v>236</v>
      </c>
      <c r="E5" s="21" t="s">
        <v>284</v>
      </c>
      <c r="F5" s="379">
        <v>15000000</v>
      </c>
      <c r="G5" s="379">
        <f>I5/J5</f>
        <v>9772428.3838949297</v>
      </c>
      <c r="H5" s="59">
        <f>G5/F5</f>
        <v>0.65149522559299533</v>
      </c>
      <c r="I5" s="379">
        <f>K5/N5*1000</f>
        <v>58634570.303369582</v>
      </c>
      <c r="J5" s="43">
        <v>6</v>
      </c>
      <c r="K5" s="39">
        <v>140722.968728087</v>
      </c>
      <c r="L5" s="49">
        <f>I5*M5</f>
        <v>545301.50382133701</v>
      </c>
      <c r="M5" s="36">
        <v>9.2999999999999992E-3</v>
      </c>
      <c r="N5" s="38">
        <v>2.4</v>
      </c>
      <c r="O5" s="38">
        <v>1</v>
      </c>
      <c r="P5" s="49">
        <f>K5/O5</f>
        <v>140722.968728087</v>
      </c>
      <c r="Q5" s="38">
        <v>155</v>
      </c>
      <c r="R5" s="62">
        <f>S5/L5</f>
        <v>1.664932362122789E-3</v>
      </c>
      <c r="S5" s="49">
        <f>K5/Q5</f>
        <v>907.89012082636771</v>
      </c>
      <c r="T5" s="37">
        <f>K5*0.1%</f>
        <v>140.72296872808701</v>
      </c>
      <c r="U5" s="39">
        <f>K5+T5</f>
        <v>140863.69169681508</v>
      </c>
      <c r="V5" s="373"/>
      <c r="W5" s="404"/>
    </row>
    <row r="6" spans="1:23" s="7" customFormat="1" ht="21.6" customHeight="1">
      <c r="B6" s="575"/>
      <c r="C6" s="571"/>
      <c r="D6" s="21" t="s">
        <v>236</v>
      </c>
      <c r="E6" s="21" t="s">
        <v>200</v>
      </c>
      <c r="F6" s="379">
        <v>15000000</v>
      </c>
      <c r="G6" s="379">
        <f>I6/J6</f>
        <v>6192759.3137941966</v>
      </c>
      <c r="H6" s="59">
        <f t="shared" ref="H6:H7" si="0">G6/F6</f>
        <v>0.41285062091961311</v>
      </c>
      <c r="I6" s="379">
        <f t="shared" ref="I6:I7" si="1">K6/N6*1000</f>
        <v>37156555.882765181</v>
      </c>
      <c r="J6" s="43">
        <v>6</v>
      </c>
      <c r="K6" s="39">
        <v>100322.70088346599</v>
      </c>
      <c r="L6" s="49">
        <f t="shared" ref="L6:L7" si="2">I6*M6</f>
        <v>215508.02412003803</v>
      </c>
      <c r="M6" s="36">
        <v>5.7999999999999996E-3</v>
      </c>
      <c r="N6" s="38">
        <v>2.7</v>
      </c>
      <c r="O6" s="38">
        <v>1.7</v>
      </c>
      <c r="P6" s="49">
        <f t="shared" ref="P6:P32" si="3">K6/O6</f>
        <v>59013.353460862352</v>
      </c>
      <c r="Q6" s="38">
        <v>155</v>
      </c>
      <c r="R6" s="62">
        <f t="shared" ref="R6:R31" si="4">S6/L6</f>
        <v>3.0033370411568414E-3</v>
      </c>
      <c r="S6" s="49">
        <f t="shared" ref="S6:S7" si="5">K6/Q6</f>
        <v>647.24323150623218</v>
      </c>
      <c r="T6" s="37">
        <f>K6*0.1%</f>
        <v>100.322700883466</v>
      </c>
      <c r="U6" s="39">
        <f>K6+T6</f>
        <v>100423.02358434946</v>
      </c>
      <c r="V6" s="373"/>
      <c r="W6" s="404"/>
    </row>
    <row r="7" spans="1:23" s="7" customFormat="1" ht="21.6" customHeight="1">
      <c r="B7" s="575"/>
      <c r="C7" s="571"/>
      <c r="D7" s="21" t="s">
        <v>377</v>
      </c>
      <c r="E7" s="21" t="s">
        <v>198</v>
      </c>
      <c r="F7" s="379">
        <v>15000000</v>
      </c>
      <c r="G7" s="379">
        <f>I7/J7</f>
        <v>6744047.6190476194</v>
      </c>
      <c r="H7" s="59">
        <f t="shared" si="0"/>
        <v>0.44960317460317462</v>
      </c>
      <c r="I7" s="379">
        <f t="shared" si="1"/>
        <v>20232142.857142858</v>
      </c>
      <c r="J7" s="43">
        <v>3</v>
      </c>
      <c r="K7" s="39">
        <v>113300</v>
      </c>
      <c r="L7" s="49">
        <f t="shared" si="2"/>
        <v>865935.71428571432</v>
      </c>
      <c r="M7" s="36">
        <v>4.2799999999999998E-2</v>
      </c>
      <c r="N7" s="38">
        <v>5.6</v>
      </c>
      <c r="O7" s="38">
        <v>0.45</v>
      </c>
      <c r="P7" s="49">
        <f t="shared" si="3"/>
        <v>251777.77777777778</v>
      </c>
      <c r="Q7" s="38">
        <v>147</v>
      </c>
      <c r="R7" s="62">
        <f t="shared" si="4"/>
        <v>8.9007565643079648E-4</v>
      </c>
      <c r="S7" s="49">
        <f t="shared" si="5"/>
        <v>770.74829931972783</v>
      </c>
      <c r="T7" s="37">
        <f>K7*0.1%</f>
        <v>113.3</v>
      </c>
      <c r="U7" s="39">
        <f>K7+T7</f>
        <v>113413.3</v>
      </c>
      <c r="W7" s="364"/>
    </row>
    <row r="8" spans="1:23" s="7" customFormat="1" ht="21.6" customHeight="1">
      <c r="B8" s="581"/>
      <c r="C8" s="572"/>
      <c r="D8" s="51" t="s">
        <v>243</v>
      </c>
      <c r="E8" s="51"/>
      <c r="F8" s="376"/>
      <c r="G8" s="376"/>
      <c r="H8" s="56"/>
      <c r="I8" s="376">
        <f>SUM(I5:I7)</f>
        <v>116023269.04327762</v>
      </c>
      <c r="J8" s="54"/>
      <c r="K8" s="53">
        <f>SUM(K5:K7)</f>
        <v>354345.66961155296</v>
      </c>
      <c r="L8" s="376">
        <f>SUM(L5:L7)</f>
        <v>1626745.2422270894</v>
      </c>
      <c r="M8" s="55"/>
      <c r="N8" s="56"/>
      <c r="O8" s="56"/>
      <c r="P8" s="376">
        <f>SUM(P5:P7)</f>
        <v>451514.09996672714</v>
      </c>
      <c r="Q8" s="56"/>
      <c r="R8" s="57">
        <f>S8/L8</f>
        <v>1.4297762128187251E-3</v>
      </c>
      <c r="S8" s="376">
        <f>SUM(S5:S7)</f>
        <v>2325.8816516523275</v>
      </c>
      <c r="T8" s="53">
        <f>SUM(T5:T7)</f>
        <v>354.34566961155303</v>
      </c>
      <c r="U8" s="53">
        <f>SUM(U5:U7)</f>
        <v>354700.01528116455</v>
      </c>
      <c r="V8" s="373"/>
      <c r="W8" s="364"/>
    </row>
    <row r="9" spans="1:23" s="7" customFormat="1" ht="21.6" customHeight="1">
      <c r="B9" s="580" t="s">
        <v>433</v>
      </c>
      <c r="C9" s="573" t="s">
        <v>39</v>
      </c>
      <c r="D9" s="21" t="s">
        <v>236</v>
      </c>
      <c r="E9" s="21" t="s">
        <v>284</v>
      </c>
      <c r="F9" s="379">
        <v>11000000</v>
      </c>
      <c r="G9" s="379">
        <f>I9/J9</f>
        <v>7159090.9090909092</v>
      </c>
      <c r="H9" s="59">
        <f t="shared" ref="H9:H11" si="6">G9/F9</f>
        <v>0.65082644628099173</v>
      </c>
      <c r="I9" s="379">
        <f t="shared" ref="I9:I11" si="7">K9/N9*1000</f>
        <v>78750000</v>
      </c>
      <c r="J9" s="43">
        <v>11</v>
      </c>
      <c r="K9" s="39">
        <v>126000</v>
      </c>
      <c r="L9" s="49">
        <f>I9*M9</f>
        <v>559125</v>
      </c>
      <c r="M9" s="62">
        <v>7.1000000000000004E-3</v>
      </c>
      <c r="N9" s="38">
        <v>1.6</v>
      </c>
      <c r="O9" s="38">
        <v>0.6</v>
      </c>
      <c r="P9" s="49">
        <f>K9/O9</f>
        <v>210000</v>
      </c>
      <c r="Q9" s="38">
        <v>255</v>
      </c>
      <c r="R9" s="62">
        <f t="shared" si="4"/>
        <v>8.837337752002209E-4</v>
      </c>
      <c r="S9" s="49">
        <f t="shared" ref="S9:S11" si="8">K9/Q9</f>
        <v>494.11764705882354</v>
      </c>
      <c r="T9" s="37">
        <f>K9*0.1%</f>
        <v>126</v>
      </c>
      <c r="U9" s="39">
        <f>K9+T9</f>
        <v>126126</v>
      </c>
      <c r="W9" s="364"/>
    </row>
    <row r="10" spans="1:23" s="7" customFormat="1" ht="21.6" customHeight="1">
      <c r="B10" s="575"/>
      <c r="C10" s="571"/>
      <c r="D10" s="21" t="s">
        <v>236</v>
      </c>
      <c r="E10" s="21" t="s">
        <v>200</v>
      </c>
      <c r="F10" s="379">
        <v>11000000</v>
      </c>
      <c r="G10" s="379">
        <f>I10/J10</f>
        <v>6095238.0952380961</v>
      </c>
      <c r="H10" s="59">
        <f t="shared" si="6"/>
        <v>0.55411255411255422</v>
      </c>
      <c r="I10" s="379">
        <f t="shared" si="7"/>
        <v>36571428.571428575</v>
      </c>
      <c r="J10" s="43">
        <v>6</v>
      </c>
      <c r="K10" s="39">
        <v>76800</v>
      </c>
      <c r="L10" s="49">
        <f>I10*M10</f>
        <v>153600</v>
      </c>
      <c r="M10" s="62">
        <v>4.1999999999999997E-3</v>
      </c>
      <c r="N10" s="38">
        <v>2.1</v>
      </c>
      <c r="O10" s="38">
        <v>0.7</v>
      </c>
      <c r="P10" s="49">
        <f t="shared" si="3"/>
        <v>109714.28571428572</v>
      </c>
      <c r="Q10" s="38">
        <v>255</v>
      </c>
      <c r="R10" s="62">
        <f t="shared" si="4"/>
        <v>1.9607843137254902E-3</v>
      </c>
      <c r="S10" s="49">
        <f t="shared" si="8"/>
        <v>301.1764705882353</v>
      </c>
      <c r="T10" s="37">
        <f>K10*0.1%</f>
        <v>76.8</v>
      </c>
      <c r="U10" s="39">
        <f>K10+T10</f>
        <v>76876.800000000003</v>
      </c>
      <c r="V10" s="373"/>
      <c r="W10" s="364"/>
    </row>
    <row r="11" spans="1:23" s="7" customFormat="1" ht="21.6" customHeight="1">
      <c r="B11" s="575"/>
      <c r="C11" s="571"/>
      <c r="D11" s="21" t="s">
        <v>377</v>
      </c>
      <c r="E11" s="21" t="s">
        <v>198</v>
      </c>
      <c r="F11" s="379">
        <v>11000000</v>
      </c>
      <c r="G11" s="379">
        <f>I11/J11</f>
        <v>6013333.333333333</v>
      </c>
      <c r="H11" s="59">
        <f t="shared" si="6"/>
        <v>0.54666666666666663</v>
      </c>
      <c r="I11" s="379">
        <f t="shared" si="7"/>
        <v>18040000</v>
      </c>
      <c r="J11" s="43">
        <v>3</v>
      </c>
      <c r="K11" s="39">
        <v>90200</v>
      </c>
      <c r="L11" s="49">
        <f>I11*M11</f>
        <v>640420</v>
      </c>
      <c r="M11" s="62">
        <v>3.5499999999999997E-2</v>
      </c>
      <c r="N11" s="38">
        <v>5</v>
      </c>
      <c r="O11" s="38">
        <v>0.5</v>
      </c>
      <c r="P11" s="49">
        <f t="shared" si="3"/>
        <v>180400</v>
      </c>
      <c r="Q11" s="38">
        <v>575</v>
      </c>
      <c r="R11" s="62">
        <f t="shared" si="4"/>
        <v>2.4494794856093084E-4</v>
      </c>
      <c r="S11" s="49">
        <f t="shared" si="8"/>
        <v>156.86956521739131</v>
      </c>
      <c r="T11" s="37">
        <f>K11*0.1%</f>
        <v>90.2</v>
      </c>
      <c r="U11" s="39">
        <f>K11+T11</f>
        <v>90290.2</v>
      </c>
      <c r="V11" s="364"/>
      <c r="W11" s="364"/>
    </row>
    <row r="12" spans="1:23" s="7" customFormat="1" ht="21.6" hidden="1" customHeight="1">
      <c r="B12" s="575"/>
      <c r="C12" s="571"/>
      <c r="D12" s="21" t="s">
        <v>310</v>
      </c>
      <c r="E12" s="21" t="s">
        <v>200</v>
      </c>
      <c r="F12" s="379">
        <v>1900000</v>
      </c>
      <c r="G12" s="379" t="e">
        <f>I12/J12</f>
        <v>#DIV/0!</v>
      </c>
      <c r="H12" s="59"/>
      <c r="I12" s="379"/>
      <c r="J12" s="43"/>
      <c r="K12" s="39"/>
      <c r="L12" s="49"/>
      <c r="M12" s="36"/>
      <c r="N12" s="38"/>
      <c r="O12" s="38"/>
      <c r="P12" s="49" t="e">
        <f t="shared" si="3"/>
        <v>#DIV/0!</v>
      </c>
      <c r="Q12" s="38"/>
      <c r="R12" s="62" t="e">
        <f t="shared" si="4"/>
        <v>#DIV/0!</v>
      </c>
      <c r="S12" s="49"/>
      <c r="T12" s="37"/>
      <c r="U12" s="39"/>
      <c r="W12" s="364"/>
    </row>
    <row r="13" spans="1:23" s="7" customFormat="1" ht="21.6" customHeight="1">
      <c r="B13" s="581"/>
      <c r="C13" s="572"/>
      <c r="D13" s="51" t="s">
        <v>243</v>
      </c>
      <c r="E13" s="51"/>
      <c r="F13" s="376"/>
      <c r="G13" s="376"/>
      <c r="H13" s="52"/>
      <c r="I13" s="376">
        <f>SUM(I9:I11)</f>
        <v>133361428.57142857</v>
      </c>
      <c r="J13" s="54"/>
      <c r="K13" s="53">
        <f>SUM(K9:K11)</f>
        <v>293000</v>
      </c>
      <c r="L13" s="376">
        <f>SUM(L9:L11)</f>
        <v>1353145</v>
      </c>
      <c r="M13" s="55"/>
      <c r="N13" s="56"/>
      <c r="O13" s="56"/>
      <c r="P13" s="376">
        <f>SUM(P9:P11)</f>
        <v>500114.28571428574</v>
      </c>
      <c r="Q13" s="56"/>
      <c r="R13" s="363">
        <f t="shared" si="4"/>
        <v>7.0366714791426639E-4</v>
      </c>
      <c r="S13" s="376">
        <f>SUM(S9:S11)</f>
        <v>952.16368286445004</v>
      </c>
      <c r="T13" s="53">
        <f>SUM(T9:T11)</f>
        <v>293</v>
      </c>
      <c r="U13" s="53">
        <f>SUM(U9:U11)</f>
        <v>293293</v>
      </c>
      <c r="V13" s="373"/>
      <c r="W13" s="364"/>
    </row>
    <row r="14" spans="1:23" s="7" customFormat="1" ht="21.6" customHeight="1">
      <c r="A14" s="7" t="s">
        <v>195</v>
      </c>
      <c r="B14" s="580" t="s">
        <v>419</v>
      </c>
      <c r="C14" s="573" t="s">
        <v>39</v>
      </c>
      <c r="D14" s="21" t="s">
        <v>236</v>
      </c>
      <c r="E14" s="21" t="s">
        <v>284</v>
      </c>
      <c r="F14" s="379">
        <v>11000000</v>
      </c>
      <c r="G14" s="379">
        <f>I14/J14</f>
        <v>9332505.1759834364</v>
      </c>
      <c r="H14" s="59">
        <f t="shared" ref="H14:H16" si="9">G14/F14</f>
        <v>0.8484095614530397</v>
      </c>
      <c r="I14" s="379">
        <f t="shared" ref="I14:I16" si="10">K14/N14*1000</f>
        <v>83992546.58385092</v>
      </c>
      <c r="J14" s="43">
        <v>9</v>
      </c>
      <c r="K14" s="39">
        <v>135228</v>
      </c>
      <c r="L14" s="49">
        <f>I14*M14</f>
        <v>638343.35403726704</v>
      </c>
      <c r="M14" s="36">
        <v>7.6E-3</v>
      </c>
      <c r="N14" s="38">
        <v>1.61</v>
      </c>
      <c r="O14" s="38">
        <v>0.8</v>
      </c>
      <c r="P14" s="49">
        <f t="shared" si="3"/>
        <v>169035</v>
      </c>
      <c r="Q14" s="38">
        <v>102</v>
      </c>
      <c r="R14" s="62">
        <f t="shared" si="4"/>
        <v>2.0768833849329205E-3</v>
      </c>
      <c r="S14" s="49">
        <f t="shared" ref="S14:S16" si="11">K14/Q14</f>
        <v>1325.7647058823529</v>
      </c>
      <c r="T14" s="37">
        <f>K14*0.1%</f>
        <v>135.22800000000001</v>
      </c>
      <c r="U14" s="39">
        <f>K14+T14</f>
        <v>135363.228</v>
      </c>
      <c r="V14" s="373"/>
      <c r="W14" s="364"/>
    </row>
    <row r="15" spans="1:23" s="7" customFormat="1" ht="21.6" customHeight="1">
      <c r="B15" s="575"/>
      <c r="C15" s="571"/>
      <c r="D15" s="21" t="s">
        <v>236</v>
      </c>
      <c r="E15" s="21" t="s">
        <v>200</v>
      </c>
      <c r="F15" s="379">
        <v>11000000</v>
      </c>
      <c r="G15" s="379">
        <f>I15/J15</f>
        <v>6109939.4501398252</v>
      </c>
      <c r="H15" s="59">
        <f t="shared" si="9"/>
        <v>0.55544904092180225</v>
      </c>
      <c r="I15" s="379">
        <f t="shared" si="10"/>
        <v>30549697.250699125</v>
      </c>
      <c r="J15" s="43">
        <v>5</v>
      </c>
      <c r="K15" s="39">
        <v>62626.8793639332</v>
      </c>
      <c r="L15" s="49">
        <f>I15*M15</f>
        <v>122198.7890027965</v>
      </c>
      <c r="M15" s="36">
        <v>4.0000000000000001E-3</v>
      </c>
      <c r="N15" s="38">
        <v>2.0499999999999998</v>
      </c>
      <c r="O15" s="38">
        <v>0.57999999999999996</v>
      </c>
      <c r="P15" s="49">
        <f t="shared" si="3"/>
        <v>107977.37821367793</v>
      </c>
      <c r="Q15" s="38">
        <v>102</v>
      </c>
      <c r="R15" s="62">
        <f t="shared" si="4"/>
        <v>5.0245098039215681E-3</v>
      </c>
      <c r="S15" s="49">
        <f t="shared" si="11"/>
        <v>613.98901337189409</v>
      </c>
      <c r="T15" s="37">
        <f>K15*0.1%</f>
        <v>62.626879363933199</v>
      </c>
      <c r="U15" s="39">
        <f>K15+T15</f>
        <v>62689.506243297132</v>
      </c>
      <c r="V15" s="373"/>
      <c r="W15" s="364"/>
    </row>
    <row r="16" spans="1:23" s="7" customFormat="1" ht="21.6" customHeight="1">
      <c r="B16" s="575"/>
      <c r="C16" s="571"/>
      <c r="D16" s="21" t="s">
        <v>377</v>
      </c>
      <c r="E16" s="21" t="s">
        <v>198</v>
      </c>
      <c r="F16" s="379">
        <v>11000000</v>
      </c>
      <c r="G16" s="379">
        <f>I16/J16</f>
        <v>6022011.4152046787</v>
      </c>
      <c r="H16" s="59">
        <f t="shared" si="9"/>
        <v>0.54745558320042531</v>
      </c>
      <c r="I16" s="379">
        <f t="shared" si="10"/>
        <v>18066034.245614037</v>
      </c>
      <c r="J16" s="43">
        <v>3</v>
      </c>
      <c r="K16" s="39">
        <v>61600</v>
      </c>
      <c r="L16" s="49">
        <f>I16*M16</f>
        <v>641344.21571929823</v>
      </c>
      <c r="M16" s="62">
        <v>3.5499999999999997E-2</v>
      </c>
      <c r="N16" s="38">
        <v>3.4097134524670172</v>
      </c>
      <c r="O16" s="38">
        <v>0.42</v>
      </c>
      <c r="P16" s="49">
        <f t="shared" si="3"/>
        <v>146666.66666666669</v>
      </c>
      <c r="Q16" s="38">
        <v>127</v>
      </c>
      <c r="R16" s="62">
        <f t="shared" si="4"/>
        <v>7.5628556115493349E-4</v>
      </c>
      <c r="S16" s="49">
        <f t="shared" si="11"/>
        <v>485.03937007874015</v>
      </c>
      <c r="T16" s="37">
        <f>K16*0.1%</f>
        <v>61.6</v>
      </c>
      <c r="U16" s="39">
        <f>K16+T16</f>
        <v>61661.599999999999</v>
      </c>
      <c r="V16" s="364"/>
      <c r="W16" s="364"/>
    </row>
    <row r="17" spans="2:23" s="7" customFormat="1" ht="21.6" customHeight="1">
      <c r="B17" s="581"/>
      <c r="C17" s="572"/>
      <c r="D17" s="51" t="s">
        <v>243</v>
      </c>
      <c r="E17" s="51"/>
      <c r="F17" s="376"/>
      <c r="G17" s="376"/>
      <c r="H17" s="52"/>
      <c r="I17" s="376">
        <f>SUM(I14:I16)</f>
        <v>132608278.08016409</v>
      </c>
      <c r="J17" s="54"/>
      <c r="K17" s="53">
        <f>SUM(K14:K16)</f>
        <v>259454.8793639332</v>
      </c>
      <c r="L17" s="376">
        <f>SUM(L14:L16)</f>
        <v>1401886.3587593618</v>
      </c>
      <c r="M17" s="55"/>
      <c r="N17" s="56"/>
      <c r="O17" s="56"/>
      <c r="P17" s="376">
        <f>SUM(P14:P16)</f>
        <v>423679.04488034459</v>
      </c>
      <c r="Q17" s="56"/>
      <c r="R17" s="363">
        <f t="shared" si="4"/>
        <v>1.7296645153740387E-3</v>
      </c>
      <c r="S17" s="376">
        <f>SUM(S14:S16)</f>
        <v>2424.7930893329872</v>
      </c>
      <c r="T17" s="53">
        <f>SUM(T14:T16)</f>
        <v>259.45487936393323</v>
      </c>
      <c r="U17" s="53">
        <f>SUM(U14:U16)</f>
        <v>259714.33424329714</v>
      </c>
      <c r="V17" s="373"/>
      <c r="W17" s="364"/>
    </row>
    <row r="18" spans="2:23" s="7" customFormat="1" ht="21.6" hidden="1" customHeight="1">
      <c r="B18" s="580" t="s">
        <v>221</v>
      </c>
      <c r="C18" s="573" t="s">
        <v>39</v>
      </c>
      <c r="D18" s="21"/>
      <c r="E18" s="21"/>
      <c r="F18" s="379"/>
      <c r="G18" s="379"/>
      <c r="H18" s="59"/>
      <c r="I18" s="379"/>
      <c r="J18" s="43"/>
      <c r="K18" s="39"/>
      <c r="L18" s="49"/>
      <c r="M18" s="36"/>
      <c r="N18" s="38"/>
      <c r="O18" s="38"/>
      <c r="P18" s="49"/>
      <c r="Q18" s="38"/>
      <c r="R18" s="62"/>
      <c r="S18" s="49"/>
      <c r="T18" s="37"/>
      <c r="U18" s="39"/>
      <c r="W18" s="364"/>
    </row>
    <row r="19" spans="2:23" s="7" customFormat="1" ht="21.6" hidden="1" customHeight="1">
      <c r="B19" s="575"/>
      <c r="C19" s="571"/>
      <c r="D19" s="21"/>
      <c r="E19" s="21"/>
      <c r="F19" s="379"/>
      <c r="G19" s="379"/>
      <c r="H19" s="59"/>
      <c r="I19" s="379"/>
      <c r="J19" s="43"/>
      <c r="K19" s="39"/>
      <c r="L19" s="49"/>
      <c r="M19" s="36"/>
      <c r="N19" s="38"/>
      <c r="O19" s="38"/>
      <c r="P19" s="49"/>
      <c r="Q19" s="38"/>
      <c r="R19" s="62"/>
      <c r="S19" s="49"/>
      <c r="T19" s="37"/>
      <c r="U19" s="39"/>
      <c r="W19" s="364"/>
    </row>
    <row r="20" spans="2:23" s="7" customFormat="1" ht="21.6" hidden="1" customHeight="1">
      <c r="B20" s="575"/>
      <c r="C20" s="571"/>
      <c r="D20" s="21"/>
      <c r="E20" s="21"/>
      <c r="F20" s="379"/>
      <c r="G20" s="379"/>
      <c r="H20" s="59"/>
      <c r="I20" s="379"/>
      <c r="J20" s="43"/>
      <c r="K20" s="39"/>
      <c r="L20" s="49"/>
      <c r="M20" s="36"/>
      <c r="N20" s="38"/>
      <c r="O20" s="38"/>
      <c r="P20" s="49"/>
      <c r="Q20" s="38"/>
      <c r="R20" s="62"/>
      <c r="S20" s="49"/>
      <c r="T20" s="37"/>
      <c r="U20" s="39"/>
      <c r="W20" s="364"/>
    </row>
    <row r="21" spans="2:23" s="7" customFormat="1" ht="21.6" hidden="1" customHeight="1">
      <c r="B21" s="581"/>
      <c r="C21" s="572"/>
      <c r="D21" s="51"/>
      <c r="E21" s="51"/>
      <c r="F21" s="376"/>
      <c r="G21" s="376"/>
      <c r="H21" s="52"/>
      <c r="I21" s="376"/>
      <c r="J21" s="54"/>
      <c r="K21" s="53"/>
      <c r="L21" s="376"/>
      <c r="M21" s="55"/>
      <c r="N21" s="56"/>
      <c r="O21" s="56"/>
      <c r="P21" s="376"/>
      <c r="Q21" s="56"/>
      <c r="R21" s="363"/>
      <c r="S21" s="376"/>
      <c r="T21" s="53"/>
      <c r="U21" s="53"/>
      <c r="V21" s="373"/>
      <c r="W21" s="364"/>
    </row>
    <row r="22" spans="2:23" s="7" customFormat="1" ht="21.6" hidden="1" customHeight="1">
      <c r="B22" s="580" t="s">
        <v>312</v>
      </c>
      <c r="C22" s="573" t="s">
        <v>39</v>
      </c>
      <c r="D22" s="21"/>
      <c r="E22" s="21"/>
      <c r="F22" s="379"/>
      <c r="G22" s="379"/>
      <c r="H22" s="59"/>
      <c r="I22" s="379"/>
      <c r="J22" s="43"/>
      <c r="K22" s="39"/>
      <c r="L22" s="49"/>
      <c r="M22" s="36"/>
      <c r="N22" s="38"/>
      <c r="O22" s="38"/>
      <c r="P22" s="49"/>
      <c r="Q22" s="38"/>
      <c r="R22" s="62"/>
      <c r="S22" s="49"/>
      <c r="T22" s="37"/>
      <c r="U22" s="39"/>
      <c r="W22" s="364"/>
    </row>
    <row r="23" spans="2:23" s="7" customFormat="1" ht="21.6" hidden="1" customHeight="1">
      <c r="B23" s="575"/>
      <c r="C23" s="571"/>
      <c r="D23" s="21"/>
      <c r="E23" s="21"/>
      <c r="F23" s="379"/>
      <c r="G23" s="379"/>
      <c r="H23" s="59"/>
      <c r="I23" s="379"/>
      <c r="J23" s="43"/>
      <c r="K23" s="39"/>
      <c r="L23" s="49"/>
      <c r="M23" s="36"/>
      <c r="N23" s="38"/>
      <c r="O23" s="38"/>
      <c r="P23" s="49"/>
      <c r="Q23" s="38"/>
      <c r="R23" s="62"/>
      <c r="S23" s="49"/>
      <c r="T23" s="37"/>
      <c r="U23" s="39"/>
      <c r="W23" s="364"/>
    </row>
    <row r="24" spans="2:23" s="7" customFormat="1" ht="21.6" hidden="1" customHeight="1">
      <c r="B24" s="575"/>
      <c r="C24" s="571"/>
      <c r="D24" s="21"/>
      <c r="E24" s="21"/>
      <c r="F24" s="379"/>
      <c r="G24" s="379"/>
      <c r="H24" s="59"/>
      <c r="I24" s="379"/>
      <c r="J24" s="43"/>
      <c r="K24" s="39"/>
      <c r="L24" s="49"/>
      <c r="M24" s="36"/>
      <c r="N24" s="38"/>
      <c r="O24" s="38"/>
      <c r="P24" s="49"/>
      <c r="Q24" s="38"/>
      <c r="R24" s="62"/>
      <c r="S24" s="49"/>
      <c r="T24" s="37"/>
      <c r="U24" s="39"/>
      <c r="W24" s="364"/>
    </row>
    <row r="25" spans="2:23" s="7" customFormat="1" ht="21.6" hidden="1" customHeight="1">
      <c r="B25" s="581"/>
      <c r="C25" s="572"/>
      <c r="D25" s="51"/>
      <c r="E25" s="51"/>
      <c r="F25" s="376"/>
      <c r="G25" s="376"/>
      <c r="H25" s="52"/>
      <c r="I25" s="376"/>
      <c r="J25" s="54"/>
      <c r="K25" s="53"/>
      <c r="L25" s="376"/>
      <c r="M25" s="55"/>
      <c r="N25" s="56"/>
      <c r="O25" s="56"/>
      <c r="P25" s="376"/>
      <c r="Q25" s="56"/>
      <c r="R25" s="363"/>
      <c r="S25" s="376"/>
      <c r="T25" s="53"/>
      <c r="U25" s="53"/>
      <c r="V25" s="373"/>
      <c r="W25" s="364"/>
    </row>
    <row r="26" spans="2:23" s="7" customFormat="1" ht="21.6" hidden="1" customHeight="1">
      <c r="B26" s="580" t="s">
        <v>314</v>
      </c>
      <c r="C26" s="573" t="s">
        <v>39</v>
      </c>
      <c r="D26" s="21"/>
      <c r="E26" s="21"/>
      <c r="F26" s="379"/>
      <c r="G26" s="379"/>
      <c r="H26" s="59"/>
      <c r="I26" s="379"/>
      <c r="J26" s="43"/>
      <c r="K26" s="39"/>
      <c r="L26" s="49"/>
      <c r="M26" s="36"/>
      <c r="N26" s="38"/>
      <c r="O26" s="38"/>
      <c r="P26" s="49"/>
      <c r="Q26" s="38"/>
      <c r="R26" s="62"/>
      <c r="S26" s="49"/>
      <c r="T26" s="37"/>
      <c r="U26" s="39"/>
      <c r="W26" s="364"/>
    </row>
    <row r="27" spans="2:23" s="7" customFormat="1" ht="21.6" hidden="1" customHeight="1">
      <c r="B27" s="575"/>
      <c r="C27" s="571"/>
      <c r="D27" s="21"/>
      <c r="E27" s="21"/>
      <c r="F27" s="379"/>
      <c r="G27" s="379"/>
      <c r="H27" s="59"/>
      <c r="I27" s="379"/>
      <c r="J27" s="43"/>
      <c r="K27" s="39"/>
      <c r="L27" s="49"/>
      <c r="M27" s="36"/>
      <c r="N27" s="38"/>
      <c r="O27" s="38"/>
      <c r="P27" s="49"/>
      <c r="Q27" s="38"/>
      <c r="R27" s="62"/>
      <c r="S27" s="49"/>
      <c r="T27" s="37"/>
      <c r="U27" s="39"/>
      <c r="W27" s="364"/>
    </row>
    <row r="28" spans="2:23" s="7" customFormat="1" ht="21.6" hidden="1" customHeight="1">
      <c r="B28" s="575"/>
      <c r="C28" s="571"/>
      <c r="D28" s="21"/>
      <c r="E28" s="21"/>
      <c r="F28" s="379"/>
      <c r="G28" s="379"/>
      <c r="H28" s="59"/>
      <c r="I28" s="379"/>
      <c r="J28" s="43"/>
      <c r="K28" s="39"/>
      <c r="L28" s="49"/>
      <c r="M28" s="36"/>
      <c r="N28" s="38"/>
      <c r="O28" s="38"/>
      <c r="P28" s="49"/>
      <c r="Q28" s="38"/>
      <c r="R28" s="62"/>
      <c r="S28" s="49"/>
      <c r="T28" s="37"/>
      <c r="U28" s="39"/>
      <c r="W28" s="364"/>
    </row>
    <row r="29" spans="2:23" s="7" customFormat="1" ht="21.6" hidden="1" customHeight="1">
      <c r="B29" s="581"/>
      <c r="C29" s="572"/>
      <c r="D29" s="51"/>
      <c r="E29" s="51"/>
      <c r="F29" s="376"/>
      <c r="G29" s="376"/>
      <c r="H29" s="52"/>
      <c r="I29" s="376"/>
      <c r="J29" s="54"/>
      <c r="K29" s="53"/>
      <c r="L29" s="376"/>
      <c r="M29" s="55"/>
      <c r="N29" s="56"/>
      <c r="O29" s="56"/>
      <c r="P29" s="376"/>
      <c r="Q29" s="56"/>
      <c r="R29" s="363"/>
      <c r="S29" s="376"/>
      <c r="T29" s="53"/>
      <c r="U29" s="53"/>
      <c r="V29" s="373"/>
      <c r="W29" s="364"/>
    </row>
    <row r="30" spans="2:23" s="7" customFormat="1" ht="21.6" customHeight="1">
      <c r="B30" s="580" t="s">
        <v>425</v>
      </c>
      <c r="C30" s="573" t="s">
        <v>39</v>
      </c>
      <c r="D30" s="21" t="s">
        <v>236</v>
      </c>
      <c r="E30" s="21" t="s">
        <v>284</v>
      </c>
      <c r="F30" s="379">
        <v>5000000</v>
      </c>
      <c r="G30" s="379">
        <f>I30/J30</f>
        <v>3701667.1749500073</v>
      </c>
      <c r="H30" s="59">
        <f>G30/F30</f>
        <v>0.74033343499000148</v>
      </c>
      <c r="I30" s="379">
        <f>K30/N30*1000</f>
        <v>25911670.224650051</v>
      </c>
      <c r="J30" s="43">
        <v>7</v>
      </c>
      <c r="K30" s="39">
        <v>51823.3404493001</v>
      </c>
      <c r="L30" s="49">
        <f t="shared" ref="L30:L32" si="12">I30*M30</f>
        <v>181381.69157255036</v>
      </c>
      <c r="M30" s="36">
        <v>7.0000000000000001E-3</v>
      </c>
      <c r="N30" s="38">
        <v>2</v>
      </c>
      <c r="O30" s="38">
        <v>0.9</v>
      </c>
      <c r="P30" s="49">
        <f t="shared" si="3"/>
        <v>57581.489388111222</v>
      </c>
      <c r="Q30" s="38">
        <v>180</v>
      </c>
      <c r="R30" s="62">
        <f t="shared" si="4"/>
        <v>1.5873015873015871E-3</v>
      </c>
      <c r="S30" s="49">
        <f t="shared" ref="S30:S31" si="13">K30/Q30</f>
        <v>287.9074469405561</v>
      </c>
      <c r="T30" s="37">
        <f t="shared" ref="T30:T31" si="14">K30*0.1%</f>
        <v>51.823340449300098</v>
      </c>
      <c r="U30" s="39">
        <f t="shared" ref="U30:U31" si="15">K30+T30</f>
        <v>51875.1637897494</v>
      </c>
      <c r="V30" s="404"/>
      <c r="W30" s="364"/>
    </row>
    <row r="31" spans="2:23" s="7" customFormat="1" ht="21.6" customHeight="1">
      <c r="B31" s="575"/>
      <c r="C31" s="571"/>
      <c r="D31" s="21" t="s">
        <v>236</v>
      </c>
      <c r="E31" s="21" t="s">
        <v>200</v>
      </c>
      <c r="F31" s="379">
        <v>5000000</v>
      </c>
      <c r="G31" s="379">
        <f>I31/J31</f>
        <v>2264765.1006711414</v>
      </c>
      <c r="H31" s="59">
        <f>G31/F31</f>
        <v>0.45295302013422828</v>
      </c>
      <c r="I31" s="379">
        <f>K31/N31*1000</f>
        <v>11323825.503355706</v>
      </c>
      <c r="J31" s="43">
        <v>5</v>
      </c>
      <c r="K31" s="39">
        <v>33745</v>
      </c>
      <c r="L31" s="49">
        <f t="shared" si="12"/>
        <v>45295.302013422828</v>
      </c>
      <c r="M31" s="36">
        <v>4.0000000000000001E-3</v>
      </c>
      <c r="N31" s="38">
        <v>2.98</v>
      </c>
      <c r="O31" s="38">
        <v>0.9</v>
      </c>
      <c r="P31" s="49">
        <f t="shared" si="3"/>
        <v>37494.444444444445</v>
      </c>
      <c r="Q31" s="38">
        <v>180</v>
      </c>
      <c r="R31" s="62">
        <f t="shared" si="4"/>
        <v>4.1388888888888881E-3</v>
      </c>
      <c r="S31" s="49">
        <f t="shared" si="13"/>
        <v>187.47222222222223</v>
      </c>
      <c r="T31" s="37">
        <f t="shared" si="14"/>
        <v>33.744999999999997</v>
      </c>
      <c r="U31" s="39">
        <f t="shared" si="15"/>
        <v>33778.745000000003</v>
      </c>
      <c r="V31" s="404"/>
      <c r="W31" s="364"/>
    </row>
    <row r="32" spans="2:23" s="7" customFormat="1" ht="21.6" customHeight="1">
      <c r="B32" s="575"/>
      <c r="C32" s="571"/>
      <c r="D32" s="21" t="s">
        <v>377</v>
      </c>
      <c r="E32" s="21" t="s">
        <v>198</v>
      </c>
      <c r="F32" s="379">
        <v>5000000</v>
      </c>
      <c r="G32" s="379">
        <f>I32/J32</f>
        <v>1078000</v>
      </c>
      <c r="H32" s="59">
        <f t="shared" ref="H32" si="16">G32/F32</f>
        <v>0.21560000000000001</v>
      </c>
      <c r="I32" s="379">
        <f>K32/N32*1000</f>
        <v>3234000</v>
      </c>
      <c r="J32" s="43">
        <v>3</v>
      </c>
      <c r="K32" s="39">
        <v>16170</v>
      </c>
      <c r="L32" s="49">
        <f t="shared" si="12"/>
        <v>114806.99999999999</v>
      </c>
      <c r="M32" s="62">
        <v>3.5499999999999997E-2</v>
      </c>
      <c r="N32" s="38">
        <v>5</v>
      </c>
      <c r="O32" s="38">
        <v>0.4</v>
      </c>
      <c r="P32" s="49">
        <f t="shared" si="3"/>
        <v>40425</v>
      </c>
      <c r="Q32" s="38">
        <f>Q31*2</f>
        <v>360</v>
      </c>
      <c r="R32" s="62">
        <f>S32/L32</f>
        <v>3.9123630672926448E-4</v>
      </c>
      <c r="S32" s="49">
        <f t="shared" ref="S32" si="17">K32/Q32</f>
        <v>44.916666666666664</v>
      </c>
      <c r="T32" s="37">
        <f t="shared" ref="T32" si="18">K32*0.1%</f>
        <v>16.170000000000002</v>
      </c>
      <c r="U32" s="39">
        <f t="shared" ref="U32" si="19">K32+T32</f>
        <v>16186.17</v>
      </c>
      <c r="W32" s="364"/>
    </row>
    <row r="33" spans="2:23" s="7" customFormat="1" ht="21.6" customHeight="1">
      <c r="B33" s="581"/>
      <c r="C33" s="572"/>
      <c r="D33" s="51" t="s">
        <v>243</v>
      </c>
      <c r="E33" s="51"/>
      <c r="F33" s="376"/>
      <c r="G33" s="376"/>
      <c r="H33" s="52"/>
      <c r="I33" s="376">
        <f>SUM(I30:I32)</f>
        <v>40469495.728005759</v>
      </c>
      <c r="J33" s="54"/>
      <c r="K33" s="53">
        <f>SUM(K30:K32)</f>
        <v>101738.3404493001</v>
      </c>
      <c r="L33" s="376">
        <f>SUM(L30:L32)</f>
        <v>341483.99358597316</v>
      </c>
      <c r="M33" s="55"/>
      <c r="N33" s="56"/>
      <c r="O33" s="56"/>
      <c r="P33" s="376">
        <f>SUM(P30:P32)</f>
        <v>135500.93383255566</v>
      </c>
      <c r="Q33" s="56"/>
      <c r="R33" s="363">
        <f t="shared" ref="R33" si="20">S33/L33</f>
        <v>1.5236331588070566E-3</v>
      </c>
      <c r="S33" s="376">
        <f>SUM(S30:S32)</f>
        <v>520.29633582944496</v>
      </c>
      <c r="T33" s="53">
        <f>SUM(T30:T32)</f>
        <v>101.7383404493001</v>
      </c>
      <c r="U33" s="53">
        <f>SUM(U30:U32)</f>
        <v>101840.0787897494</v>
      </c>
      <c r="V33" s="373"/>
      <c r="W33" s="364"/>
    </row>
    <row r="34" spans="2:23" s="7" customFormat="1">
      <c r="B34" s="8"/>
      <c r="C34" s="8"/>
      <c r="D34" s="8"/>
      <c r="E34" s="8"/>
      <c r="F34" s="374"/>
      <c r="G34" s="374"/>
      <c r="H34" s="8"/>
      <c r="I34" s="374"/>
      <c r="J34" s="8"/>
      <c r="K34" s="8"/>
      <c r="L34" s="374"/>
      <c r="M34" s="8"/>
      <c r="N34" s="8"/>
      <c r="O34" s="8"/>
      <c r="P34" s="374"/>
      <c r="Q34" s="8"/>
      <c r="R34" s="8"/>
      <c r="S34" s="374"/>
      <c r="T34" s="8"/>
      <c r="U34" s="8"/>
      <c r="W34" s="364"/>
    </row>
    <row r="35" spans="2:23" s="670" customFormat="1">
      <c r="B35" s="671"/>
      <c r="C35" s="672" t="s">
        <v>318</v>
      </c>
      <c r="D35" s="672"/>
      <c r="E35" s="672"/>
      <c r="F35" s="673"/>
      <c r="G35" s="673"/>
      <c r="H35" s="672"/>
      <c r="I35" s="673" t="e">
        <f>I5+I6+I9+I10+I14+I15+I22+I23+I18+I19+I26+I27+I30+I31+#REF!+#REF!+#REF!+#REF!+#REF!+I7+I11+I16+I32</f>
        <v>#REF!</v>
      </c>
      <c r="J35" s="672"/>
      <c r="K35" s="672" t="e">
        <f>K5+K6+K9+K10+K14+K15+K22+K23+K18+K19+K26+K27+K30+K31+#REF!+#REF!+#REF!+#REF!+#REF!+K7+K11+K16+K32</f>
        <v>#REF!</v>
      </c>
      <c r="L35" s="673" t="e">
        <f>L5+L6+L9+L10+L14+L15+L22+L23+L18+L19+L26+L27+L30+L31+#REF!+#REF!+#REF!+#REF!+#REF!+L7+L11+L16+L32</f>
        <v>#REF!</v>
      </c>
      <c r="M35" s="672"/>
      <c r="N35" s="672"/>
      <c r="O35" s="672"/>
      <c r="P35" s="674" t="e">
        <f>P5+P6+P9+P10+P14+P15+P22+P23+P18+P19+P26+P27+P30+P31+#REF!+#REF!+#REF!+#REF!+#REF!+P7+P11+P16+P32</f>
        <v>#REF!</v>
      </c>
      <c r="Q35" s="672"/>
      <c r="R35" s="672"/>
      <c r="S35" s="674" t="e">
        <f>S5+S6+S9+S10+S14+S15+S22+S23+S18+S19+S26+S27+S30+S31+#REF!+#REF!+#REF!+#REF!+#REF!+S7+S11+S16+S32</f>
        <v>#REF!</v>
      </c>
      <c r="T35" s="672" t="e">
        <f>T5+T6+T9+T10+T14+T15+T22+T23+T18+T19+T26+T27+T30+T31+#REF!+#REF!+#REF!+#REF!+#REF!+T7+T11+T16+T32</f>
        <v>#REF!</v>
      </c>
      <c r="U35" s="672" t="e">
        <f>U5+U6+U9+U10+U14+U15+U22+U23+U18+U19+U26+U27+U30+U31+#REF!+#REF!+#REF!+#REF!+#REF!+U7+U11+U16+U32</f>
        <v>#REF!</v>
      </c>
      <c r="W35" s="675"/>
    </row>
    <row r="36" spans="2:23" s="670" customFormat="1">
      <c r="B36" s="676"/>
      <c r="C36" s="677" t="s">
        <v>319</v>
      </c>
      <c r="D36" s="677"/>
      <c r="E36" s="677"/>
      <c r="F36" s="678"/>
      <c r="G36" s="678"/>
      <c r="H36" s="677"/>
      <c r="I36" s="678"/>
      <c r="J36" s="677"/>
      <c r="K36" s="677"/>
      <c r="L36" s="678"/>
      <c r="M36" s="677"/>
      <c r="N36" s="677"/>
      <c r="O36" s="677"/>
      <c r="P36" s="679"/>
      <c r="Q36" s="677"/>
      <c r="R36" s="677"/>
      <c r="S36" s="679"/>
      <c r="T36" s="677"/>
      <c r="U36" s="677"/>
      <c r="W36" s="675"/>
    </row>
    <row r="37" spans="2:23" s="670" customFormat="1">
      <c r="B37" s="680"/>
      <c r="C37" s="681" t="s">
        <v>292</v>
      </c>
      <c r="D37" s="681"/>
      <c r="E37" s="681"/>
      <c r="F37" s="682"/>
      <c r="G37" s="682"/>
      <c r="H37" s="681"/>
      <c r="I37" s="682">
        <f>I7</f>
        <v>20232142.857142858</v>
      </c>
      <c r="J37" s="681"/>
      <c r="K37" s="681">
        <f>K7</f>
        <v>113300</v>
      </c>
      <c r="L37" s="682">
        <f>L7</f>
        <v>865935.71428571432</v>
      </c>
      <c r="M37" s="681"/>
      <c r="N37" s="681"/>
      <c r="O37" s="681"/>
      <c r="P37" s="683">
        <f>P7</f>
        <v>251777.77777777778</v>
      </c>
      <c r="Q37" s="681"/>
      <c r="R37" s="681"/>
      <c r="S37" s="683">
        <f t="shared" ref="S37:U37" si="21">S7</f>
        <v>770.74829931972783</v>
      </c>
      <c r="T37" s="681">
        <f t="shared" si="21"/>
        <v>113.3</v>
      </c>
      <c r="U37" s="681">
        <f t="shared" si="21"/>
        <v>113413.3</v>
      </c>
      <c r="W37" s="675"/>
    </row>
    <row r="38" spans="2:23" s="670" customFormat="1" ht="20.85" customHeight="1" thickBot="1">
      <c r="B38" s="684" t="s">
        <v>378</v>
      </c>
      <c r="C38" s="684"/>
      <c r="D38" s="684"/>
      <c r="E38" s="684"/>
      <c r="F38" s="685"/>
      <c r="G38" s="685"/>
      <c r="H38" s="686"/>
      <c r="I38" s="685" t="e">
        <f>I8+I13+I17+I25+I21+I29+I33+#REF!+#REF!+#REF!+#REF!+#REF!</f>
        <v>#REF!</v>
      </c>
      <c r="J38" s="687"/>
      <c r="K38" s="686" t="e">
        <f>K8+K13+K17+K25+K21+K29+K33+#REF!+#REF!+#REF!+#REF!+#REF!</f>
        <v>#REF!</v>
      </c>
      <c r="L38" s="685"/>
      <c r="M38" s="686"/>
      <c r="N38" s="686"/>
      <c r="O38" s="686"/>
      <c r="P38" s="688" t="e">
        <f>P8+P13+P17+P25+P21+P29+P33+#REF!+#REF!+#REF!+#REF!+#REF!</f>
        <v>#REF!</v>
      </c>
      <c r="Q38" s="686"/>
      <c r="R38" s="686"/>
      <c r="S38" s="688" t="e">
        <f>S8+S13+S17+S25+S21+S29+S33+#REF!+#REF!+#REF!+#REF!+#REF!</f>
        <v>#REF!</v>
      </c>
      <c r="T38" s="686" t="e">
        <f>T8+T13+T17+T25+T21+T29+T33+#REF!+#REF!+#REF!+#REF!+#REF!</f>
        <v>#REF!</v>
      </c>
      <c r="U38" s="686" t="e">
        <f>U8+U13+U17+U25+U21+U29+U33+#REF!+#REF!+#REF!+#REF!+#REF!</f>
        <v>#REF!</v>
      </c>
      <c r="W38" s="675"/>
    </row>
    <row r="39" spans="2:23" ht="15" thickTop="1"/>
  </sheetData>
  <mergeCells count="14">
    <mergeCell ref="B18:B21"/>
    <mergeCell ref="C18:C21"/>
    <mergeCell ref="B22:B25"/>
    <mergeCell ref="C22:C25"/>
    <mergeCell ref="B26:B29"/>
    <mergeCell ref="C26:C29"/>
    <mergeCell ref="B30:B33"/>
    <mergeCell ref="C30:C33"/>
    <mergeCell ref="B5:B8"/>
    <mergeCell ref="C5:C8"/>
    <mergeCell ref="B9:B13"/>
    <mergeCell ref="C9:C13"/>
    <mergeCell ref="B14:B17"/>
    <mergeCell ref="C14:C1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7" tint="0.79998168889431442"/>
  </sheetPr>
  <dimension ref="B1:T39"/>
  <sheetViews>
    <sheetView zoomScale="56" zoomScaleNormal="56" workbookViewId="0">
      <selection activeCell="R25" sqref="R25"/>
    </sheetView>
  </sheetViews>
  <sheetFormatPr baseColWidth="10" defaultColWidth="8.5546875" defaultRowHeight="14.4"/>
  <cols>
    <col min="1" max="1" width="2.5546875" style="1" customWidth="1"/>
    <col min="2" max="2" width="10.44140625" style="186" bestFit="1" customWidth="1"/>
    <col min="3" max="3" width="49.109375" style="186" bestFit="1" customWidth="1"/>
    <col min="4" max="4" width="48.5546875" style="186" customWidth="1"/>
    <col min="5" max="5" width="18.109375" style="186" bestFit="1" customWidth="1"/>
    <col min="6" max="6" width="11.44140625" style="186" bestFit="1" customWidth="1"/>
    <col min="7" max="7" width="12.109375" style="186" customWidth="1"/>
    <col min="8" max="8" width="19.88671875" style="186" bestFit="1" customWidth="1"/>
    <col min="9" max="9" width="13.5546875" style="186" customWidth="1"/>
    <col min="10" max="10" width="13.109375" style="186" bestFit="1" customWidth="1"/>
    <col min="11" max="11" width="19" style="186" customWidth="1"/>
    <col min="12" max="15" width="16.109375" style="186" customWidth="1"/>
    <col min="16" max="16" width="18.5546875" style="187" bestFit="1" customWidth="1"/>
    <col min="17" max="17" width="16.109375" style="188" customWidth="1"/>
    <col min="18" max="18" width="11.77734375" style="1" bestFit="1" customWidth="1"/>
    <col min="19" max="19" width="14.109375" style="1" bestFit="1" customWidth="1"/>
    <col min="20" max="20" width="10.88671875" style="1" bestFit="1" customWidth="1"/>
    <col min="21" max="16384" width="8.5546875" style="1"/>
  </cols>
  <sheetData>
    <row r="1" spans="2:20">
      <c r="K1" s="456"/>
      <c r="O1" s="456"/>
    </row>
    <row r="2" spans="2:20">
      <c r="E2" s="603" t="s">
        <v>379</v>
      </c>
      <c r="F2" s="603"/>
      <c r="G2" s="603"/>
      <c r="H2" s="603"/>
      <c r="I2" s="603"/>
      <c r="J2" s="456"/>
      <c r="K2" s="189"/>
      <c r="O2" s="189"/>
    </row>
    <row r="3" spans="2:20">
      <c r="E3" s="603"/>
      <c r="F3" s="603"/>
      <c r="G3" s="603"/>
      <c r="H3" s="603"/>
      <c r="I3" s="603"/>
      <c r="J3" s="392"/>
      <c r="K3" s="189"/>
      <c r="O3" s="189"/>
    </row>
    <row r="4" spans="2:20">
      <c r="K4" s="189"/>
      <c r="O4" s="189"/>
    </row>
    <row r="5" spans="2:20">
      <c r="L5" s="189"/>
    </row>
    <row r="6" spans="2:20" ht="28.2" thickBot="1">
      <c r="B6" s="195" t="s">
        <v>237</v>
      </c>
      <c r="C6" s="195" t="s">
        <v>380</v>
      </c>
      <c r="D6" s="196" t="s">
        <v>266</v>
      </c>
      <c r="E6" s="196" t="s">
        <v>381</v>
      </c>
      <c r="F6" s="197" t="s">
        <v>307</v>
      </c>
      <c r="G6" s="198" t="s">
        <v>237</v>
      </c>
      <c r="H6" s="198" t="s">
        <v>382</v>
      </c>
      <c r="I6" s="199" t="s">
        <v>383</v>
      </c>
      <c r="J6" s="199" t="s">
        <v>278</v>
      </c>
      <c r="K6" s="199" t="s">
        <v>384</v>
      </c>
      <c r="L6" s="199" t="s">
        <v>369</v>
      </c>
      <c r="M6" s="199" t="s">
        <v>370</v>
      </c>
      <c r="N6" s="199" t="s">
        <v>192</v>
      </c>
      <c r="O6" s="199" t="s">
        <v>385</v>
      </c>
      <c r="P6" s="402" t="s">
        <v>386</v>
      </c>
      <c r="Q6" s="200" t="s">
        <v>200</v>
      </c>
    </row>
    <row r="7" spans="2:20" ht="47.1" customHeight="1">
      <c r="B7" s="606" t="s">
        <v>417</v>
      </c>
      <c r="C7" s="201" t="s">
        <v>387</v>
      </c>
      <c r="D7" s="201" t="s">
        <v>388</v>
      </c>
      <c r="E7" s="202" t="s">
        <v>389</v>
      </c>
      <c r="F7" s="203" t="s">
        <v>390</v>
      </c>
      <c r="G7" s="204" t="s">
        <v>217</v>
      </c>
      <c r="H7" s="205">
        <f>K7/I7</f>
        <v>2846975.6687839678</v>
      </c>
      <c r="I7" s="206">
        <v>3.78E-2</v>
      </c>
      <c r="J7" s="295">
        <v>100</v>
      </c>
      <c r="K7" s="207">
        <v>107615.68028003399</v>
      </c>
      <c r="L7" s="208">
        <f>H7*0.012/1000*2.3</f>
        <v>78.576528458437508</v>
      </c>
      <c r="M7" s="209">
        <f t="shared" ref="M7:M10" si="0">H7*0.07/1000</f>
        <v>199.28829681487778</v>
      </c>
      <c r="N7" s="208">
        <f t="shared" ref="N7:N10" si="1">K7*0.1%</f>
        <v>107.615680280034</v>
      </c>
      <c r="O7" s="208">
        <f t="shared" ref="O7:O10" si="2">N7+K7+L7+M7</f>
        <v>108001.16078558734</v>
      </c>
      <c r="P7" s="208">
        <f t="shared" ref="P7:P10" si="3">K7+L7+M7</f>
        <v>107893.5451053073</v>
      </c>
      <c r="Q7" s="395">
        <f t="shared" ref="Q7:Q8" si="4">K7/J7</f>
        <v>1076.1568028003398</v>
      </c>
      <c r="R7" s="403"/>
      <c r="S7" s="393"/>
      <c r="T7" s="403"/>
    </row>
    <row r="8" spans="2:20" ht="47.1" customHeight="1">
      <c r="B8" s="607"/>
      <c r="C8" s="201" t="s">
        <v>391</v>
      </c>
      <c r="D8" s="201" t="s">
        <v>392</v>
      </c>
      <c r="E8" s="273" t="s">
        <v>393</v>
      </c>
      <c r="F8" s="274" t="s">
        <v>394</v>
      </c>
      <c r="G8" s="275" t="s">
        <v>217</v>
      </c>
      <c r="H8" s="276">
        <f>K8/I8*1000</f>
        <v>6855935.6933374945</v>
      </c>
      <c r="I8" s="277">
        <v>7.569</v>
      </c>
      <c r="J8" s="296">
        <v>100</v>
      </c>
      <c r="K8" s="278">
        <v>51892.577262871499</v>
      </c>
      <c r="L8" s="293">
        <f>H8*0.012/1000</f>
        <v>82.271228320049943</v>
      </c>
      <c r="M8" s="294">
        <f t="shared" si="0"/>
        <v>479.91549853362471</v>
      </c>
      <c r="N8" s="293">
        <f t="shared" si="1"/>
        <v>51.892577262871498</v>
      </c>
      <c r="O8" s="293">
        <f t="shared" si="2"/>
        <v>52506.656566988051</v>
      </c>
      <c r="P8" s="293">
        <f t="shared" si="3"/>
        <v>52454.763989725179</v>
      </c>
      <c r="Q8" s="396">
        <f t="shared" si="4"/>
        <v>518.92577262871498</v>
      </c>
      <c r="R8" s="403"/>
      <c r="S8" s="393"/>
      <c r="T8" s="403"/>
    </row>
    <row r="9" spans="2:20" ht="47.1" customHeight="1">
      <c r="B9" s="607"/>
      <c r="C9" s="201" t="s">
        <v>387</v>
      </c>
      <c r="D9" s="201" t="s">
        <v>395</v>
      </c>
      <c r="E9" s="202" t="s">
        <v>389</v>
      </c>
      <c r="F9" s="203" t="s">
        <v>390</v>
      </c>
      <c r="G9" s="204" t="s">
        <v>217</v>
      </c>
      <c r="H9" s="205">
        <f>K9/I9</f>
        <v>612281.5438718294</v>
      </c>
      <c r="I9" s="206">
        <v>3.78E-2</v>
      </c>
      <c r="J9" s="295">
        <v>100</v>
      </c>
      <c r="K9" s="207">
        <v>23144.242358355154</v>
      </c>
      <c r="L9" s="279">
        <f>H9*0.012/1000*2.3</f>
        <v>16.898970610862492</v>
      </c>
      <c r="M9" s="280">
        <f t="shared" si="0"/>
        <v>42.859708071028066</v>
      </c>
      <c r="N9" s="279">
        <f t="shared" si="1"/>
        <v>23.144242358355154</v>
      </c>
      <c r="O9" s="279">
        <f t="shared" si="2"/>
        <v>23227.145279395398</v>
      </c>
      <c r="P9" s="279">
        <f t="shared" si="3"/>
        <v>23204.001037037044</v>
      </c>
      <c r="Q9" s="395">
        <f t="shared" ref="Q9:Q12" si="5">K9/J9</f>
        <v>231.44242358355154</v>
      </c>
      <c r="S9" s="393"/>
    </row>
    <row r="10" spans="2:20" ht="47.1" customHeight="1">
      <c r="B10" s="607"/>
      <c r="C10" s="201" t="s">
        <v>391</v>
      </c>
      <c r="D10" s="201" t="s">
        <v>396</v>
      </c>
      <c r="E10" s="273" t="s">
        <v>393</v>
      </c>
      <c r="F10" s="274" t="s">
        <v>394</v>
      </c>
      <c r="G10" s="275" t="s">
        <v>217</v>
      </c>
      <c r="H10" s="276">
        <f>K10/I10*1000</f>
        <v>1310471.7942559966</v>
      </c>
      <c r="I10" s="277">
        <v>7.569</v>
      </c>
      <c r="J10" s="296">
        <v>100</v>
      </c>
      <c r="K10" s="278">
        <v>9918.9610107236385</v>
      </c>
      <c r="L10" s="293">
        <f>H10*0.012/1000</f>
        <v>15.725661531071959</v>
      </c>
      <c r="M10" s="294">
        <f t="shared" si="0"/>
        <v>91.733025597919763</v>
      </c>
      <c r="N10" s="293">
        <f t="shared" si="1"/>
        <v>9.9189610107236383</v>
      </c>
      <c r="O10" s="293">
        <f t="shared" si="2"/>
        <v>10036.338658863355</v>
      </c>
      <c r="P10" s="293">
        <f t="shared" si="3"/>
        <v>10026.419697852631</v>
      </c>
      <c r="Q10" s="396">
        <f t="shared" si="5"/>
        <v>99.18961010723639</v>
      </c>
      <c r="R10" s="403"/>
      <c r="S10" s="393"/>
    </row>
    <row r="11" spans="2:20" ht="47.1" customHeight="1">
      <c r="B11" s="607"/>
      <c r="C11" s="629" t="s">
        <v>387</v>
      </c>
      <c r="D11" s="629" t="s">
        <v>397</v>
      </c>
      <c r="E11" s="630" t="s">
        <v>389</v>
      </c>
      <c r="F11" s="631" t="s">
        <v>390</v>
      </c>
      <c r="G11" s="632" t="s">
        <v>217</v>
      </c>
      <c r="H11" s="633">
        <f>K11/I11</f>
        <v>920382.85499413754</v>
      </c>
      <c r="I11" s="634">
        <v>3.78E-2</v>
      </c>
      <c r="J11" s="635">
        <v>100</v>
      </c>
      <c r="K11" s="636">
        <v>34790.471918778399</v>
      </c>
      <c r="L11" s="637">
        <f>H11*0.012/1000*2.3</f>
        <v>25.402566797838194</v>
      </c>
      <c r="M11" s="638">
        <f t="shared" ref="M11:M12" si="6">H11*0.07/1000</f>
        <v>64.426799849589628</v>
      </c>
      <c r="N11" s="637">
        <f t="shared" ref="N11:N12" si="7">K11*0.1%</f>
        <v>34.790471918778401</v>
      </c>
      <c r="O11" s="637">
        <f t="shared" ref="O11:O12" si="8">N11+K11+L11+M11</f>
        <v>34915.091757344606</v>
      </c>
      <c r="P11" s="637">
        <f t="shared" ref="P11:P12" si="9">K11+L11+M11</f>
        <v>34880.301285425827</v>
      </c>
      <c r="Q11" s="639">
        <f t="shared" si="5"/>
        <v>347.904719187784</v>
      </c>
      <c r="S11" s="403"/>
      <c r="T11" s="403"/>
    </row>
    <row r="12" spans="2:20" ht="47.1" customHeight="1">
      <c r="B12" s="607"/>
      <c r="C12" s="629" t="s">
        <v>391</v>
      </c>
      <c r="D12" s="629" t="s">
        <v>398</v>
      </c>
      <c r="E12" s="640" t="s">
        <v>393</v>
      </c>
      <c r="F12" s="641" t="s">
        <v>394</v>
      </c>
      <c r="G12" s="642" t="s">
        <v>217</v>
      </c>
      <c r="H12" s="643">
        <f>K12/I12*1000</f>
        <v>1969677.3612228301</v>
      </c>
      <c r="I12" s="644">
        <v>7.569</v>
      </c>
      <c r="J12" s="645">
        <v>100</v>
      </c>
      <c r="K12" s="646">
        <v>14908.4879470956</v>
      </c>
      <c r="L12" s="637">
        <f>H12*0.012/1000</f>
        <v>23.636128334673963</v>
      </c>
      <c r="M12" s="638">
        <f t="shared" si="6"/>
        <v>137.87741528559812</v>
      </c>
      <c r="N12" s="637">
        <f t="shared" si="7"/>
        <v>14.908487947095601</v>
      </c>
      <c r="O12" s="637">
        <f t="shared" si="8"/>
        <v>15084.909978662969</v>
      </c>
      <c r="P12" s="637">
        <f t="shared" si="9"/>
        <v>15070.001490715873</v>
      </c>
      <c r="Q12" s="647">
        <f t="shared" si="5"/>
        <v>149.084879470956</v>
      </c>
      <c r="R12" s="394"/>
      <c r="S12" s="393"/>
    </row>
    <row r="13" spans="2:20" ht="15" thickBot="1">
      <c r="B13" s="210" t="s">
        <v>399</v>
      </c>
      <c r="C13" s="210"/>
      <c r="D13" s="210"/>
      <c r="E13" s="210"/>
      <c r="F13" s="210"/>
      <c r="G13" s="210"/>
      <c r="H13" s="210"/>
      <c r="I13" s="210"/>
      <c r="J13" s="290">
        <v>100</v>
      </c>
      <c r="K13" s="211">
        <f t="shared" ref="K13:Q13" si="10">SUM(K7:K12)</f>
        <v>242270.42077785826</v>
      </c>
      <c r="L13" s="371">
        <f t="shared" si="10"/>
        <v>242.51108405293405</v>
      </c>
      <c r="M13" s="371">
        <f t="shared" si="10"/>
        <v>1016.1007441526381</v>
      </c>
      <c r="N13" s="211">
        <f t="shared" si="10"/>
        <v>242.27042077785828</v>
      </c>
      <c r="O13" s="308">
        <f t="shared" si="10"/>
        <v>243771.30302684172</v>
      </c>
      <c r="P13" s="212">
        <f t="shared" si="10"/>
        <v>243529.03260606385</v>
      </c>
      <c r="Q13" s="397">
        <f t="shared" si="10"/>
        <v>2422.7042077785827</v>
      </c>
      <c r="S13" s="393"/>
      <c r="T13" s="393"/>
    </row>
    <row r="14" spans="2:20" ht="47.1" customHeight="1" thickTop="1">
      <c r="B14" s="604" t="s">
        <v>419</v>
      </c>
      <c r="C14" s="201" t="s">
        <v>400</v>
      </c>
      <c r="D14" s="201" t="s">
        <v>388</v>
      </c>
      <c r="E14" s="281" t="s">
        <v>389</v>
      </c>
      <c r="F14" s="282" t="s">
        <v>390</v>
      </c>
      <c r="G14" s="283" t="s">
        <v>330</v>
      </c>
      <c r="H14" s="284">
        <f>K14/I14</f>
        <v>1349759.4849278517</v>
      </c>
      <c r="I14" s="285">
        <v>3.2000000000000001E-2</v>
      </c>
      <c r="J14" s="297">
        <v>100</v>
      </c>
      <c r="K14" s="286">
        <v>43192.303517691253</v>
      </c>
      <c r="L14" s="287">
        <f>H14*0.012/1000*2.3</f>
        <v>37.253361784008703</v>
      </c>
      <c r="M14" s="288">
        <f>H14*0.07/1000</f>
        <v>94.483163944949624</v>
      </c>
      <c r="N14" s="287">
        <f>K14*0.1%</f>
        <v>43.192303517691251</v>
      </c>
      <c r="O14" s="287">
        <f>N14+K14+L14+M14</f>
        <v>43367.232346937897</v>
      </c>
      <c r="P14" s="287">
        <f>K14+L14+M14</f>
        <v>43324.040043420209</v>
      </c>
      <c r="Q14" s="398">
        <f t="shared" ref="Q14:Q15" si="11">K14/J14</f>
        <v>431.92303517691255</v>
      </c>
      <c r="R14" s="403"/>
      <c r="S14" s="394"/>
    </row>
    <row r="15" spans="2:20" ht="47.1" customHeight="1">
      <c r="B15" s="607"/>
      <c r="C15" s="201" t="s">
        <v>401</v>
      </c>
      <c r="D15" s="201" t="s">
        <v>392</v>
      </c>
      <c r="E15" s="202" t="s">
        <v>393</v>
      </c>
      <c r="F15" s="203" t="s">
        <v>394</v>
      </c>
      <c r="G15" s="204" t="s">
        <v>330</v>
      </c>
      <c r="H15" s="205">
        <f>K15/I15*1000</f>
        <v>2908246.2249595723</v>
      </c>
      <c r="I15" s="206">
        <v>6.3650000000000002</v>
      </c>
      <c r="J15" s="298">
        <v>100</v>
      </c>
      <c r="K15" s="213">
        <v>18510.987221867679</v>
      </c>
      <c r="L15" s="293">
        <f>H15*0.012/1000</f>
        <v>34.898954699514867</v>
      </c>
      <c r="M15" s="294">
        <f>H15*0.07/1000</f>
        <v>203.57723574717008</v>
      </c>
      <c r="N15" s="293">
        <f>K15*0.1%</f>
        <v>18.51098722186768</v>
      </c>
      <c r="O15" s="293">
        <f>N15+K15+L15+M15</f>
        <v>18767.97439953623</v>
      </c>
      <c r="P15" s="293">
        <f>K15+L15+M15</f>
        <v>18749.463412314362</v>
      </c>
      <c r="Q15" s="395">
        <f t="shared" si="11"/>
        <v>185.1098722186768</v>
      </c>
      <c r="R15" s="403"/>
      <c r="S15" s="394"/>
    </row>
    <row r="16" spans="2:20" ht="47.1" customHeight="1">
      <c r="B16" s="607"/>
      <c r="C16" s="201" t="s">
        <v>400</v>
      </c>
      <c r="D16" s="201" t="s">
        <v>395</v>
      </c>
      <c r="E16" s="273" t="s">
        <v>389</v>
      </c>
      <c r="F16" s="274" t="s">
        <v>390</v>
      </c>
      <c r="G16" s="275" t="s">
        <v>330</v>
      </c>
      <c r="H16" s="276">
        <f>K16/I16</f>
        <v>337439.87123196293</v>
      </c>
      <c r="I16" s="277">
        <v>3.2000000000000001E-2</v>
      </c>
      <c r="J16" s="399">
        <v>100</v>
      </c>
      <c r="K16" s="278">
        <v>10798.075879422813</v>
      </c>
      <c r="L16" s="279">
        <f>H16*0.012/1000*2.3</f>
        <v>9.3133404460021758</v>
      </c>
      <c r="M16" s="280">
        <f>H16*0.07/1000</f>
        <v>23.620790986237406</v>
      </c>
      <c r="N16" s="279">
        <f>K16*0.1%</f>
        <v>10.798075879422813</v>
      </c>
      <c r="O16" s="279">
        <f>N16+K16+L16+M16</f>
        <v>10841.808086734474</v>
      </c>
      <c r="P16" s="279">
        <f>K16+L16+M16</f>
        <v>10831.010010855052</v>
      </c>
      <c r="Q16" s="400">
        <f t="shared" ref="Q16:Q17" si="12">K16/J16</f>
        <v>107.98075879422814</v>
      </c>
      <c r="S16" s="394"/>
    </row>
    <row r="17" spans="2:19" ht="47.1" customHeight="1">
      <c r="B17" s="605"/>
      <c r="C17" s="201" t="s">
        <v>401</v>
      </c>
      <c r="D17" s="201" t="s">
        <v>396</v>
      </c>
      <c r="E17" s="273" t="s">
        <v>393</v>
      </c>
      <c r="F17" s="274" t="s">
        <v>394</v>
      </c>
      <c r="G17" s="275" t="s">
        <v>330</v>
      </c>
      <c r="H17" s="276">
        <f>K17/I17*1000</f>
        <v>727061.55623989308</v>
      </c>
      <c r="I17" s="277">
        <v>6.3650000000000002</v>
      </c>
      <c r="J17" s="298">
        <v>100</v>
      </c>
      <c r="K17" s="213">
        <v>4627.7468054669198</v>
      </c>
      <c r="L17" s="293">
        <f>H17*0.012/1000</f>
        <v>8.7247386748787168</v>
      </c>
      <c r="M17" s="294">
        <f>H17*0.07/1000</f>
        <v>50.89430893679252</v>
      </c>
      <c r="N17" s="293">
        <f>K17*0.1%</f>
        <v>4.62774680546692</v>
      </c>
      <c r="O17" s="293">
        <f>N17+K17+L17+M17</f>
        <v>4691.9935998840574</v>
      </c>
      <c r="P17" s="293">
        <f>K17+L17+M17</f>
        <v>4687.3658530785906</v>
      </c>
      <c r="Q17" s="395">
        <f t="shared" si="12"/>
        <v>46.2774680546692</v>
      </c>
      <c r="S17" s="394"/>
    </row>
    <row r="18" spans="2:19" ht="15" thickBot="1">
      <c r="B18" s="210" t="s">
        <v>399</v>
      </c>
      <c r="C18" s="210"/>
      <c r="D18" s="210"/>
      <c r="E18" s="210"/>
      <c r="F18" s="210"/>
      <c r="G18" s="210"/>
      <c r="H18" s="210"/>
      <c r="I18" s="210"/>
      <c r="J18" s="290">
        <v>100</v>
      </c>
      <c r="K18" s="291">
        <f>SUM(K14:K17)</f>
        <v>77129.11342444866</v>
      </c>
      <c r="L18" s="370">
        <f t="shared" ref="L18:Q18" si="13">SUM(L14:L17)</f>
        <v>90.190395604404472</v>
      </c>
      <c r="M18" s="370">
        <f t="shared" si="13"/>
        <v>372.57549961514962</v>
      </c>
      <c r="N18" s="291">
        <f t="shared" si="13"/>
        <v>77.129113424448661</v>
      </c>
      <c r="O18" s="309">
        <f t="shared" si="13"/>
        <v>77669.008433092647</v>
      </c>
      <c r="P18" s="292">
        <f t="shared" si="13"/>
        <v>77591.879319668209</v>
      </c>
      <c r="Q18" s="397">
        <f t="shared" si="13"/>
        <v>771.29113424448656</v>
      </c>
      <c r="S18" s="394"/>
    </row>
    <row r="19" spans="2:19" ht="47.1" customHeight="1" thickTop="1">
      <c r="B19" s="604" t="s">
        <v>418</v>
      </c>
      <c r="C19" s="201" t="s">
        <v>402</v>
      </c>
      <c r="D19" s="201" t="s">
        <v>388</v>
      </c>
      <c r="E19" s="202" t="s">
        <v>389</v>
      </c>
      <c r="F19" s="203" t="s">
        <v>390</v>
      </c>
      <c r="G19" s="204" t="s">
        <v>329</v>
      </c>
      <c r="H19" s="284">
        <f>K19/I19</f>
        <v>2056365.0116929475</v>
      </c>
      <c r="I19" s="285">
        <v>3.7999999999999999E-2</v>
      </c>
      <c r="J19" s="297">
        <v>100</v>
      </c>
      <c r="K19" s="289">
        <v>78141.870444332002</v>
      </c>
      <c r="L19" s="287">
        <f>H19*0.012/1000*2.3</f>
        <v>56.755674322725348</v>
      </c>
      <c r="M19" s="288">
        <f>H19*0.07/1000</f>
        <v>143.94555081850635</v>
      </c>
      <c r="N19" s="287">
        <f>K19*0.1%</f>
        <v>78.141870444332</v>
      </c>
      <c r="O19" s="287">
        <f>N19+K19+L19+M19</f>
        <v>78420.713539917575</v>
      </c>
      <c r="P19" s="287">
        <f>K19+L19+M19</f>
        <v>78342.57166947324</v>
      </c>
      <c r="Q19" s="398">
        <f t="shared" ref="Q19" si="14">K19/J19</f>
        <v>781.41870444332005</v>
      </c>
      <c r="R19" s="403"/>
      <c r="S19" s="394"/>
    </row>
    <row r="20" spans="2:19" ht="47.1" customHeight="1">
      <c r="B20" s="607"/>
      <c r="C20" s="201" t="s">
        <v>403</v>
      </c>
      <c r="D20" s="201" t="s">
        <v>392</v>
      </c>
      <c r="E20" s="202" t="s">
        <v>393</v>
      </c>
      <c r="F20" s="203" t="s">
        <v>394</v>
      </c>
      <c r="G20" s="204" t="s">
        <v>329</v>
      </c>
      <c r="H20" s="205">
        <f>K20/I20*1000</f>
        <v>6416481.7850148231</v>
      </c>
      <c r="I20" s="206">
        <v>7.569</v>
      </c>
      <c r="J20" s="295">
        <v>100</v>
      </c>
      <c r="K20" s="214">
        <v>48566.350630777197</v>
      </c>
      <c r="L20" s="293">
        <f>H20*0.012/1000</f>
        <v>76.997781420177887</v>
      </c>
      <c r="M20" s="294">
        <f>H20*0.07/1000</f>
        <v>449.15372495103765</v>
      </c>
      <c r="N20" s="293">
        <f>K20*0.1%</f>
        <v>48.566350630777201</v>
      </c>
      <c r="O20" s="293">
        <f>N20+K20+L20+M20</f>
        <v>49141.068487779186</v>
      </c>
      <c r="P20" s="293">
        <f>K20+L20+M20</f>
        <v>49092.502137148411</v>
      </c>
      <c r="Q20" s="395">
        <f>K20/J20</f>
        <v>485.66350630777197</v>
      </c>
      <c r="R20" s="403"/>
      <c r="S20" s="394"/>
    </row>
    <row r="21" spans="2:19" ht="47.1" customHeight="1">
      <c r="B21" s="607"/>
      <c r="C21" s="201" t="s">
        <v>402</v>
      </c>
      <c r="D21" s="201" t="s">
        <v>395</v>
      </c>
      <c r="E21" s="202" t="s">
        <v>389</v>
      </c>
      <c r="F21" s="203" t="s">
        <v>390</v>
      </c>
      <c r="G21" s="275" t="s">
        <v>329</v>
      </c>
      <c r="H21" s="276">
        <f>K21/I21</f>
        <v>491064.93713376316</v>
      </c>
      <c r="I21" s="277">
        <v>3.7999999999999999E-2</v>
      </c>
      <c r="J21" s="399">
        <v>100</v>
      </c>
      <c r="K21" s="401">
        <v>18660.467611083001</v>
      </c>
      <c r="L21" s="279">
        <f>H21*0.012/1000*2.3</f>
        <v>13.553392264891864</v>
      </c>
      <c r="M21" s="280">
        <f>H21*0.07/1000</f>
        <v>34.374545599363422</v>
      </c>
      <c r="N21" s="279">
        <f>K21*0.1%</f>
        <v>18.660467611083</v>
      </c>
      <c r="O21" s="279">
        <f>N21+K21+L21+M21</f>
        <v>18727.056016558337</v>
      </c>
      <c r="P21" s="279">
        <f>K21+L21+M21</f>
        <v>18708.395548947254</v>
      </c>
      <c r="Q21" s="400">
        <f t="shared" ref="Q21" si="15">K21/J21</f>
        <v>186.60467611083001</v>
      </c>
      <c r="S21" s="394"/>
    </row>
    <row r="22" spans="2:19" ht="47.1" customHeight="1">
      <c r="B22" s="605"/>
      <c r="C22" s="201" t="s">
        <v>403</v>
      </c>
      <c r="D22" s="201" t="s">
        <v>396</v>
      </c>
      <c r="E22" s="202" t="s">
        <v>393</v>
      </c>
      <c r="F22" s="203" t="s">
        <v>394</v>
      </c>
      <c r="G22" s="204" t="s">
        <v>329</v>
      </c>
      <c r="H22" s="276">
        <f>K22/I22*1000</f>
        <v>1778014.1799696127</v>
      </c>
      <c r="I22" s="206">
        <v>7.569</v>
      </c>
      <c r="J22" s="295">
        <v>100</v>
      </c>
      <c r="K22" s="214">
        <v>13457.78932819</v>
      </c>
      <c r="L22" s="293">
        <f>H22*0.012/1000</f>
        <v>21.336170159635351</v>
      </c>
      <c r="M22" s="294">
        <f>H22*0.07/1000</f>
        <v>124.4609925978729</v>
      </c>
      <c r="N22" s="293">
        <f>K22*0.1%</f>
        <v>13.45778932819</v>
      </c>
      <c r="O22" s="293">
        <f>N22+K22+L22+M22</f>
        <v>13617.044280275697</v>
      </c>
      <c r="P22" s="293">
        <f>K22+L22+M22</f>
        <v>13603.586490947508</v>
      </c>
      <c r="Q22" s="395">
        <f>K22/J22</f>
        <v>134.5778932819</v>
      </c>
      <c r="S22" s="394"/>
    </row>
    <row r="23" spans="2:19" ht="15" thickBot="1">
      <c r="B23" s="210" t="s">
        <v>399</v>
      </c>
      <c r="C23" s="210"/>
      <c r="D23" s="210"/>
      <c r="E23" s="210"/>
      <c r="F23" s="210"/>
      <c r="G23" s="210"/>
      <c r="H23" s="210"/>
      <c r="I23" s="290"/>
      <c r="J23" s="290">
        <v>100</v>
      </c>
      <c r="K23" s="291">
        <f>SUM(K19:K22)</f>
        <v>158826.47801438221</v>
      </c>
      <c r="L23" s="370">
        <f t="shared" ref="L23:Q23" si="16">SUM(L19:L22)</f>
        <v>168.64301816743045</v>
      </c>
      <c r="M23" s="370">
        <f t="shared" si="16"/>
        <v>751.93481396678021</v>
      </c>
      <c r="N23" s="291">
        <f t="shared" si="16"/>
        <v>158.82647801438219</v>
      </c>
      <c r="O23" s="309">
        <f t="shared" si="16"/>
        <v>159905.8823245308</v>
      </c>
      <c r="P23" s="292">
        <f t="shared" si="16"/>
        <v>159747.05584651642</v>
      </c>
      <c r="Q23" s="397">
        <f t="shared" si="16"/>
        <v>1588.2647801438222</v>
      </c>
    </row>
    <row r="24" spans="2:19" ht="47.1" customHeight="1" thickTop="1">
      <c r="B24" s="604" t="s">
        <v>425</v>
      </c>
      <c r="C24" s="201" t="s">
        <v>402</v>
      </c>
      <c r="D24" s="201" t="s">
        <v>388</v>
      </c>
      <c r="E24" s="202" t="s">
        <v>389</v>
      </c>
      <c r="F24" s="203" t="s">
        <v>390</v>
      </c>
      <c r="G24" s="204" t="s">
        <v>332</v>
      </c>
      <c r="H24" s="284">
        <f>K24/I24</f>
        <v>813825.90712871053</v>
      </c>
      <c r="I24" s="285">
        <v>3.7999999999999999E-2</v>
      </c>
      <c r="J24" s="297">
        <v>100</v>
      </c>
      <c r="K24" s="289">
        <v>30925.384470891</v>
      </c>
      <c r="L24" s="287">
        <f>H24*0.012/1000*2.3</f>
        <v>22.46159503675241</v>
      </c>
      <c r="M24" s="288">
        <f>H24*0.07/1000</f>
        <v>56.967813499009743</v>
      </c>
      <c r="N24" s="287">
        <f>K24*0.1%</f>
        <v>30.925384470891</v>
      </c>
      <c r="O24" s="287">
        <f>N24+K24+L24+M24</f>
        <v>31035.739263897653</v>
      </c>
      <c r="P24" s="287">
        <f>K24+L24+M24</f>
        <v>31004.813879426762</v>
      </c>
      <c r="Q24" s="398">
        <f t="shared" ref="Q24" si="17">K24/J24</f>
        <v>309.25384470890998</v>
      </c>
      <c r="S24" s="394"/>
    </row>
    <row r="25" spans="2:19" ht="47.1" customHeight="1">
      <c r="B25" s="605"/>
      <c r="C25" s="201" t="s">
        <v>403</v>
      </c>
      <c r="D25" s="201" t="s">
        <v>392</v>
      </c>
      <c r="E25" s="202" t="s">
        <v>393</v>
      </c>
      <c r="F25" s="203" t="s">
        <v>394</v>
      </c>
      <c r="G25" s="204" t="s">
        <v>332</v>
      </c>
      <c r="H25" s="276">
        <f>K25/I25*1000</f>
        <v>3030738.5680526705</v>
      </c>
      <c r="I25" s="206">
        <v>6.89</v>
      </c>
      <c r="J25" s="295">
        <v>100</v>
      </c>
      <c r="K25" s="214">
        <v>20881.788733882899</v>
      </c>
      <c r="L25" s="293">
        <f>H25*0.012/1000</f>
        <v>36.368862816632046</v>
      </c>
      <c r="M25" s="294">
        <f>H25*0.07/1000</f>
        <v>212.15169976368696</v>
      </c>
      <c r="N25" s="293">
        <f>K25*0.1%</f>
        <v>20.8817887338829</v>
      </c>
      <c r="O25" s="293">
        <f>N25+K25+L25+M25</f>
        <v>21151.191085197101</v>
      </c>
      <c r="P25" s="293">
        <f>K25+L25+M25</f>
        <v>21130.309296463216</v>
      </c>
      <c r="Q25" s="395">
        <f>K25/J25</f>
        <v>208.817887338829</v>
      </c>
      <c r="S25" s="394"/>
    </row>
    <row r="26" spans="2:19" ht="15" thickBot="1">
      <c r="B26" s="210" t="s">
        <v>399</v>
      </c>
      <c r="C26" s="210"/>
      <c r="D26" s="210"/>
      <c r="E26" s="210"/>
      <c r="F26" s="210"/>
      <c r="G26" s="210"/>
      <c r="H26" s="210"/>
      <c r="I26" s="290"/>
      <c r="J26" s="290">
        <v>100</v>
      </c>
      <c r="K26" s="291">
        <f>SUM(K24:K25)</f>
        <v>51807.173204773899</v>
      </c>
      <c r="L26" s="370">
        <f t="shared" ref="L26:Q26" si="18">SUM(L24:L25)</f>
        <v>58.830457853384459</v>
      </c>
      <c r="M26" s="370">
        <f t="shared" si="18"/>
        <v>269.11951326269673</v>
      </c>
      <c r="N26" s="291">
        <f t="shared" si="18"/>
        <v>51.807173204773903</v>
      </c>
      <c r="O26" s="309">
        <f t="shared" si="18"/>
        <v>52186.93034909475</v>
      </c>
      <c r="P26" s="292">
        <f t="shared" si="18"/>
        <v>52135.123175889981</v>
      </c>
      <c r="Q26" s="397">
        <f t="shared" si="18"/>
        <v>518.07173204773903</v>
      </c>
    </row>
    <row r="27" spans="2:19" ht="47.1" customHeight="1" thickTop="1">
      <c r="B27" s="604" t="s">
        <v>421</v>
      </c>
      <c r="C27" s="201" t="s">
        <v>402</v>
      </c>
      <c r="D27" s="201" t="s">
        <v>388</v>
      </c>
      <c r="E27" s="202" t="s">
        <v>389</v>
      </c>
      <c r="F27" s="203" t="s">
        <v>390</v>
      </c>
      <c r="G27" s="204" t="s">
        <v>331</v>
      </c>
      <c r="H27" s="284">
        <f>K27/I27</f>
        <v>0</v>
      </c>
      <c r="I27" s="285">
        <v>3.7999999999999999E-2</v>
      </c>
      <c r="J27" s="297">
        <v>100</v>
      </c>
      <c r="K27" s="289"/>
      <c r="L27" s="287">
        <f>H27*0.012/1000*2.3</f>
        <v>0</v>
      </c>
      <c r="M27" s="288">
        <f>H27*0.07/1000</f>
        <v>0</v>
      </c>
      <c r="N27" s="287">
        <f>K27*0.1%</f>
        <v>0</v>
      </c>
      <c r="O27" s="287">
        <f>N27+K27+L27+M27</f>
        <v>0</v>
      </c>
      <c r="P27" s="287">
        <f>K27+L27+M27</f>
        <v>0</v>
      </c>
      <c r="Q27" s="398">
        <f t="shared" ref="Q27" si="19">K27/J27</f>
        <v>0</v>
      </c>
      <c r="S27" s="394"/>
    </row>
    <row r="28" spans="2:19" ht="47.1" customHeight="1">
      <c r="B28" s="605"/>
      <c r="C28" s="201" t="s">
        <v>403</v>
      </c>
      <c r="D28" s="201" t="s">
        <v>392</v>
      </c>
      <c r="E28" s="202" t="s">
        <v>393</v>
      </c>
      <c r="F28" s="203" t="s">
        <v>394</v>
      </c>
      <c r="G28" s="204" t="s">
        <v>331</v>
      </c>
      <c r="H28" s="276">
        <f>K28/I28*1000</f>
        <v>0</v>
      </c>
      <c r="I28" s="206">
        <v>6.89</v>
      </c>
      <c r="J28" s="295">
        <v>100</v>
      </c>
      <c r="K28" s="214"/>
      <c r="L28" s="293">
        <f>H28*0.012/1000</f>
        <v>0</v>
      </c>
      <c r="M28" s="294">
        <f>H28*0.07/1000</f>
        <v>0</v>
      </c>
      <c r="N28" s="293">
        <f>K28*0.1%</f>
        <v>0</v>
      </c>
      <c r="O28" s="293">
        <f>N28+K28+L28+M28</f>
        <v>0</v>
      </c>
      <c r="P28" s="293">
        <f>K28+L28+M28</f>
        <v>0</v>
      </c>
      <c r="Q28" s="395">
        <f>K28/J28</f>
        <v>0</v>
      </c>
      <c r="S28" s="394"/>
    </row>
    <row r="29" spans="2:19" ht="15" thickBot="1">
      <c r="B29" s="210" t="s">
        <v>399</v>
      </c>
      <c r="C29" s="210"/>
      <c r="D29" s="210"/>
      <c r="E29" s="210"/>
      <c r="F29" s="210"/>
      <c r="G29" s="210"/>
      <c r="H29" s="210"/>
      <c r="I29" s="290"/>
      <c r="J29" s="290">
        <v>100</v>
      </c>
      <c r="K29" s="291">
        <f>SUM(K27:K28)</f>
        <v>0</v>
      </c>
      <c r="L29" s="370">
        <f t="shared" ref="L29:Q29" si="20">SUM(L27:L28)</f>
        <v>0</v>
      </c>
      <c r="M29" s="370">
        <f t="shared" si="20"/>
        <v>0</v>
      </c>
      <c r="N29" s="291">
        <f t="shared" si="20"/>
        <v>0</v>
      </c>
      <c r="O29" s="309">
        <f t="shared" si="20"/>
        <v>0</v>
      </c>
      <c r="P29" s="292">
        <f t="shared" si="20"/>
        <v>0</v>
      </c>
      <c r="Q29" s="397">
        <f t="shared" si="20"/>
        <v>0</v>
      </c>
    </row>
    <row r="30" spans="2:19" ht="15.6" thickTop="1" thickBot="1">
      <c r="B30" s="193" t="s">
        <v>404</v>
      </c>
      <c r="C30" s="193"/>
      <c r="D30" s="194"/>
      <c r="E30" s="193"/>
      <c r="F30" s="193"/>
      <c r="G30" s="193"/>
      <c r="H30" s="193"/>
      <c r="I30" s="215"/>
      <c r="J30" s="215"/>
      <c r="K30" s="215">
        <f t="shared" ref="K30:P30" si="21">SUM(K13+K26+K18+K23+K29)</f>
        <v>530033.18542146299</v>
      </c>
      <c r="L30" s="215">
        <f t="shared" si="21"/>
        <v>560.17495567815342</v>
      </c>
      <c r="M30" s="215">
        <f t="shared" si="21"/>
        <v>2409.7305709972643</v>
      </c>
      <c r="N30" s="215">
        <f t="shared" si="21"/>
        <v>530.03318542146303</v>
      </c>
      <c r="O30" s="215">
        <f t="shared" si="21"/>
        <v>533533.12413355988</v>
      </c>
      <c r="P30" s="215">
        <f t="shared" si="21"/>
        <v>533003.0909481385</v>
      </c>
      <c r="Q30" s="193"/>
      <c r="S30" s="393"/>
    </row>
    <row r="31" spans="2:19" ht="15" thickTop="1"/>
    <row r="33" spans="2:17" s="648" customFormat="1">
      <c r="B33" s="649" t="s">
        <v>196</v>
      </c>
      <c r="C33" s="649" t="s">
        <v>405</v>
      </c>
      <c r="D33" s="649"/>
      <c r="E33" s="650"/>
      <c r="F33" s="651"/>
      <c r="G33" s="652"/>
      <c r="H33" s="653"/>
      <c r="I33" s="654"/>
      <c r="J33" s="655"/>
      <c r="K33" s="656">
        <f t="shared" ref="K33:Q33" si="22">K7+K8+K14+K15+K19+K20+K24+K25+K27+K28</f>
        <v>399726.94256234745</v>
      </c>
      <c r="L33" s="657">
        <f t="shared" si="22"/>
        <v>425.58398685829866</v>
      </c>
      <c r="M33" s="658">
        <f t="shared" si="22"/>
        <v>1839.482984072863</v>
      </c>
      <c r="N33" s="657">
        <f t="shared" si="22"/>
        <v>399.72694256234752</v>
      </c>
      <c r="O33" s="657">
        <f t="shared" si="22"/>
        <v>402391.73647584103</v>
      </c>
      <c r="P33" s="657">
        <f t="shared" si="22"/>
        <v>401992.00953327864</v>
      </c>
      <c r="Q33" s="659">
        <f t="shared" si="22"/>
        <v>3997.2694256234754</v>
      </c>
    </row>
    <row r="34" spans="2:17" s="648" customFormat="1">
      <c r="B34" s="649"/>
      <c r="C34" s="649" t="s">
        <v>242</v>
      </c>
      <c r="D34" s="649"/>
      <c r="E34" s="650"/>
      <c r="F34" s="651"/>
      <c r="G34" s="652"/>
      <c r="H34" s="653"/>
      <c r="I34" s="654"/>
      <c r="J34" s="655"/>
      <c r="K34" s="656">
        <f t="shared" ref="K34:Q34" si="23">K9+K10+K16+K17+K21+K22</f>
        <v>80607.282993241533</v>
      </c>
      <c r="L34" s="657">
        <f>L9+L10+L16+L17+L21+L22</f>
        <v>85.552273687342563</v>
      </c>
      <c r="M34" s="658">
        <f t="shared" si="23"/>
        <v>367.9433717892141</v>
      </c>
      <c r="N34" s="657">
        <f t="shared" si="23"/>
        <v>80.607282993241526</v>
      </c>
      <c r="O34" s="657">
        <f t="shared" si="23"/>
        <v>81141.385921711335</v>
      </c>
      <c r="P34" s="657">
        <f t="shared" si="23"/>
        <v>81060.778638718082</v>
      </c>
      <c r="Q34" s="659">
        <f t="shared" si="23"/>
        <v>806.07282993241529</v>
      </c>
    </row>
    <row r="35" spans="2:17" s="648" customFormat="1">
      <c r="B35" s="649"/>
      <c r="C35" s="649" t="s">
        <v>406</v>
      </c>
      <c r="D35" s="649"/>
      <c r="E35" s="650"/>
      <c r="F35" s="651"/>
      <c r="G35" s="652"/>
      <c r="H35" s="653"/>
      <c r="I35" s="654"/>
      <c r="J35" s="655"/>
      <c r="K35" s="656">
        <f t="shared" ref="K35:Q35" si="24">K11+K12</f>
        <v>49698.959865874</v>
      </c>
      <c r="L35" s="657">
        <f t="shared" si="24"/>
        <v>49.03869513251216</v>
      </c>
      <c r="M35" s="658">
        <f t="shared" si="24"/>
        <v>202.30421513518775</v>
      </c>
      <c r="N35" s="657">
        <f t="shared" si="24"/>
        <v>49.698959865874002</v>
      </c>
      <c r="O35" s="657">
        <f t="shared" si="24"/>
        <v>50000.001736007573</v>
      </c>
      <c r="P35" s="657">
        <f t="shared" si="24"/>
        <v>49950.302776141703</v>
      </c>
      <c r="Q35" s="659">
        <f t="shared" si="24"/>
        <v>496.98959865873996</v>
      </c>
    </row>
    <row r="36" spans="2:17" s="648" customFormat="1">
      <c r="B36" s="660"/>
      <c r="C36" s="660"/>
      <c r="D36" s="660"/>
      <c r="E36" s="660"/>
      <c r="F36" s="660"/>
      <c r="G36" s="660"/>
      <c r="H36" s="660"/>
      <c r="I36" s="660"/>
      <c r="J36" s="660"/>
      <c r="K36" s="660"/>
      <c r="L36" s="660"/>
      <c r="M36" s="660"/>
      <c r="N36" s="660"/>
      <c r="O36" s="660"/>
      <c r="P36" s="661"/>
      <c r="Q36" s="662"/>
    </row>
    <row r="37" spans="2:17" s="666" customFormat="1">
      <c r="B37" s="663"/>
      <c r="C37" s="663"/>
      <c r="D37" s="663"/>
      <c r="E37" s="663"/>
      <c r="F37" s="663"/>
      <c r="G37" s="663"/>
      <c r="H37" s="663"/>
      <c r="I37" s="663"/>
      <c r="J37" s="663"/>
      <c r="K37" s="663"/>
      <c r="L37" s="663"/>
      <c r="M37" s="663"/>
      <c r="N37" s="663"/>
      <c r="O37" s="663"/>
      <c r="P37" s="664"/>
      <c r="Q37" s="665"/>
    </row>
    <row r="38" spans="2:17" s="666" customFormat="1">
      <c r="B38" s="663"/>
      <c r="C38" s="663"/>
      <c r="D38" s="663"/>
      <c r="E38" s="663"/>
      <c r="F38" s="663"/>
      <c r="G38" s="663"/>
      <c r="H38" s="663"/>
      <c r="I38" s="663"/>
      <c r="J38" s="663"/>
      <c r="K38" s="663"/>
      <c r="L38" s="663"/>
      <c r="M38" s="663"/>
      <c r="N38" s="663"/>
      <c r="O38" s="663"/>
      <c r="P38" s="664"/>
      <c r="Q38" s="665"/>
    </row>
    <row r="39" spans="2:17" s="666" customFormat="1">
      <c r="B39" s="663"/>
      <c r="C39" s="663"/>
      <c r="D39" s="663"/>
      <c r="E39" s="663"/>
      <c r="F39" s="663"/>
      <c r="G39" s="663"/>
      <c r="H39" s="663"/>
      <c r="I39" s="663"/>
      <c r="J39" s="663"/>
      <c r="K39" s="663"/>
      <c r="L39" s="663"/>
      <c r="M39" s="663"/>
      <c r="N39" s="663"/>
      <c r="O39" s="663"/>
      <c r="P39" s="664"/>
      <c r="Q39" s="665"/>
    </row>
  </sheetData>
  <mergeCells count="10">
    <mergeCell ref="B33:B35"/>
    <mergeCell ref="C33:D33"/>
    <mergeCell ref="C34:D34"/>
    <mergeCell ref="C35:D35"/>
    <mergeCell ref="E2:I3"/>
    <mergeCell ref="B27:B28"/>
    <mergeCell ref="B24:B25"/>
    <mergeCell ref="B7:B12"/>
    <mergeCell ref="B14:B17"/>
    <mergeCell ref="B19:B22"/>
  </mergeCell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7" tint="0.79998168889431442"/>
  </sheetPr>
  <dimension ref="B4:X20"/>
  <sheetViews>
    <sheetView showGridLines="0" zoomScale="75" zoomScaleNormal="90" workbookViewId="0">
      <selection activeCell="V9" sqref="V9"/>
    </sheetView>
  </sheetViews>
  <sheetFormatPr baseColWidth="10" defaultColWidth="8.88671875" defaultRowHeight="14.4"/>
  <cols>
    <col min="1" max="1" width="5.88671875" customWidth="1"/>
    <col min="2" max="2" width="7.5546875" bestFit="1" customWidth="1"/>
    <col min="3" max="3" width="17.88671875" customWidth="1"/>
    <col min="4" max="4" width="21.88671875" hidden="1" customWidth="1"/>
    <col min="5" max="5" width="16" hidden="1" customWidth="1"/>
    <col min="6" max="6" width="27.109375" hidden="1" customWidth="1"/>
    <col min="7" max="7" width="12.44140625" hidden="1" customWidth="1"/>
    <col min="8" max="8" width="14.88671875" hidden="1" customWidth="1"/>
    <col min="9" max="9" width="11.88671875" bestFit="1" customWidth="1"/>
    <col min="10" max="10" width="10.109375" hidden="1" customWidth="1"/>
    <col min="11" max="11" width="13.44140625" bestFit="1" customWidth="1"/>
    <col min="12" max="15" width="10.44140625" customWidth="1"/>
    <col min="16" max="16" width="12.88671875" bestFit="1" customWidth="1"/>
    <col min="17" max="18" width="10.44140625" customWidth="1"/>
    <col min="19" max="19" width="12" bestFit="1" customWidth="1"/>
    <col min="20" max="20" width="12.88671875" customWidth="1"/>
    <col min="21" max="21" width="15.109375" bestFit="1" customWidth="1"/>
    <col min="23" max="23" width="12.21875" bestFit="1" customWidth="1"/>
  </cols>
  <sheetData>
    <row r="4" spans="2:24">
      <c r="C4" s="19" t="s">
        <v>375</v>
      </c>
    </row>
    <row r="5" spans="2:24" ht="15" thickBot="1">
      <c r="I5" s="14"/>
    </row>
    <row r="6" spans="2:24" s="7" customFormat="1" ht="24.6" customHeight="1">
      <c r="B6" s="412" t="s">
        <v>237</v>
      </c>
      <c r="C6" s="410" t="s">
        <v>265</v>
      </c>
      <c r="D6" s="410" t="s">
        <v>266</v>
      </c>
      <c r="E6" s="410" t="s">
        <v>267</v>
      </c>
      <c r="F6" s="413" t="s">
        <v>268</v>
      </c>
      <c r="G6" s="413" t="s">
        <v>269</v>
      </c>
      <c r="H6" s="410" t="s">
        <v>270</v>
      </c>
      <c r="I6" s="413" t="s">
        <v>198</v>
      </c>
      <c r="J6" s="410" t="s">
        <v>271</v>
      </c>
      <c r="K6" s="410" t="s">
        <v>272</v>
      </c>
      <c r="L6" s="413" t="s">
        <v>273</v>
      </c>
      <c r="M6" s="410" t="s">
        <v>274</v>
      </c>
      <c r="N6" s="410" t="s">
        <v>275</v>
      </c>
      <c r="O6" s="410" t="s">
        <v>276</v>
      </c>
      <c r="P6" s="413" t="s">
        <v>277</v>
      </c>
      <c r="Q6" s="410" t="s">
        <v>278</v>
      </c>
      <c r="R6" s="410" t="s">
        <v>279</v>
      </c>
      <c r="S6" s="413" t="s">
        <v>200</v>
      </c>
      <c r="T6" s="410" t="s">
        <v>192</v>
      </c>
      <c r="U6" s="411" t="s">
        <v>280</v>
      </c>
      <c r="W6" s="364"/>
    </row>
    <row r="7" spans="2:24" s="7" customFormat="1" ht="21.6" customHeight="1">
      <c r="B7" s="440" t="s">
        <v>217</v>
      </c>
      <c r="C7" s="35" t="s">
        <v>376</v>
      </c>
      <c r="D7" s="51"/>
      <c r="E7" s="51"/>
      <c r="F7" s="376"/>
      <c r="G7" s="376"/>
      <c r="H7" s="56"/>
      <c r="I7" s="379">
        <f>K7/N7*1000</f>
        <v>80687.170474516694</v>
      </c>
      <c r="J7" s="35"/>
      <c r="K7" s="299">
        <v>62000</v>
      </c>
      <c r="L7" s="379">
        <f>I7*M7</f>
        <v>11655.418863503221</v>
      </c>
      <c r="M7" s="438">
        <v>0.14445194688273688</v>
      </c>
      <c r="N7" s="439">
        <v>768.39972991222146</v>
      </c>
      <c r="O7" s="439">
        <v>7.5564409030544493</v>
      </c>
      <c r="P7" s="379">
        <f>K7/O7</f>
        <v>8204.9209138840069</v>
      </c>
      <c r="Q7" s="439">
        <v>10.26458208057727</v>
      </c>
      <c r="R7" s="438">
        <f>S7/L7</f>
        <v>0.51822997818635097</v>
      </c>
      <c r="S7" s="379">
        <f>K7/Q7</f>
        <v>6040.1874633860571</v>
      </c>
      <c r="T7" s="37">
        <f>K7*0.1%</f>
        <v>62</v>
      </c>
      <c r="U7" s="441">
        <f>K7+T7</f>
        <v>62062</v>
      </c>
      <c r="V7" s="373">
        <f>U16-U7</f>
        <v>3003</v>
      </c>
      <c r="W7" s="364">
        <v>-3981.9000000000233</v>
      </c>
      <c r="X7" s="7">
        <v>-2002</v>
      </c>
    </row>
    <row r="8" spans="2:24" s="7" customFormat="1" ht="21.6" customHeight="1">
      <c r="B8" s="440" t="s">
        <v>218</v>
      </c>
      <c r="C8" s="35" t="s">
        <v>376</v>
      </c>
      <c r="D8" s="51"/>
      <c r="E8" s="51"/>
      <c r="F8" s="376"/>
      <c r="G8" s="376"/>
      <c r="H8" s="52"/>
      <c r="I8" s="379">
        <f>K8/N8*1000</f>
        <v>28590.492225201073</v>
      </c>
      <c r="J8" s="35"/>
      <c r="K8" s="299">
        <v>8106</v>
      </c>
      <c r="L8" s="379">
        <f t="shared" ref="L8:L11" si="0">I8*M8</f>
        <v>3732.0922252010723</v>
      </c>
      <c r="M8" s="438">
        <v>0.13053613053613053</v>
      </c>
      <c r="N8" s="439">
        <v>283.52082699908789</v>
      </c>
      <c r="O8" s="439">
        <v>2.85</v>
      </c>
      <c r="P8" s="379">
        <f t="shared" ref="P8:P11" si="1">K8/O8</f>
        <v>2844.2105263157896</v>
      </c>
      <c r="Q8" s="439">
        <v>7.5</v>
      </c>
      <c r="R8" s="438">
        <f t="shared" ref="R8:R11" si="2">S8/L8</f>
        <v>0.28959627329192544</v>
      </c>
      <c r="S8" s="379">
        <f t="shared" ref="S8:S11" si="3">K8/Q8</f>
        <v>1080.8</v>
      </c>
      <c r="T8" s="37">
        <f t="shared" ref="T8:T11" si="4">K8*0.1%</f>
        <v>8.1059999999999999</v>
      </c>
      <c r="U8" s="441">
        <f t="shared" ref="U8:U11" si="5">K8+T8</f>
        <v>8114.1059999999998</v>
      </c>
      <c r="V8" s="373">
        <f>U10-U19</f>
        <v>-1501.5</v>
      </c>
      <c r="W8" s="364">
        <f>V8-W7-X7</f>
        <v>4482.4000000000233</v>
      </c>
    </row>
    <row r="9" spans="2:24" s="7" customFormat="1" ht="21.6" customHeight="1">
      <c r="B9" s="440" t="s">
        <v>219</v>
      </c>
      <c r="C9" s="35" t="s">
        <v>376</v>
      </c>
      <c r="D9" s="51"/>
      <c r="E9" s="51"/>
      <c r="F9" s="376"/>
      <c r="G9" s="376"/>
      <c r="H9" s="52"/>
      <c r="I9" s="379">
        <f>K9/N9*1000</f>
        <v>44944.432338200044</v>
      </c>
      <c r="J9" s="35"/>
      <c r="K9" s="299">
        <v>16500</v>
      </c>
      <c r="L9" s="379">
        <f t="shared" si="0"/>
        <v>4930.4042275005449</v>
      </c>
      <c r="M9" s="438">
        <v>0.10970000000000001</v>
      </c>
      <c r="N9" s="439">
        <v>367.12</v>
      </c>
      <c r="O9" s="439">
        <v>2.19</v>
      </c>
      <c r="P9" s="379">
        <f t="shared" si="1"/>
        <v>7534.2465753424658</v>
      </c>
      <c r="Q9" s="439">
        <v>10</v>
      </c>
      <c r="R9" s="438">
        <f t="shared" si="2"/>
        <v>0.3346581586144029</v>
      </c>
      <c r="S9" s="379">
        <f t="shared" si="3"/>
        <v>1650</v>
      </c>
      <c r="T9" s="37">
        <f t="shared" si="4"/>
        <v>16.5</v>
      </c>
      <c r="U9" s="441">
        <f t="shared" si="5"/>
        <v>16516.5</v>
      </c>
      <c r="V9" s="373">
        <f>U9-U18</f>
        <v>-2502.5</v>
      </c>
      <c r="W9" s="364"/>
    </row>
    <row r="10" spans="2:24" s="7" customFormat="1" ht="21.6" customHeight="1">
      <c r="B10" s="440" t="s">
        <v>221</v>
      </c>
      <c r="C10" s="35" t="s">
        <v>376</v>
      </c>
      <c r="D10" s="51"/>
      <c r="E10" s="51"/>
      <c r="F10" s="376"/>
      <c r="G10" s="376"/>
      <c r="H10" s="52"/>
      <c r="I10" s="379">
        <f>K10/N10*1000</f>
        <v>29944.388991872238</v>
      </c>
      <c r="J10" s="35"/>
      <c r="K10" s="299">
        <v>10500</v>
      </c>
      <c r="L10" s="379">
        <f t="shared" si="0"/>
        <v>9612.1488663909895</v>
      </c>
      <c r="M10" s="438">
        <v>0.32100000000000001</v>
      </c>
      <c r="N10" s="439">
        <v>350.65</v>
      </c>
      <c r="O10" s="439">
        <v>1.44</v>
      </c>
      <c r="P10" s="379">
        <f t="shared" si="1"/>
        <v>7291.666666666667</v>
      </c>
      <c r="Q10" s="439">
        <v>7.5</v>
      </c>
      <c r="R10" s="438">
        <f t="shared" si="2"/>
        <v>0.14564901349948076</v>
      </c>
      <c r="S10" s="379">
        <f t="shared" si="3"/>
        <v>1400</v>
      </c>
      <c r="T10" s="37">
        <f t="shared" si="4"/>
        <v>10.5</v>
      </c>
      <c r="U10" s="441">
        <f t="shared" si="5"/>
        <v>10510.5</v>
      </c>
      <c r="V10" s="373"/>
      <c r="W10" s="364"/>
    </row>
    <row r="11" spans="2:24" s="7" customFormat="1" ht="21.6" customHeight="1" thickBot="1">
      <c r="B11" s="442" t="s">
        <v>222</v>
      </c>
      <c r="C11" s="443" t="s">
        <v>376</v>
      </c>
      <c r="D11" s="415"/>
      <c r="E11" s="415"/>
      <c r="F11" s="416"/>
      <c r="G11" s="416"/>
      <c r="H11" s="444"/>
      <c r="I11" s="445">
        <f>K11/N11*1000</f>
        <v>66848.111540848971</v>
      </c>
      <c r="J11" s="443"/>
      <c r="K11" s="300">
        <v>14000</v>
      </c>
      <c r="L11" s="445">
        <f t="shared" si="0"/>
        <v>2526.8586162440911</v>
      </c>
      <c r="M11" s="446">
        <v>3.78E-2</v>
      </c>
      <c r="N11" s="447">
        <v>209.43</v>
      </c>
      <c r="O11" s="447">
        <v>6.96</v>
      </c>
      <c r="P11" s="445">
        <f t="shared" si="1"/>
        <v>2011.4942528735633</v>
      </c>
      <c r="Q11" s="447">
        <v>7.5</v>
      </c>
      <c r="R11" s="446">
        <f t="shared" si="2"/>
        <v>0.73873015873015879</v>
      </c>
      <c r="S11" s="445">
        <f t="shared" si="3"/>
        <v>1866.6666666666667</v>
      </c>
      <c r="T11" s="448">
        <f t="shared" si="4"/>
        <v>14</v>
      </c>
      <c r="U11" s="449">
        <f t="shared" si="5"/>
        <v>14014</v>
      </c>
      <c r="V11" s="373"/>
      <c r="W11" s="364"/>
    </row>
    <row r="12" spans="2:24" s="7" customFormat="1">
      <c r="B12" s="8"/>
      <c r="C12" s="8"/>
      <c r="D12" s="8"/>
      <c r="E12" s="8"/>
      <c r="F12" s="374"/>
      <c r="G12" s="374"/>
      <c r="H12" s="8"/>
      <c r="I12" s="374"/>
      <c r="J12" s="8"/>
      <c r="K12" s="8"/>
      <c r="L12" s="374"/>
      <c r="M12" s="8"/>
      <c r="N12" s="8"/>
      <c r="O12" s="8"/>
      <c r="P12" s="374"/>
      <c r="Q12" s="8"/>
      <c r="R12" s="8"/>
      <c r="S12" s="374"/>
      <c r="T12" s="8"/>
      <c r="U12" s="8"/>
      <c r="W12" s="364"/>
    </row>
    <row r="13" spans="2:24" s="7" customFormat="1" ht="20.85" customHeight="1" thickBot="1">
      <c r="B13" s="193" t="s">
        <v>204</v>
      </c>
      <c r="C13" s="193"/>
      <c r="D13" s="193"/>
      <c r="E13" s="193"/>
      <c r="F13" s="377"/>
      <c r="G13" s="377"/>
      <c r="H13" s="215"/>
      <c r="I13" s="377">
        <f>I7+I8+I9+I10+I11</f>
        <v>251014.59557063901</v>
      </c>
      <c r="J13" s="216"/>
      <c r="K13" s="215">
        <f t="shared" ref="K13:L13" si="6">K7+K8+K9+K10+K11</f>
        <v>111106</v>
      </c>
      <c r="L13" s="377">
        <f t="shared" si="6"/>
        <v>32456.922798839922</v>
      </c>
      <c r="M13" s="215"/>
      <c r="N13" s="215"/>
      <c r="O13" s="215"/>
      <c r="P13" s="381">
        <f>P7+P8+P9+P10+P11</f>
        <v>27886.538935082495</v>
      </c>
      <c r="Q13" s="215"/>
      <c r="R13" s="215"/>
      <c r="S13" s="381">
        <f t="shared" ref="S13:U13" si="7">S7+S8+S9+S10+S11</f>
        <v>12037.654130052722</v>
      </c>
      <c r="T13" s="215">
        <f t="shared" si="7"/>
        <v>111.10599999999999</v>
      </c>
      <c r="U13" s="215">
        <f t="shared" si="7"/>
        <v>111217.106</v>
      </c>
      <c r="W13" s="364"/>
    </row>
    <row r="14" spans="2:24" ht="15.6" thickTop="1" thickBot="1"/>
    <row r="15" spans="2:24" ht="15.6">
      <c r="K15" s="410" t="s">
        <v>272</v>
      </c>
      <c r="L15" s="413" t="s">
        <v>273</v>
      </c>
      <c r="M15" s="410" t="s">
        <v>274</v>
      </c>
      <c r="N15" s="410" t="s">
        <v>275</v>
      </c>
      <c r="O15" s="410" t="s">
        <v>276</v>
      </c>
      <c r="P15" s="413" t="s">
        <v>277</v>
      </c>
      <c r="Q15" s="410" t="s">
        <v>278</v>
      </c>
      <c r="R15" s="410" t="s">
        <v>279</v>
      </c>
      <c r="S15" s="413" t="s">
        <v>200</v>
      </c>
      <c r="T15" s="410" t="s">
        <v>192</v>
      </c>
      <c r="U15" s="411" t="s">
        <v>280</v>
      </c>
    </row>
    <row r="16" spans="2:24">
      <c r="K16" s="299">
        <v>65000</v>
      </c>
      <c r="L16" s="379">
        <f>I16*M16</f>
        <v>0</v>
      </c>
      <c r="M16" s="438">
        <v>0.14445194688273688</v>
      </c>
      <c r="N16" s="439">
        <v>768.39972991222146</v>
      </c>
      <c r="O16" s="439">
        <v>7.5564409030544493</v>
      </c>
      <c r="P16" s="379">
        <f>K16/O16</f>
        <v>8601.9332161687162</v>
      </c>
      <c r="Q16" s="439">
        <v>10.26458208057727</v>
      </c>
      <c r="R16" s="438" t="e">
        <f>S16/L16</f>
        <v>#DIV/0!</v>
      </c>
      <c r="S16" s="379">
        <f>K16/Q16</f>
        <v>6332.4545987111887</v>
      </c>
      <c r="T16" s="37">
        <f>K16*0.1%</f>
        <v>65</v>
      </c>
      <c r="U16" s="441">
        <f>K16+T16</f>
        <v>65065</v>
      </c>
    </row>
    <row r="17" spans="11:21">
      <c r="K17" s="299">
        <v>8106</v>
      </c>
      <c r="L17" s="379">
        <f t="shared" ref="L17:L20" si="8">I17*M17</f>
        <v>0</v>
      </c>
      <c r="M17" s="438">
        <v>0.13053613053613053</v>
      </c>
      <c r="N17" s="439">
        <v>283.52082699908789</v>
      </c>
      <c r="O17" s="439">
        <v>2.85</v>
      </c>
      <c r="P17" s="379">
        <f t="shared" ref="P17:P20" si="9">K17/O17</f>
        <v>2844.2105263157896</v>
      </c>
      <c r="Q17" s="439">
        <v>7.5</v>
      </c>
      <c r="R17" s="438" t="e">
        <f t="shared" ref="R17:R20" si="10">S17/L17</f>
        <v>#DIV/0!</v>
      </c>
      <c r="S17" s="379">
        <f t="shared" ref="S17:S20" si="11">K17/Q17</f>
        <v>1080.8</v>
      </c>
      <c r="T17" s="37">
        <f t="shared" ref="T17:T20" si="12">K17*0.1%</f>
        <v>8.1059999999999999</v>
      </c>
      <c r="U17" s="441">
        <f t="shared" ref="U17:U20" si="13">K17+T17</f>
        <v>8114.1059999999998</v>
      </c>
    </row>
    <row r="18" spans="11:21">
      <c r="K18" s="299">
        <v>19000</v>
      </c>
      <c r="L18" s="379">
        <f t="shared" si="8"/>
        <v>0</v>
      </c>
      <c r="M18" s="438">
        <v>0.10970000000000001</v>
      </c>
      <c r="N18" s="439">
        <v>367.12</v>
      </c>
      <c r="O18" s="439">
        <v>2.19</v>
      </c>
      <c r="P18" s="379">
        <f t="shared" si="9"/>
        <v>8675.799086757992</v>
      </c>
      <c r="Q18" s="439">
        <v>10</v>
      </c>
      <c r="R18" s="438" t="e">
        <f t="shared" si="10"/>
        <v>#DIV/0!</v>
      </c>
      <c r="S18" s="379">
        <f t="shared" si="11"/>
        <v>1900</v>
      </c>
      <c r="T18" s="37">
        <f t="shared" si="12"/>
        <v>19</v>
      </c>
      <c r="U18" s="441">
        <f t="shared" si="13"/>
        <v>19019</v>
      </c>
    </row>
    <row r="19" spans="11:21">
      <c r="K19" s="299">
        <v>12000</v>
      </c>
      <c r="L19" s="379">
        <f t="shared" si="8"/>
        <v>0</v>
      </c>
      <c r="M19" s="438">
        <v>0.32100000000000001</v>
      </c>
      <c r="N19" s="439">
        <v>350.65</v>
      </c>
      <c r="O19" s="439">
        <v>1.44</v>
      </c>
      <c r="P19" s="379">
        <f t="shared" si="9"/>
        <v>8333.3333333333339</v>
      </c>
      <c r="Q19" s="439">
        <v>7.5</v>
      </c>
      <c r="R19" s="438" t="e">
        <f t="shared" si="10"/>
        <v>#DIV/0!</v>
      </c>
      <c r="S19" s="379">
        <f t="shared" si="11"/>
        <v>1600</v>
      </c>
      <c r="T19" s="37">
        <f t="shared" si="12"/>
        <v>12</v>
      </c>
      <c r="U19" s="441">
        <f t="shared" si="13"/>
        <v>12012</v>
      </c>
    </row>
    <row r="20" spans="11:21" ht="15" thickBot="1">
      <c r="K20" s="300">
        <v>23870</v>
      </c>
      <c r="L20" s="445">
        <f t="shared" si="8"/>
        <v>0</v>
      </c>
      <c r="M20" s="446">
        <v>3.78E-2</v>
      </c>
      <c r="N20" s="447">
        <v>209.43</v>
      </c>
      <c r="O20" s="447">
        <v>6.96</v>
      </c>
      <c r="P20" s="445">
        <f t="shared" si="9"/>
        <v>3429.5977011494251</v>
      </c>
      <c r="Q20" s="447">
        <v>7.5</v>
      </c>
      <c r="R20" s="446" t="e">
        <f t="shared" si="10"/>
        <v>#DIV/0!</v>
      </c>
      <c r="S20" s="445">
        <f t="shared" si="11"/>
        <v>3182.6666666666665</v>
      </c>
      <c r="T20" s="448">
        <f t="shared" si="12"/>
        <v>23.87</v>
      </c>
      <c r="U20" s="449">
        <f t="shared" si="13"/>
        <v>23893.87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AQ40"/>
  <sheetViews>
    <sheetView showGridLines="0" topLeftCell="V1" zoomScale="80" zoomScaleNormal="80" workbookViewId="0">
      <selection activeCell="Z1" sqref="Z1"/>
    </sheetView>
  </sheetViews>
  <sheetFormatPr baseColWidth="10" defaultColWidth="8.88671875" defaultRowHeight="14.4"/>
  <cols>
    <col min="2" max="2" width="42.88671875" bestFit="1" customWidth="1"/>
    <col min="3" max="3" width="13.5546875" customWidth="1"/>
    <col min="4" max="4" width="1.5546875" customWidth="1"/>
    <col min="5" max="5" width="42.88671875" bestFit="1" customWidth="1"/>
    <col min="6" max="6" width="13.5546875" customWidth="1"/>
    <col min="7" max="7" width="1.5546875" customWidth="1"/>
    <col min="8" max="8" width="42.88671875" bestFit="1" customWidth="1"/>
    <col min="9" max="9" width="13.5546875" customWidth="1"/>
    <col min="10" max="10" width="1.5546875" customWidth="1"/>
    <col min="11" max="11" width="42.88671875" bestFit="1" customWidth="1"/>
    <col min="12" max="12" width="13.5546875" customWidth="1"/>
    <col min="13" max="13" width="1.5546875" customWidth="1"/>
    <col min="14" max="14" width="42.88671875" bestFit="1" customWidth="1"/>
    <col min="15" max="15" width="13.5546875" customWidth="1"/>
    <col min="16" max="16" width="1.5546875" customWidth="1"/>
    <col min="17" max="17" width="42.88671875" bestFit="1" customWidth="1"/>
    <col min="18" max="18" width="13.5546875" customWidth="1"/>
    <col min="19" max="19" width="1.5546875" customWidth="1"/>
    <col min="20" max="20" width="42.88671875" bestFit="1" customWidth="1"/>
    <col min="21" max="21" width="13.5546875" customWidth="1"/>
    <col min="22" max="22" width="1.5546875" customWidth="1"/>
    <col min="23" max="23" width="42.88671875" bestFit="1" customWidth="1"/>
    <col min="24" max="24" width="13.5546875" customWidth="1"/>
    <col min="25" max="25" width="1.5546875" customWidth="1"/>
    <col min="26" max="26" width="42.88671875" bestFit="1" customWidth="1"/>
    <col min="27" max="27" width="13.5546875" customWidth="1"/>
    <col min="28" max="28" width="1.5546875" customWidth="1"/>
    <col min="29" max="29" width="42.88671875" bestFit="1" customWidth="1"/>
    <col min="30" max="30" width="13.5546875" customWidth="1"/>
    <col min="31" max="31" width="1.5546875" customWidth="1"/>
    <col min="32" max="32" width="42.88671875" bestFit="1" customWidth="1"/>
    <col min="33" max="33" width="13.5546875" customWidth="1"/>
    <col min="34" max="34" width="1.5546875" customWidth="1"/>
    <col min="35" max="35" width="42.88671875" bestFit="1" customWidth="1"/>
    <col min="36" max="36" width="13.5546875" customWidth="1"/>
    <col min="37" max="37" width="1.5546875" customWidth="1"/>
    <col min="38" max="38" width="42.88671875" bestFit="1" customWidth="1"/>
    <col min="39" max="39" width="13.5546875" customWidth="1"/>
    <col min="40" max="40" width="1.5546875" customWidth="1"/>
    <col min="41" max="41" width="42.88671875" bestFit="1" customWidth="1"/>
    <col min="42" max="42" width="13.5546875" customWidth="1"/>
  </cols>
  <sheetData>
    <row r="2" spans="2:43">
      <c r="B2" s="480" t="s">
        <v>58</v>
      </c>
      <c r="C2" s="471">
        <f>FINALS!D7</f>
        <v>4220225.9514482822</v>
      </c>
      <c r="E2" s="480" t="s">
        <v>59</v>
      </c>
      <c r="F2" s="471">
        <f>FINALS!D8</f>
        <v>2374624.9237072333</v>
      </c>
      <c r="H2" s="480" t="s">
        <v>60</v>
      </c>
      <c r="I2" s="471">
        <f>FINALS!D9</f>
        <v>1838594.4596836413</v>
      </c>
      <c r="K2" s="480" t="s">
        <v>61</v>
      </c>
      <c r="L2" s="471">
        <f>FINALS!D11</f>
        <v>827680.23852160969</v>
      </c>
      <c r="N2" s="480" t="s">
        <v>62</v>
      </c>
      <c r="O2" s="471">
        <f>FINALS!D15</f>
        <v>743542.11477183353</v>
      </c>
      <c r="Q2" s="480" t="s">
        <v>63</v>
      </c>
      <c r="R2" s="471">
        <f>FINALS!D10</f>
        <v>89392.104846136572</v>
      </c>
      <c r="T2" s="480" t="s">
        <v>64</v>
      </c>
      <c r="U2" s="471">
        <f>FINALS!G10</f>
        <v>6734.7252403215834</v>
      </c>
      <c r="W2" s="480" t="s">
        <v>65</v>
      </c>
      <c r="X2" s="471">
        <f>FINALS!D13</f>
        <v>169469.32491367566</v>
      </c>
      <c r="Z2" s="480" t="s">
        <v>66</v>
      </c>
      <c r="AA2" s="471">
        <f>FINALS!D14</f>
        <v>153746.08039000002</v>
      </c>
      <c r="AC2" s="480" t="s">
        <v>67</v>
      </c>
      <c r="AD2" s="471">
        <f>FINALS!D16</f>
        <v>109530.09066999999</v>
      </c>
      <c r="AF2" s="480" t="s">
        <v>68</v>
      </c>
      <c r="AG2" s="471">
        <f>FINALS!D17</f>
        <v>125470.06672200002</v>
      </c>
      <c r="AI2" s="480" t="s">
        <v>69</v>
      </c>
      <c r="AJ2" s="471">
        <f>FINALS!D18</f>
        <v>117722.07852999994</v>
      </c>
      <c r="AL2" s="480" t="s">
        <v>70</v>
      </c>
      <c r="AM2" s="471">
        <f>FINALS!D19</f>
        <v>87519.53042999997</v>
      </c>
      <c r="AO2" s="480" t="s">
        <v>71</v>
      </c>
      <c r="AP2" s="471">
        <f>FINALS!D20</f>
        <v>98840.543043239988</v>
      </c>
    </row>
    <row r="3" spans="2:43">
      <c r="B3" s="468" t="s">
        <v>72</v>
      </c>
      <c r="C3" s="468">
        <f>C4+C5+C6+C7+C8+C9</f>
        <v>931206.59841759433</v>
      </c>
      <c r="E3" s="468" t="s">
        <v>73</v>
      </c>
      <c r="F3" s="468">
        <f>F4+F5+F6+F7+F9</f>
        <v>590674.11196186894</v>
      </c>
      <c r="H3" s="468" t="s">
        <v>72</v>
      </c>
      <c r="I3" s="468">
        <f>I4+I5+I6+I7+I9</f>
        <v>607113.68616809289</v>
      </c>
      <c r="K3" s="468" t="s">
        <v>72</v>
      </c>
      <c r="L3" s="468">
        <f>L4+L5+L6+L7+L9</f>
        <v>426893.4728604728</v>
      </c>
      <c r="N3" s="468" t="s">
        <v>72</v>
      </c>
      <c r="O3" s="468">
        <f>O4+O5+O6+O7+O9</f>
        <v>245514.67</v>
      </c>
      <c r="Q3" s="468" t="s">
        <v>72</v>
      </c>
      <c r="R3" s="468">
        <f>R4+R5+R6+R7+R9</f>
        <v>0</v>
      </c>
      <c r="T3" s="468" t="s">
        <v>72</v>
      </c>
      <c r="U3" s="468">
        <f>U4+U5+U6+U7+U9</f>
        <v>0</v>
      </c>
      <c r="W3" s="468" t="s">
        <v>72</v>
      </c>
      <c r="X3" s="468">
        <f>X4+X5+X6+X7+X9</f>
        <v>80470</v>
      </c>
      <c r="Z3" s="468" t="s">
        <v>72</v>
      </c>
      <c r="AA3" s="468">
        <f>AA4+AA5+AA6+AA7+AA9</f>
        <v>76368.398902097993</v>
      </c>
      <c r="AC3" s="468" t="s">
        <v>72</v>
      </c>
      <c r="AD3" s="468">
        <f>AD4+AD5+AD6+AD7+AD9</f>
        <v>64999.34</v>
      </c>
      <c r="AF3" s="468" t="s">
        <v>72</v>
      </c>
      <c r="AG3" s="468">
        <f>AG4+AG5+AG6+AG7+AG9</f>
        <v>52648.240000000005</v>
      </c>
      <c r="AI3" s="468" t="s">
        <v>72</v>
      </c>
      <c r="AJ3" s="468">
        <f>AJ4+AJ5+AJ6+AJ7+AJ9</f>
        <v>58743.802055944012</v>
      </c>
      <c r="AL3" s="468" t="s">
        <v>72</v>
      </c>
      <c r="AM3" s="468">
        <f>AM4+AM5+AM6+AM7+AM9</f>
        <v>30359.9493316683</v>
      </c>
      <c r="AO3" s="468" t="s">
        <v>72</v>
      </c>
      <c r="AP3" s="468">
        <f>AP4+AP5+AP6+AP7+AP9</f>
        <v>30441.79800199798</v>
      </c>
      <c r="AQ3" s="26"/>
    </row>
    <row r="4" spans="2:43">
      <c r="B4" s="481" t="s">
        <v>74</v>
      </c>
      <c r="C4" s="408">
        <f>'Facebook &amp; Instagram'!N6</f>
        <v>497970.68</v>
      </c>
      <c r="E4" s="467" t="s">
        <v>75</v>
      </c>
      <c r="F4" s="408">
        <f>'Facebook &amp; Instagram'!N12</f>
        <v>396661.07</v>
      </c>
      <c r="H4" s="467" t="s">
        <v>76</v>
      </c>
      <c r="I4" s="409">
        <f>'Facebook &amp; Instagram'!N17</f>
        <v>437392.99970548402</v>
      </c>
      <c r="K4" s="467" t="s">
        <v>77</v>
      </c>
      <c r="L4" s="408">
        <f>'Facebook &amp; Instagram'!N21</f>
        <v>274648.17</v>
      </c>
      <c r="N4" s="467" t="s">
        <v>78</v>
      </c>
      <c r="O4" s="408">
        <f>'Facebook &amp; Instagram'!N33</f>
        <v>160000</v>
      </c>
      <c r="Q4" s="473"/>
      <c r="R4" s="474"/>
      <c r="T4" s="473"/>
      <c r="U4" s="474"/>
      <c r="W4" s="467" t="s">
        <v>79</v>
      </c>
      <c r="X4" s="408">
        <f>'Facebook &amp; Instagram'!N25</f>
        <v>71840</v>
      </c>
      <c r="Z4" s="467" t="s">
        <v>80</v>
      </c>
      <c r="AA4" s="408">
        <f>'Facebook &amp; Instagram'!N29</f>
        <v>65996.118902097995</v>
      </c>
      <c r="AC4" s="467" t="s">
        <v>81</v>
      </c>
      <c r="AD4" s="408">
        <f>'Facebook &amp; Instagram'!N37</f>
        <v>58999.603999999999</v>
      </c>
      <c r="AF4" s="467" t="s">
        <v>82</v>
      </c>
      <c r="AG4" s="408">
        <f>'Facebook &amp; Instagram'!N40</f>
        <v>48765.828000000001</v>
      </c>
      <c r="AI4" s="467" t="s">
        <v>83</v>
      </c>
      <c r="AJ4" s="408">
        <f>'Facebook &amp; Instagram'!N43+'Facebook &amp; Instagram'!N44+'Facebook &amp; Instagram'!N45</f>
        <v>56074.049973706249</v>
      </c>
      <c r="AL4" s="467" t="s">
        <v>84</v>
      </c>
      <c r="AM4" s="408">
        <f>'Facebook &amp; Instagram'!N48</f>
        <v>26252.219331668301</v>
      </c>
      <c r="AO4" s="467" t="s">
        <v>85</v>
      </c>
      <c r="AP4" s="408">
        <f>'Facebook &amp; Instagram'!N51</f>
        <v>27087.4266685695</v>
      </c>
    </row>
    <row r="5" spans="2:43">
      <c r="B5" s="481" t="s">
        <v>86</v>
      </c>
      <c r="C5" s="408">
        <f>'Facebook &amp; Instagram'!N7*70%</f>
        <v>121492.30799999999</v>
      </c>
      <c r="E5" s="467" t="s">
        <v>87</v>
      </c>
      <c r="F5" s="408">
        <f>'Facebook &amp; Instagram'!N13*70%</f>
        <v>118114.15</v>
      </c>
      <c r="H5" s="467" t="s">
        <v>88</v>
      </c>
      <c r="I5" s="409">
        <f>'Facebook &amp; Instagram'!N18*70%</f>
        <v>97708.831327667009</v>
      </c>
      <c r="K5" s="467" t="s">
        <v>89</v>
      </c>
      <c r="L5" s="408">
        <f>'Facebook &amp; Instagram'!N22*70%</f>
        <v>72167.899999999994</v>
      </c>
      <c r="N5" s="467" t="s">
        <v>90</v>
      </c>
      <c r="O5" s="408">
        <f>'Facebook &amp; Instagram'!N34*80%</f>
        <v>59200</v>
      </c>
      <c r="Q5" s="473"/>
      <c r="R5" s="474"/>
      <c r="T5" s="473"/>
      <c r="U5" s="474"/>
      <c r="W5" s="467" t="s">
        <v>91</v>
      </c>
      <c r="X5" s="408">
        <f>'Facebook &amp; Instagram'!N26*80%</f>
        <v>6904</v>
      </c>
      <c r="Z5" s="467" t="s">
        <v>92</v>
      </c>
      <c r="AA5" s="408">
        <f>'Facebook &amp; Instagram'!N30</f>
        <v>5285.28</v>
      </c>
      <c r="AC5" s="467" t="s">
        <v>93</v>
      </c>
      <c r="AD5" s="408">
        <f>'Facebook &amp; Instagram'!N38</f>
        <v>5999.7359999999999</v>
      </c>
      <c r="AF5" s="467" t="s">
        <v>94</v>
      </c>
      <c r="AG5" s="408">
        <f>'Facebook &amp; Instagram'!N41</f>
        <v>3882.4120000000003</v>
      </c>
      <c r="AI5" s="467" t="s">
        <v>95</v>
      </c>
      <c r="AJ5" s="408">
        <f>'Facebook &amp; Instagram'!N46</f>
        <v>2669.7520822377619</v>
      </c>
      <c r="AL5" s="467" t="s">
        <v>96</v>
      </c>
      <c r="AM5" s="408">
        <f>'Facebook &amp; Instagram'!N49</f>
        <v>4107.7299999999996</v>
      </c>
      <c r="AO5" s="467" t="s">
        <v>97</v>
      </c>
      <c r="AP5" s="408">
        <f>'Facebook &amp; Instagram'!N52</f>
        <v>3354.3713334284798</v>
      </c>
    </row>
    <row r="6" spans="2:43">
      <c r="B6" s="481" t="s">
        <v>98</v>
      </c>
      <c r="C6" s="408">
        <f>'Facebook &amp; Instagram'!N7*30%</f>
        <v>52068.131999999998</v>
      </c>
      <c r="E6" s="467" t="s">
        <v>99</v>
      </c>
      <c r="F6" s="408">
        <f>'Facebook &amp; Instagram'!N13*30%</f>
        <v>50620.35</v>
      </c>
      <c r="H6" s="467" t="s">
        <v>100</v>
      </c>
      <c r="I6" s="409">
        <f>'Facebook &amp; Instagram'!N18*30%</f>
        <v>41875.213426143004</v>
      </c>
      <c r="K6" s="467" t="s">
        <v>101</v>
      </c>
      <c r="L6" s="408">
        <f>'Facebook &amp; Instagram'!N22*30%</f>
        <v>30929.1</v>
      </c>
      <c r="N6" s="467" t="s">
        <v>102</v>
      </c>
      <c r="O6" s="408">
        <f>'Facebook &amp; Instagram'!N34*20%</f>
        <v>14800</v>
      </c>
      <c r="Q6" s="473"/>
      <c r="R6" s="474"/>
      <c r="T6" s="473"/>
      <c r="U6" s="474"/>
      <c r="W6" s="467" t="s">
        <v>103</v>
      </c>
      <c r="X6" s="408">
        <f>'Facebook &amp; Instagram'!N26*20%</f>
        <v>1726</v>
      </c>
      <c r="Z6" s="467" t="s">
        <v>104</v>
      </c>
      <c r="AA6" s="408">
        <f>'Facebook &amp; Instagram'!N31</f>
        <v>5087</v>
      </c>
      <c r="AC6" s="473"/>
      <c r="AD6" s="474"/>
      <c r="AF6" s="473"/>
      <c r="AG6" s="474"/>
      <c r="AI6" s="473"/>
      <c r="AJ6" s="474"/>
      <c r="AL6" s="473"/>
      <c r="AM6" s="474"/>
      <c r="AO6" s="473"/>
      <c r="AP6" s="474"/>
    </row>
    <row r="7" spans="2:43">
      <c r="B7" s="481" t="s">
        <v>105</v>
      </c>
      <c r="C7" s="408">
        <f>'Facebook &amp; Instagram'!N8</f>
        <v>73358.748417594339</v>
      </c>
      <c r="E7" s="467" t="s">
        <v>106</v>
      </c>
      <c r="F7" s="408">
        <f>'Facebook &amp; Instagram'!N14</f>
        <v>25278.541961868999</v>
      </c>
      <c r="H7" s="467" t="s">
        <v>107</v>
      </c>
      <c r="I7" s="409">
        <f>'Facebook &amp; Instagram'!N19</f>
        <v>30136.641708798779</v>
      </c>
      <c r="K7" s="467" t="s">
        <v>108</v>
      </c>
      <c r="L7" s="408">
        <f>'Facebook &amp; Instagram'!N23</f>
        <v>49148.302860472897</v>
      </c>
      <c r="N7" s="467" t="s">
        <v>109</v>
      </c>
      <c r="O7" s="408">
        <f>'Facebook &amp; Instagram'!N35</f>
        <v>11514.67</v>
      </c>
      <c r="Q7" s="473"/>
      <c r="R7" s="474"/>
      <c r="T7" s="473"/>
      <c r="U7" s="474"/>
      <c r="W7" s="473"/>
      <c r="X7" s="474"/>
      <c r="Z7" s="473"/>
      <c r="AA7" s="474"/>
      <c r="AC7" s="473"/>
      <c r="AD7" s="474"/>
      <c r="AF7" s="473"/>
      <c r="AG7" s="474"/>
      <c r="AI7" s="473"/>
      <c r="AJ7" s="474"/>
      <c r="AL7" s="473"/>
      <c r="AM7" s="474"/>
      <c r="AO7" s="473"/>
      <c r="AP7" s="474"/>
    </row>
    <row r="8" spans="2:43">
      <c r="B8" s="481" t="s">
        <v>110</v>
      </c>
      <c r="C8" s="408">
        <f>'Facebook &amp; Instagram'!N9</f>
        <v>127781.984</v>
      </c>
      <c r="E8" s="472"/>
      <c r="F8" s="474"/>
      <c r="H8" s="473"/>
      <c r="I8" s="473"/>
      <c r="K8" s="473"/>
      <c r="L8" s="474"/>
      <c r="N8" s="473"/>
      <c r="O8" s="474"/>
      <c r="Q8" s="473"/>
      <c r="R8" s="474"/>
      <c r="T8" s="473"/>
      <c r="U8" s="474"/>
      <c r="W8" s="473"/>
      <c r="X8" s="474"/>
      <c r="Z8" s="473"/>
      <c r="AA8" s="474"/>
      <c r="AC8" s="473"/>
      <c r="AD8" s="474"/>
      <c r="AF8" s="473"/>
      <c r="AG8" s="474"/>
      <c r="AI8" s="473"/>
      <c r="AJ8" s="474"/>
      <c r="AL8" s="473"/>
      <c r="AM8" s="474"/>
      <c r="AO8" s="473"/>
      <c r="AP8" s="474"/>
    </row>
    <row r="9" spans="2:43">
      <c r="B9" s="481" t="s">
        <v>111</v>
      </c>
      <c r="C9" s="408">
        <f>'Facebook &amp; Instagram'!N10</f>
        <v>58534.745999999992</v>
      </c>
      <c r="E9" s="472"/>
      <c r="F9" s="474"/>
      <c r="H9" s="473"/>
      <c r="I9" s="473"/>
      <c r="K9" s="473"/>
      <c r="L9" s="474"/>
      <c r="N9" s="473"/>
      <c r="O9" s="474"/>
      <c r="Q9" s="473"/>
      <c r="R9" s="474"/>
      <c r="T9" s="473"/>
      <c r="U9" s="474"/>
      <c r="W9" s="473"/>
      <c r="X9" s="474"/>
      <c r="Z9" s="473"/>
      <c r="AA9" s="474"/>
      <c r="AC9" s="473"/>
      <c r="AD9" s="474"/>
      <c r="AF9" s="473"/>
      <c r="AG9" s="474"/>
      <c r="AI9" s="473"/>
      <c r="AJ9" s="474"/>
      <c r="AL9" s="473"/>
      <c r="AM9" s="474"/>
      <c r="AO9" s="473"/>
      <c r="AP9" s="474"/>
    </row>
    <row r="10" spans="2:43">
      <c r="B10" s="468" t="s">
        <v>112</v>
      </c>
      <c r="C10" s="468">
        <f>C11</f>
        <v>2049586.5945875822</v>
      </c>
      <c r="E10" s="468" t="s">
        <v>112</v>
      </c>
      <c r="F10" s="468">
        <f>F11</f>
        <v>950625.37113773404</v>
      </c>
      <c r="H10" s="468" t="s">
        <v>112</v>
      </c>
      <c r="I10" s="469">
        <f>I11</f>
        <v>621451</v>
      </c>
      <c r="K10" s="468" t="s">
        <v>112</v>
      </c>
      <c r="L10" s="468">
        <f>L11</f>
        <v>327911.3034828013</v>
      </c>
      <c r="N10" s="468" t="s">
        <v>112</v>
      </c>
      <c r="O10" s="468">
        <f>O11</f>
        <v>272459.8926290269</v>
      </c>
      <c r="Q10" s="468" t="s">
        <v>112</v>
      </c>
      <c r="R10" s="468">
        <f>R11</f>
        <v>87675</v>
      </c>
      <c r="T10" s="468" t="s">
        <v>112</v>
      </c>
      <c r="U10" s="468">
        <f>U11</f>
        <v>234203.62056449801</v>
      </c>
      <c r="W10" s="468" t="s">
        <v>112</v>
      </c>
      <c r="X10" s="468">
        <f>X11</f>
        <v>80503.01400000001</v>
      </c>
      <c r="Z10" s="468" t="s">
        <v>112</v>
      </c>
      <c r="AA10" s="468">
        <f>AA11</f>
        <v>77224.088999999891</v>
      </c>
      <c r="AC10" s="468" t="s">
        <v>112</v>
      </c>
      <c r="AD10" s="468">
        <f>AD11</f>
        <v>44421.33</v>
      </c>
      <c r="AF10" s="468" t="s">
        <v>112</v>
      </c>
      <c r="AG10" s="468">
        <f>AG11</f>
        <v>72696.482000000004</v>
      </c>
      <c r="AI10" s="468" t="s">
        <v>112</v>
      </c>
      <c r="AJ10" s="468">
        <f>AJ11</f>
        <v>58860.671999999999</v>
      </c>
      <c r="AL10" s="468" t="s">
        <v>112</v>
      </c>
      <c r="AM10" s="468">
        <f>AM11</f>
        <v>57072.148999999998</v>
      </c>
      <c r="AO10" s="468" t="s">
        <v>112</v>
      </c>
      <c r="AP10" s="468">
        <f>AP11</f>
        <v>68300.003239999991</v>
      </c>
      <c r="AQ10" s="26"/>
    </row>
    <row r="11" spans="2:43">
      <c r="B11" s="467" t="s">
        <v>113</v>
      </c>
      <c r="C11" s="408">
        <f>'Paid Search'!F9+'Paid Search'!F10+'Paid Search'!F11+'Discovery Ads'!D6</f>
        <v>2049586.5945875822</v>
      </c>
      <c r="E11" s="467" t="s">
        <v>114</v>
      </c>
      <c r="F11" s="408">
        <f>'Paid Search'!F14+'Paid Search'!F15+'Paid Search'!F16+'Discovery Ads'!D7</f>
        <v>950625.37113773404</v>
      </c>
      <c r="H11" s="467" t="s">
        <v>115</v>
      </c>
      <c r="I11" s="409">
        <f>'Paid Search'!F19+'Paid Search'!F20+'Paid Search'!F21+'Discovery Ads'!D8</f>
        <v>621451</v>
      </c>
      <c r="K11" s="467" t="s">
        <v>116</v>
      </c>
      <c r="L11" s="408">
        <f>'Paid Search'!F29+'Paid Search'!F30+'Paid Search'!F31+'Discovery Ads'!D9</f>
        <v>327911.3034828013</v>
      </c>
      <c r="N11" s="467" t="s">
        <v>117</v>
      </c>
      <c r="O11" s="408">
        <f>'Paid Search'!F48+'Paid Search'!F49+'Paid Search'!F50+'Discovery Ads'!D10</f>
        <v>272459.8926290269</v>
      </c>
      <c r="Q11" s="467" t="s">
        <v>118</v>
      </c>
      <c r="R11" s="408">
        <f>'Paid Search'!F34+'Paid Search'!F35</f>
        <v>87675</v>
      </c>
      <c r="T11" s="467" t="s">
        <v>119</v>
      </c>
      <c r="U11" s="408">
        <f>'Paid Search'!F24+'Paid Search'!F25+'Paid Search'!F26</f>
        <v>234203.62056449801</v>
      </c>
      <c r="W11" s="467" t="s">
        <v>120</v>
      </c>
      <c r="X11" s="408">
        <f>'Paid Search'!F39+'Paid Search'!F40+'Paid Search'!F41</f>
        <v>80503.01400000001</v>
      </c>
      <c r="Z11" s="467" t="s">
        <v>121</v>
      </c>
      <c r="AA11" s="408">
        <f>'Paid Search'!F44+'Paid Search'!F45+'Paid Search'!F46</f>
        <v>77224.088999999891</v>
      </c>
      <c r="AC11" s="467" t="s">
        <v>122</v>
      </c>
      <c r="AD11" s="408">
        <f>'Paid Search'!F56</f>
        <v>44421.33</v>
      </c>
      <c r="AF11" s="467" t="s">
        <v>123</v>
      </c>
      <c r="AG11" s="408">
        <f>'Paid Search'!F60</f>
        <v>72696.482000000004</v>
      </c>
      <c r="AI11" s="467" t="s">
        <v>124</v>
      </c>
      <c r="AJ11" s="408">
        <f>'Paid Search'!F63</f>
        <v>58860.671999999999</v>
      </c>
      <c r="AL11" s="467" t="s">
        <v>125</v>
      </c>
      <c r="AM11" s="408">
        <f>'Paid Search'!F66</f>
        <v>57072.148999999998</v>
      </c>
      <c r="AO11" s="467" t="s">
        <v>126</v>
      </c>
      <c r="AP11" s="408">
        <f>'Paid Search'!F70</f>
        <v>68300.003239999991</v>
      </c>
    </row>
    <row r="12" spans="2:43">
      <c r="B12" s="468" t="s">
        <v>127</v>
      </c>
      <c r="C12" s="468">
        <f>C13</f>
        <v>40991.731891751639</v>
      </c>
      <c r="E12" s="468" t="s">
        <v>127</v>
      </c>
      <c r="F12" s="468">
        <f>F13</f>
        <v>0</v>
      </c>
      <c r="H12" s="468" t="s">
        <v>127</v>
      </c>
      <c r="I12" s="469">
        <f>I13</f>
        <v>12429.02</v>
      </c>
      <c r="K12" s="468" t="s">
        <v>127</v>
      </c>
      <c r="L12" s="468">
        <f>L13</f>
        <v>6558.2260696560261</v>
      </c>
      <c r="N12" s="468" t="s">
        <v>127</v>
      </c>
      <c r="O12" s="468">
        <f>O13</f>
        <v>0</v>
      </c>
      <c r="Q12" s="468" t="s">
        <v>127</v>
      </c>
      <c r="R12" s="468">
        <f>R13</f>
        <v>0</v>
      </c>
      <c r="T12" s="468" t="s">
        <v>127</v>
      </c>
      <c r="U12" s="468">
        <f>U13</f>
        <v>0</v>
      </c>
      <c r="W12" s="468" t="s">
        <v>127</v>
      </c>
      <c r="X12" s="468">
        <f>X13</f>
        <v>0</v>
      </c>
      <c r="Z12" s="468" t="s">
        <v>127</v>
      </c>
      <c r="AA12" s="468">
        <f>AA13</f>
        <v>0</v>
      </c>
      <c r="AC12" s="468" t="s">
        <v>127</v>
      </c>
      <c r="AD12" s="468">
        <f>AD13</f>
        <v>0</v>
      </c>
      <c r="AF12" s="468" t="s">
        <v>127</v>
      </c>
      <c r="AG12" s="468">
        <f>AG13</f>
        <v>0</v>
      </c>
      <c r="AI12" s="468" t="s">
        <v>127</v>
      </c>
      <c r="AJ12" s="468">
        <f>AJ13</f>
        <v>0</v>
      </c>
      <c r="AL12" s="468" t="s">
        <v>127</v>
      </c>
      <c r="AM12" s="468">
        <f>AM13</f>
        <v>0</v>
      </c>
      <c r="AO12" s="468" t="s">
        <v>127</v>
      </c>
      <c r="AP12" s="468">
        <f>AP13</f>
        <v>0</v>
      </c>
    </row>
    <row r="13" spans="2:43">
      <c r="B13" s="467" t="s">
        <v>113</v>
      </c>
      <c r="C13" s="408">
        <f>'Paid Search'!P9+'Paid Search'!P10+'Paid Search'!P11+'Discovery Ads'!M6</f>
        <v>40991.731891751639</v>
      </c>
      <c r="E13" s="472"/>
      <c r="F13" s="474"/>
      <c r="H13" s="467" t="s">
        <v>115</v>
      </c>
      <c r="I13" s="409">
        <f>'Paid Search'!P19+'Paid Search'!P20+'Paid Search'!P21+'Discovery Ads'!M8</f>
        <v>12429.02</v>
      </c>
      <c r="K13" s="467" t="s">
        <v>116</v>
      </c>
      <c r="L13" s="408">
        <f>'Paid Search'!P29+'Paid Search'!P30+'Paid Search'!P31+'Discovery Ads'!M9</f>
        <v>6558.2260696560261</v>
      </c>
      <c r="N13" s="473"/>
      <c r="O13" s="474"/>
      <c r="Q13" s="473"/>
      <c r="R13" s="474"/>
      <c r="T13" s="473"/>
      <c r="U13" s="474"/>
      <c r="W13" s="473"/>
      <c r="X13" s="474"/>
      <c r="Z13" s="473"/>
      <c r="AA13" s="474"/>
      <c r="AC13" s="473"/>
      <c r="AD13" s="474"/>
      <c r="AF13" s="473"/>
      <c r="AG13" s="474"/>
      <c r="AI13" s="473"/>
      <c r="AJ13" s="474"/>
      <c r="AL13" s="473"/>
      <c r="AM13" s="474"/>
      <c r="AO13" s="473"/>
      <c r="AP13" s="474"/>
    </row>
    <row r="14" spans="2:43">
      <c r="B14" s="468" t="s">
        <v>128</v>
      </c>
      <c r="C14" s="468">
        <f>C15</f>
        <v>36236.165658018603</v>
      </c>
      <c r="E14" s="468" t="s">
        <v>128</v>
      </c>
      <c r="F14" s="468">
        <f>F15</f>
        <v>14000</v>
      </c>
      <c r="H14" s="468" t="s">
        <v>128</v>
      </c>
      <c r="I14" s="468">
        <f>I15</f>
        <v>12000</v>
      </c>
      <c r="K14" s="468" t="s">
        <v>128</v>
      </c>
      <c r="L14" s="468">
        <f>L15</f>
        <v>4396.5473623072003</v>
      </c>
      <c r="N14" s="468" t="s">
        <v>128</v>
      </c>
      <c r="O14" s="468">
        <f>O15</f>
        <v>5985.1498501499991</v>
      </c>
      <c r="Q14" s="468" t="s">
        <v>128</v>
      </c>
      <c r="R14" s="468">
        <f>R15</f>
        <v>1627.8020440924699</v>
      </c>
      <c r="T14" s="468" t="s">
        <v>128</v>
      </c>
      <c r="U14" s="468">
        <f>U15</f>
        <v>3475.3050985489599</v>
      </c>
      <c r="W14" s="468" t="s">
        <v>128</v>
      </c>
      <c r="X14" s="468">
        <f>X15</f>
        <v>602.01088878687995</v>
      </c>
      <c r="Z14" s="468" t="s">
        <v>128</v>
      </c>
      <c r="AA14" s="468">
        <f>AA15</f>
        <v>0</v>
      </c>
      <c r="AC14" s="468" t="s">
        <v>128</v>
      </c>
      <c r="AD14" s="468">
        <f>AD15</f>
        <v>0</v>
      </c>
      <c r="AF14" s="468" t="s">
        <v>128</v>
      </c>
      <c r="AG14" s="468">
        <f>AG15</f>
        <v>0</v>
      </c>
      <c r="AI14" s="468" t="s">
        <v>128</v>
      </c>
      <c r="AJ14" s="468">
        <f>AJ15</f>
        <v>0</v>
      </c>
      <c r="AL14" s="468" t="s">
        <v>128</v>
      </c>
      <c r="AM14" s="468">
        <f>AM15</f>
        <v>0</v>
      </c>
      <c r="AO14" s="468" t="s">
        <v>128</v>
      </c>
      <c r="AP14" s="468">
        <f>AP15</f>
        <v>0</v>
      </c>
    </row>
    <row r="15" spans="2:43">
      <c r="B15" s="467" t="s">
        <v>129</v>
      </c>
      <c r="C15" s="408">
        <f>'Paid Search'!F12</f>
        <v>36236.165658018603</v>
      </c>
      <c r="E15" s="467" t="s">
        <v>130</v>
      </c>
      <c r="F15" s="408">
        <f>'Paid Search'!F17</f>
        <v>14000</v>
      </c>
      <c r="H15" s="467" t="s">
        <v>131</v>
      </c>
      <c r="I15" s="409">
        <f>'Paid Search'!F22</f>
        <v>12000</v>
      </c>
      <c r="K15" s="467" t="s">
        <v>132</v>
      </c>
      <c r="L15" s="408">
        <f>'Paid Search'!F32</f>
        <v>4396.5473623072003</v>
      </c>
      <c r="N15" s="467" t="s">
        <v>133</v>
      </c>
      <c r="O15" s="408">
        <f>'Paid Search'!F51</f>
        <v>5985.1498501499991</v>
      </c>
      <c r="Q15" s="467" t="s">
        <v>134</v>
      </c>
      <c r="R15" s="408">
        <f>'Paid Search'!F37</f>
        <v>1627.8020440924699</v>
      </c>
      <c r="T15" s="467" t="s">
        <v>135</v>
      </c>
      <c r="U15" s="408">
        <f>'Paid Search'!F27</f>
        <v>3475.3050985489599</v>
      </c>
      <c r="W15" s="467" t="s">
        <v>136</v>
      </c>
      <c r="X15" s="408">
        <f>'Paid Search'!F42</f>
        <v>602.01088878687995</v>
      </c>
      <c r="Z15" s="473"/>
      <c r="AA15" s="474"/>
      <c r="AC15" s="473"/>
      <c r="AD15" s="474"/>
      <c r="AF15" s="473"/>
      <c r="AG15" s="474"/>
      <c r="AI15" s="473"/>
      <c r="AJ15" s="474"/>
      <c r="AL15" s="473"/>
      <c r="AM15" s="474"/>
      <c r="AO15" s="473"/>
      <c r="AP15" s="474"/>
    </row>
    <row r="16" spans="2:43">
      <c r="B16" s="468" t="s">
        <v>39</v>
      </c>
      <c r="C16" s="468">
        <f>C17</f>
        <v>354345.66961155296</v>
      </c>
      <c r="E16" s="468" t="s">
        <v>39</v>
      </c>
      <c r="F16" s="468">
        <f>F17</f>
        <v>293000</v>
      </c>
      <c r="H16" s="468" t="s">
        <v>39</v>
      </c>
      <c r="I16" s="468">
        <f>I17</f>
        <v>259454.8793639332</v>
      </c>
      <c r="K16" s="468" t="s">
        <v>39</v>
      </c>
      <c r="L16" s="468">
        <f>L17</f>
        <v>0</v>
      </c>
      <c r="N16" s="468" t="s">
        <v>39</v>
      </c>
      <c r="O16" s="468">
        <f>O17</f>
        <v>101738.3404493001</v>
      </c>
      <c r="Q16" s="468" t="s">
        <v>39</v>
      </c>
      <c r="R16" s="468">
        <f>R17</f>
        <v>0</v>
      </c>
      <c r="T16" s="468" t="s">
        <v>39</v>
      </c>
      <c r="U16" s="468">
        <f>U17</f>
        <v>0</v>
      </c>
      <c r="W16" s="468" t="s">
        <v>39</v>
      </c>
      <c r="X16" s="468">
        <f>X17</f>
        <v>0</v>
      </c>
      <c r="Z16" s="468" t="s">
        <v>39</v>
      </c>
      <c r="AA16" s="468">
        <f>AA17</f>
        <v>0</v>
      </c>
      <c r="AC16" s="468" t="s">
        <v>39</v>
      </c>
      <c r="AD16" s="468">
        <f>AD17</f>
        <v>0</v>
      </c>
      <c r="AF16" s="468" t="s">
        <v>39</v>
      </c>
      <c r="AG16" s="468">
        <f>AG17</f>
        <v>0</v>
      </c>
      <c r="AI16" s="468" t="s">
        <v>39</v>
      </c>
      <c r="AJ16" s="468">
        <f>AJ17</f>
        <v>0</v>
      </c>
      <c r="AL16" s="468" t="s">
        <v>39</v>
      </c>
      <c r="AM16" s="468">
        <f>AM17</f>
        <v>0</v>
      </c>
      <c r="AO16" s="468" t="s">
        <v>39</v>
      </c>
      <c r="AP16" s="468">
        <f>AP17</f>
        <v>0</v>
      </c>
    </row>
    <row r="17" spans="2:42">
      <c r="B17" s="467" t="s">
        <v>137</v>
      </c>
      <c r="C17" s="408">
        <f>'Tik Tok'!K8</f>
        <v>354345.66961155296</v>
      </c>
      <c r="E17" s="467" t="s">
        <v>138</v>
      </c>
      <c r="F17" s="408">
        <f>'Tik Tok'!K13</f>
        <v>293000</v>
      </c>
      <c r="H17" s="467" t="s">
        <v>139</v>
      </c>
      <c r="I17" s="409">
        <f>'Tik Tok'!K17</f>
        <v>259454.8793639332</v>
      </c>
      <c r="K17" s="473"/>
      <c r="L17" s="474"/>
      <c r="N17" s="467" t="s">
        <v>140</v>
      </c>
      <c r="O17" s="408">
        <f>'Tik Tok'!K33</f>
        <v>101738.3404493001</v>
      </c>
      <c r="Q17" s="473"/>
      <c r="R17" s="474"/>
      <c r="T17" s="473"/>
      <c r="U17" s="474"/>
      <c r="W17" s="473"/>
      <c r="X17" s="474"/>
      <c r="Z17" s="473"/>
      <c r="AA17" s="474"/>
      <c r="AC17" s="473"/>
      <c r="AD17" s="474"/>
      <c r="AF17" s="473"/>
      <c r="AG17" s="474"/>
      <c r="AI17" s="473"/>
      <c r="AJ17" s="474"/>
      <c r="AL17" s="473"/>
      <c r="AM17" s="474"/>
      <c r="AO17" s="473"/>
      <c r="AP17" s="474"/>
    </row>
    <row r="18" spans="2:42">
      <c r="B18" s="468" t="s">
        <v>38</v>
      </c>
      <c r="C18" s="468">
        <f>C19</f>
        <v>274115.98000000004</v>
      </c>
      <c r="E18" s="468" t="s">
        <v>38</v>
      </c>
      <c r="F18" s="468">
        <f>F19</f>
        <v>135000</v>
      </c>
      <c r="H18" s="468" t="s">
        <v>38</v>
      </c>
      <c r="I18" s="468">
        <f>I19</f>
        <v>153754.93121311101</v>
      </c>
      <c r="K18" s="468" t="s">
        <v>38</v>
      </c>
      <c r="L18" s="468">
        <f>L19</f>
        <v>0</v>
      </c>
      <c r="N18" s="468" t="s">
        <v>38</v>
      </c>
      <c r="O18" s="468">
        <f>O19</f>
        <v>10015</v>
      </c>
      <c r="Q18" s="468" t="s">
        <v>38</v>
      </c>
      <c r="R18" s="468">
        <f>R19</f>
        <v>0</v>
      </c>
      <c r="T18" s="468" t="s">
        <v>38</v>
      </c>
      <c r="U18" s="468">
        <f>U19</f>
        <v>0</v>
      </c>
      <c r="W18" s="468" t="s">
        <v>38</v>
      </c>
      <c r="X18" s="468">
        <f>X19</f>
        <v>0</v>
      </c>
      <c r="Z18" s="468" t="s">
        <v>38</v>
      </c>
      <c r="AA18" s="468">
        <f>AA19</f>
        <v>0</v>
      </c>
      <c r="AC18" s="468" t="s">
        <v>38</v>
      </c>
      <c r="AD18" s="468">
        <f>AD19</f>
        <v>0</v>
      </c>
      <c r="AF18" s="468" t="s">
        <v>38</v>
      </c>
      <c r="AG18" s="468">
        <f>AG19</f>
        <v>0</v>
      </c>
      <c r="AI18" s="468" t="s">
        <v>38</v>
      </c>
      <c r="AJ18" s="468">
        <f>AJ19</f>
        <v>0</v>
      </c>
      <c r="AL18" s="468" t="s">
        <v>38</v>
      </c>
      <c r="AM18" s="468">
        <f>AM19</f>
        <v>0</v>
      </c>
      <c r="AO18" s="468" t="s">
        <v>38</v>
      </c>
      <c r="AP18" s="468">
        <f>AP19</f>
        <v>0</v>
      </c>
    </row>
    <row r="19" spans="2:42">
      <c r="B19" s="467" t="s">
        <v>141</v>
      </c>
      <c r="C19" s="408">
        <f>Snapchat!K10</f>
        <v>274115.98000000004</v>
      </c>
      <c r="E19" s="467" t="s">
        <v>142</v>
      </c>
      <c r="F19" s="408">
        <f>Snapchat!K14</f>
        <v>135000</v>
      </c>
      <c r="H19" s="467" t="s">
        <v>143</v>
      </c>
      <c r="I19" s="409">
        <f>Snapchat!K18</f>
        <v>153754.93121311101</v>
      </c>
      <c r="K19" s="473"/>
      <c r="L19" s="474"/>
      <c r="N19" s="467" t="s">
        <v>144</v>
      </c>
      <c r="O19" s="408">
        <f>Snapchat!K22</f>
        <v>10015</v>
      </c>
      <c r="Q19" s="473"/>
      <c r="R19" s="474"/>
      <c r="T19" s="473"/>
      <c r="U19" s="474"/>
      <c r="W19" s="473"/>
      <c r="X19" s="474"/>
      <c r="Z19" s="473"/>
      <c r="AA19" s="474"/>
      <c r="AC19" s="473"/>
      <c r="AD19" s="474"/>
      <c r="AF19" s="473"/>
      <c r="AG19" s="474"/>
      <c r="AI19" s="473"/>
      <c r="AJ19" s="474"/>
      <c r="AL19" s="473"/>
      <c r="AM19" s="474"/>
      <c r="AO19" s="473"/>
      <c r="AP19" s="474"/>
    </row>
    <row r="20" spans="2:42">
      <c r="B20" s="468" t="s">
        <v>145</v>
      </c>
      <c r="C20" s="475" t="e">
        <f>C21+C22+C23+C24+C25+C26</f>
        <v>#REF!</v>
      </c>
      <c r="E20" s="468" t="s">
        <v>145</v>
      </c>
      <c r="F20" s="475">
        <f>F21+F22+F23+F24+F25+F26</f>
        <v>158826.47801438221</v>
      </c>
      <c r="H20" s="468" t="s">
        <v>145</v>
      </c>
      <c r="I20" s="470">
        <f>I21+I22+I23+I24+I25+I26</f>
        <v>77129.11342444866</v>
      </c>
      <c r="K20" s="468" t="s">
        <v>145</v>
      </c>
      <c r="L20" s="475">
        <f>L21+L22+L23+L24+L25+L26</f>
        <v>0</v>
      </c>
      <c r="N20" s="468" t="s">
        <v>145</v>
      </c>
      <c r="O20" s="475">
        <f>O21+O22+O23+O24+O25+O26</f>
        <v>51807.173204773899</v>
      </c>
      <c r="Q20" s="468" t="s">
        <v>145</v>
      </c>
      <c r="R20" s="475">
        <f>R21+R22+R23+R24+R25+R26</f>
        <v>0</v>
      </c>
      <c r="T20" s="468" t="s">
        <v>145</v>
      </c>
      <c r="U20" s="475">
        <f>U21+U22+U23+U24+U25+U26</f>
        <v>0</v>
      </c>
      <c r="W20" s="468" t="s">
        <v>145</v>
      </c>
      <c r="X20" s="475">
        <f>X21+X22+X23+X24+X25+X26</f>
        <v>0</v>
      </c>
      <c r="Z20" s="468" t="s">
        <v>145</v>
      </c>
      <c r="AA20" s="475">
        <f>AA21+AA22+AA23+AA24+AA25+AA26</f>
        <v>0</v>
      </c>
      <c r="AC20" s="468" t="s">
        <v>145</v>
      </c>
      <c r="AD20" s="475">
        <f>AD21+AD22+AD23+AD24+AD25+AD26</f>
        <v>0</v>
      </c>
      <c r="AF20" s="468" t="s">
        <v>145</v>
      </c>
      <c r="AG20" s="475">
        <f>AG21+AG22+AG23+AG24+AG25+AG26</f>
        <v>0</v>
      </c>
      <c r="AI20" s="468" t="s">
        <v>145</v>
      </c>
      <c r="AJ20" s="475">
        <f>AJ21+AJ22+AJ23+AJ24+AJ25+AJ26</f>
        <v>0</v>
      </c>
      <c r="AL20" s="468" t="s">
        <v>145</v>
      </c>
      <c r="AM20" s="475">
        <f>AM21+AM22+AM23+AM24+AM25+AM26</f>
        <v>0</v>
      </c>
      <c r="AO20" s="468" t="s">
        <v>145</v>
      </c>
      <c r="AP20" s="475">
        <f>AP21+AP22+AP23+AP24+AP25+AP26</f>
        <v>0</v>
      </c>
    </row>
    <row r="21" spans="2:42">
      <c r="B21" s="467" t="s">
        <v>146</v>
      </c>
      <c r="C21" s="408">
        <f>YouTube!K7</f>
        <v>107615.68028003399</v>
      </c>
      <c r="E21" s="467" t="s">
        <v>147</v>
      </c>
      <c r="F21" s="408">
        <f>YouTube!K19</f>
        <v>78141.870444332002</v>
      </c>
      <c r="H21" s="467" t="s">
        <v>148</v>
      </c>
      <c r="I21" s="409">
        <f>YouTube!K14</f>
        <v>43192.303517691253</v>
      </c>
      <c r="K21" s="472"/>
      <c r="L21" s="476"/>
      <c r="N21" s="467" t="s">
        <v>149</v>
      </c>
      <c r="O21" s="408">
        <f>YouTube!K24</f>
        <v>30925.384470891</v>
      </c>
      <c r="Q21" s="473"/>
      <c r="R21" s="474"/>
      <c r="T21" s="473"/>
      <c r="U21" s="474"/>
      <c r="W21" s="473"/>
      <c r="X21" s="474"/>
      <c r="Z21" s="473"/>
      <c r="AA21" s="474"/>
      <c r="AC21" s="473"/>
      <c r="AD21" s="474"/>
      <c r="AF21" s="473"/>
      <c r="AG21" s="474"/>
      <c r="AI21" s="473"/>
      <c r="AJ21" s="474"/>
      <c r="AL21" s="473"/>
      <c r="AM21" s="474"/>
      <c r="AO21" s="473"/>
      <c r="AP21" s="474"/>
    </row>
    <row r="22" spans="2:42">
      <c r="B22" s="467" t="s">
        <v>150</v>
      </c>
      <c r="C22" s="408">
        <f>YouTube!K8</f>
        <v>51892.577262871499</v>
      </c>
      <c r="E22" s="467" t="s">
        <v>151</v>
      </c>
      <c r="F22" s="408">
        <f>YouTube!K20</f>
        <v>48566.350630777197</v>
      </c>
      <c r="H22" s="467" t="s">
        <v>152</v>
      </c>
      <c r="I22" s="409">
        <f>YouTube!K15</f>
        <v>18510.987221867679</v>
      </c>
      <c r="K22" s="472"/>
      <c r="L22" s="476"/>
      <c r="N22" s="467" t="s">
        <v>153</v>
      </c>
      <c r="O22" s="408">
        <f>YouTube!K25</f>
        <v>20881.788733882899</v>
      </c>
      <c r="Q22" s="473"/>
      <c r="R22" s="474"/>
      <c r="T22" s="473"/>
      <c r="U22" s="474"/>
      <c r="W22" s="473"/>
      <c r="X22" s="474"/>
      <c r="Z22" s="473"/>
      <c r="AA22" s="474"/>
      <c r="AC22" s="473"/>
      <c r="AD22" s="474"/>
      <c r="AF22" s="473"/>
      <c r="AG22" s="474"/>
      <c r="AI22" s="473"/>
      <c r="AJ22" s="474"/>
      <c r="AL22" s="473"/>
      <c r="AM22" s="474"/>
      <c r="AO22" s="473"/>
      <c r="AP22" s="474"/>
    </row>
    <row r="23" spans="2:42">
      <c r="B23" s="467" t="s">
        <v>154</v>
      </c>
      <c r="C23" s="408">
        <f>YouTube!K9</f>
        <v>23144.242358355154</v>
      </c>
      <c r="E23" s="467" t="s">
        <v>155</v>
      </c>
      <c r="F23" s="408">
        <f>YouTube!K21</f>
        <v>18660.467611083001</v>
      </c>
      <c r="H23" s="467" t="s">
        <v>156</v>
      </c>
      <c r="I23" s="409">
        <f>YouTube!K16</f>
        <v>10798.075879422813</v>
      </c>
      <c r="K23" s="472"/>
      <c r="L23" s="476"/>
      <c r="N23" s="472"/>
      <c r="O23" s="474"/>
      <c r="Q23" s="472"/>
      <c r="R23" s="474"/>
      <c r="T23" s="472"/>
      <c r="U23" s="474"/>
      <c r="W23" s="472"/>
      <c r="X23" s="474"/>
      <c r="Z23" s="472"/>
      <c r="AA23" s="474"/>
      <c r="AC23" s="472"/>
      <c r="AD23" s="474"/>
      <c r="AF23" s="472"/>
      <c r="AG23" s="474"/>
      <c r="AI23" s="472"/>
      <c r="AJ23" s="474"/>
      <c r="AL23" s="472"/>
      <c r="AM23" s="474"/>
      <c r="AO23" s="472"/>
      <c r="AP23" s="474"/>
    </row>
    <row r="24" spans="2:42">
      <c r="B24" s="467" t="s">
        <v>157</v>
      </c>
      <c r="C24" s="408">
        <f>YouTube!K10</f>
        <v>9918.9610107236385</v>
      </c>
      <c r="E24" s="467" t="s">
        <v>158</v>
      </c>
      <c r="F24" s="408">
        <f>YouTube!K22</f>
        <v>13457.78932819</v>
      </c>
      <c r="H24" s="467" t="s">
        <v>159</v>
      </c>
      <c r="I24" s="409">
        <f>YouTube!K17</f>
        <v>4627.7468054669198</v>
      </c>
      <c r="K24" s="472"/>
      <c r="L24" s="476"/>
      <c r="N24" s="472"/>
      <c r="O24" s="474"/>
      <c r="Q24" s="472"/>
      <c r="R24" s="474"/>
      <c r="T24" s="472"/>
      <c r="U24" s="474"/>
      <c r="W24" s="472"/>
      <c r="X24" s="474"/>
      <c r="Z24" s="472"/>
      <c r="AA24" s="474"/>
      <c r="AC24" s="472"/>
      <c r="AD24" s="474"/>
      <c r="AF24" s="472"/>
      <c r="AG24" s="474"/>
      <c r="AI24" s="472"/>
      <c r="AJ24" s="474"/>
      <c r="AL24" s="472"/>
      <c r="AM24" s="474"/>
      <c r="AO24" s="472"/>
      <c r="AP24" s="474"/>
    </row>
    <row r="25" spans="2:42">
      <c r="B25" s="467" t="s">
        <v>160</v>
      </c>
      <c r="C25" s="408" t="e">
        <f>YouTube!#REF!</f>
        <v>#REF!</v>
      </c>
      <c r="E25" s="472"/>
      <c r="F25" s="474"/>
      <c r="H25" s="472"/>
      <c r="I25" s="473"/>
      <c r="K25" s="472"/>
      <c r="L25" s="474"/>
      <c r="N25" s="472"/>
      <c r="O25" s="474"/>
      <c r="Q25" s="472"/>
      <c r="R25" s="474"/>
      <c r="T25" s="472"/>
      <c r="U25" s="474"/>
      <c r="W25" s="472"/>
      <c r="X25" s="474"/>
      <c r="Z25" s="472"/>
      <c r="AA25" s="474"/>
      <c r="AC25" s="472"/>
      <c r="AD25" s="474"/>
      <c r="AF25" s="472"/>
      <c r="AG25" s="474"/>
      <c r="AI25" s="472"/>
      <c r="AJ25" s="474"/>
      <c r="AL25" s="472"/>
      <c r="AM25" s="474"/>
      <c r="AO25" s="472"/>
      <c r="AP25" s="474"/>
    </row>
    <row r="26" spans="2:42">
      <c r="B26" s="467" t="s">
        <v>161</v>
      </c>
      <c r="C26" s="408" t="e">
        <f>YouTube!#REF!</f>
        <v>#REF!</v>
      </c>
      <c r="E26" s="472"/>
      <c r="F26" s="474"/>
      <c r="H26" s="472"/>
      <c r="I26" s="473"/>
      <c r="K26" s="472"/>
      <c r="L26" s="474"/>
      <c r="N26" s="472"/>
      <c r="O26" s="474"/>
      <c r="Q26" s="472"/>
      <c r="R26" s="474"/>
      <c r="T26" s="472"/>
      <c r="U26" s="474"/>
      <c r="W26" s="472"/>
      <c r="X26" s="474"/>
      <c r="Z26" s="472"/>
      <c r="AA26" s="474"/>
      <c r="AC26" s="472"/>
      <c r="AD26" s="474"/>
      <c r="AF26" s="472"/>
      <c r="AG26" s="474"/>
      <c r="AI26" s="472"/>
      <c r="AJ26" s="474"/>
      <c r="AL26" s="472"/>
      <c r="AM26" s="474"/>
      <c r="AO26" s="472"/>
      <c r="AP26" s="474"/>
    </row>
    <row r="27" spans="2:42">
      <c r="B27" s="468" t="s">
        <v>162</v>
      </c>
      <c r="C27" s="468">
        <f>C28+C29</f>
        <v>220121.18</v>
      </c>
      <c r="E27" s="468" t="s">
        <v>162</v>
      </c>
      <c r="F27" s="468">
        <f>F28+F29</f>
        <v>217180.40000000002</v>
      </c>
      <c r="H27" s="468" t="s">
        <v>162</v>
      </c>
      <c r="I27" s="468">
        <f>I28+I29</f>
        <v>75125.170000000013</v>
      </c>
      <c r="K27" s="468" t="s">
        <v>162</v>
      </c>
      <c r="L27" s="468">
        <f>L28+L29</f>
        <v>49708.619999999995</v>
      </c>
      <c r="N27" s="468" t="s">
        <v>162</v>
      </c>
      <c r="O27" s="468">
        <f>O28+O29</f>
        <v>53967.499999999993</v>
      </c>
      <c r="Q27" s="468" t="s">
        <v>162</v>
      </c>
      <c r="R27" s="468">
        <f>R28+R29</f>
        <v>0</v>
      </c>
      <c r="T27" s="468" t="s">
        <v>162</v>
      </c>
      <c r="U27" s="468">
        <f>U28+U29</f>
        <v>0</v>
      </c>
      <c r="W27" s="468" t="s">
        <v>162</v>
      </c>
      <c r="X27" s="468">
        <f>X28+X29</f>
        <v>0</v>
      </c>
      <c r="Z27" s="468" t="s">
        <v>162</v>
      </c>
      <c r="AA27" s="468">
        <f>AA28+AA29</f>
        <v>0</v>
      </c>
      <c r="AC27" s="468" t="s">
        <v>162</v>
      </c>
      <c r="AD27" s="468">
        <f>AD28+AD29</f>
        <v>0</v>
      </c>
      <c r="AF27" s="468" t="s">
        <v>162</v>
      </c>
      <c r="AG27" s="468">
        <f>AG28+AG29</f>
        <v>0</v>
      </c>
      <c r="AI27" s="468" t="s">
        <v>162</v>
      </c>
      <c r="AJ27" s="468">
        <f>AJ28+AJ29</f>
        <v>0</v>
      </c>
      <c r="AL27" s="468" t="s">
        <v>162</v>
      </c>
      <c r="AM27" s="468">
        <f>AM28+AM29</f>
        <v>0</v>
      </c>
      <c r="AO27" s="468" t="s">
        <v>162</v>
      </c>
      <c r="AP27" s="468">
        <f>AP28+AP29</f>
        <v>0</v>
      </c>
    </row>
    <row r="28" spans="2:42">
      <c r="B28" s="467" t="s">
        <v>163</v>
      </c>
      <c r="C28" s="408">
        <f>Display!F7+Display!F9</f>
        <v>192754.94999999998</v>
      </c>
      <c r="E28" s="467" t="s">
        <v>164</v>
      </c>
      <c r="F28" s="408">
        <f>Display!F12+Display!F14</f>
        <v>196287.47000000003</v>
      </c>
      <c r="H28" s="467" t="s">
        <v>165</v>
      </c>
      <c r="I28" s="409">
        <f>Display!F17+Display!F19</f>
        <v>68633.100000000006</v>
      </c>
      <c r="K28" s="467" t="s">
        <v>166</v>
      </c>
      <c r="L28" s="408">
        <f>Display!F22+Display!F24</f>
        <v>44774.619999999995</v>
      </c>
      <c r="N28" s="467" t="s">
        <v>167</v>
      </c>
      <c r="O28" s="408">
        <f>Display!F27+Display!F29</f>
        <v>48624.119999999995</v>
      </c>
      <c r="Q28" s="473"/>
      <c r="R28" s="474"/>
      <c r="T28" s="473"/>
      <c r="U28" s="474"/>
      <c r="W28" s="473"/>
      <c r="X28" s="474"/>
      <c r="Z28" s="473"/>
      <c r="AA28" s="474"/>
      <c r="AC28" s="473"/>
      <c r="AD28" s="474"/>
      <c r="AF28" s="473"/>
      <c r="AG28" s="474"/>
      <c r="AI28" s="473"/>
      <c r="AJ28" s="474"/>
      <c r="AL28" s="473"/>
      <c r="AM28" s="474"/>
      <c r="AO28" s="473"/>
      <c r="AP28" s="474"/>
    </row>
    <row r="29" spans="2:42">
      <c r="B29" s="467" t="s">
        <v>168</v>
      </c>
      <c r="C29" s="408">
        <f>Display!F8+Display!F10</f>
        <v>27366.230000000003</v>
      </c>
      <c r="E29" s="467" t="s">
        <v>169</v>
      </c>
      <c r="F29" s="408">
        <f>Display!F13+Display!F15</f>
        <v>20892.93</v>
      </c>
      <c r="H29" s="467" t="s">
        <v>170</v>
      </c>
      <c r="I29" s="409">
        <f>Display!F18+Display!F20</f>
        <v>6492.07</v>
      </c>
      <c r="K29" s="467" t="s">
        <v>171</v>
      </c>
      <c r="L29" s="408">
        <f>Display!F23+Display!F25</f>
        <v>4934</v>
      </c>
      <c r="N29" s="467" t="s">
        <v>172</v>
      </c>
      <c r="O29" s="408">
        <f>Display!F28+Display!F30</f>
        <v>5343.38</v>
      </c>
      <c r="Q29" s="473"/>
      <c r="R29" s="474"/>
      <c r="T29" s="473"/>
      <c r="U29" s="474"/>
      <c r="W29" s="473"/>
      <c r="X29" s="474"/>
      <c r="Z29" s="473"/>
      <c r="AA29" s="474"/>
      <c r="AC29" s="473"/>
      <c r="AD29" s="474"/>
      <c r="AF29" s="473"/>
      <c r="AG29" s="474"/>
      <c r="AI29" s="473"/>
      <c r="AJ29" s="474"/>
      <c r="AL29" s="473"/>
      <c r="AM29" s="474"/>
      <c r="AO29" s="473"/>
      <c r="AP29" s="474"/>
    </row>
    <row r="30" spans="2:42">
      <c r="B30" s="468" t="s">
        <v>173</v>
      </c>
      <c r="C30" s="468">
        <f>C31+C32</f>
        <v>4016.1306774859718</v>
      </c>
      <c r="E30" s="468" t="s">
        <v>173</v>
      </c>
      <c r="F30" s="468">
        <f>F31+F32</f>
        <v>3753.0784139667812</v>
      </c>
      <c r="H30" s="468" t="s">
        <v>173</v>
      </c>
      <c r="I30" s="468">
        <f>I31+I32</f>
        <v>1405.9721409484828</v>
      </c>
      <c r="K30" s="468" t="s">
        <v>173</v>
      </c>
      <c r="L30" s="468">
        <f>L31+L32</f>
        <v>682.62143733333335</v>
      </c>
      <c r="N30" s="468" t="s">
        <v>173</v>
      </c>
      <c r="O30" s="468">
        <f>O31+O32</f>
        <v>805.00495187144043</v>
      </c>
      <c r="Q30" s="468" t="s">
        <v>173</v>
      </c>
      <c r="R30" s="468">
        <f>R31+R32</f>
        <v>0</v>
      </c>
      <c r="T30" s="468" t="s">
        <v>173</v>
      </c>
      <c r="U30" s="468">
        <f>U31+U32</f>
        <v>0</v>
      </c>
      <c r="W30" s="468" t="s">
        <v>173</v>
      </c>
      <c r="X30" s="468">
        <f>X31+X32</f>
        <v>0</v>
      </c>
      <c r="Z30" s="468" t="s">
        <v>173</v>
      </c>
      <c r="AA30" s="468">
        <f>AA31+AA32</f>
        <v>0</v>
      </c>
      <c r="AC30" s="468" t="s">
        <v>173</v>
      </c>
      <c r="AD30" s="468">
        <f>AD31+AD32</f>
        <v>0</v>
      </c>
      <c r="AF30" s="468" t="s">
        <v>173</v>
      </c>
      <c r="AG30" s="468">
        <f>AG31+AG32</f>
        <v>0</v>
      </c>
      <c r="AI30" s="468" t="s">
        <v>173</v>
      </c>
      <c r="AJ30" s="468">
        <f>AJ31+AJ32</f>
        <v>0</v>
      </c>
      <c r="AL30" s="468" t="s">
        <v>173</v>
      </c>
      <c r="AM30" s="468">
        <f>AM31+AM32</f>
        <v>0</v>
      </c>
      <c r="AO30" s="468" t="s">
        <v>173</v>
      </c>
      <c r="AP30" s="468">
        <f>AP31+AP32</f>
        <v>0</v>
      </c>
    </row>
    <row r="31" spans="2:42">
      <c r="B31" s="467" t="s">
        <v>174</v>
      </c>
      <c r="C31" s="408">
        <f>Display!N11</f>
        <v>3000.0299333333337</v>
      </c>
      <c r="E31" s="467" t="s">
        <v>175</v>
      </c>
      <c r="F31" s="408">
        <f>Display!N16</f>
        <v>3001.1436000000008</v>
      </c>
      <c r="H31" s="467" t="s">
        <v>176</v>
      </c>
      <c r="I31" s="409">
        <f>Display!N21</f>
        <v>1033.396641333333</v>
      </c>
      <c r="K31" s="467" t="s">
        <v>177</v>
      </c>
      <c r="L31" s="408">
        <f>Display!N26</f>
        <v>682.62143733333335</v>
      </c>
      <c r="N31" s="467" t="s">
        <v>178</v>
      </c>
      <c r="O31" s="408">
        <f>Display!N31</f>
        <v>753.19777866666652</v>
      </c>
      <c r="Q31" s="473"/>
      <c r="R31" s="474"/>
      <c r="T31" s="473"/>
      <c r="U31" s="474"/>
      <c r="W31" s="473"/>
      <c r="X31" s="474"/>
      <c r="Z31" s="473"/>
      <c r="AA31" s="474"/>
      <c r="AC31" s="473"/>
      <c r="AD31" s="474"/>
      <c r="AF31" s="473"/>
      <c r="AG31" s="474"/>
      <c r="AI31" s="473"/>
      <c r="AJ31" s="474"/>
      <c r="AL31" s="473"/>
      <c r="AM31" s="474"/>
      <c r="AO31" s="473"/>
      <c r="AP31" s="474"/>
    </row>
    <row r="32" spans="2:42">
      <c r="B32" s="467" t="s">
        <v>179</v>
      </c>
      <c r="C32" s="408">
        <f>YouTube!M13</f>
        <v>1016.1007441526381</v>
      </c>
      <c r="E32" s="467" t="s">
        <v>180</v>
      </c>
      <c r="F32" s="408">
        <f>YouTube!M23</f>
        <v>751.93481396678021</v>
      </c>
      <c r="H32" s="467" t="s">
        <v>181</v>
      </c>
      <c r="I32" s="409">
        <f>YouTube!M18</f>
        <v>372.57549961514962</v>
      </c>
      <c r="K32" s="472"/>
      <c r="L32" s="474"/>
      <c r="N32" s="467" t="s">
        <v>182</v>
      </c>
      <c r="O32" s="408">
        <f>YouTube!N26</f>
        <v>51.807173204773903</v>
      </c>
      <c r="Q32" s="473"/>
      <c r="R32" s="474"/>
      <c r="T32" s="473"/>
      <c r="U32" s="474"/>
      <c r="W32" s="473"/>
      <c r="X32" s="474"/>
      <c r="Z32" s="473"/>
      <c r="AA32" s="474"/>
      <c r="AC32" s="473"/>
      <c r="AD32" s="474"/>
      <c r="AF32" s="473"/>
      <c r="AG32" s="474"/>
      <c r="AI32" s="473"/>
      <c r="AJ32" s="474"/>
      <c r="AL32" s="473"/>
      <c r="AM32" s="474"/>
      <c r="AO32" s="473"/>
      <c r="AP32" s="474"/>
    </row>
    <row r="33" spans="2:42">
      <c r="B33" s="468" t="s">
        <v>183</v>
      </c>
      <c r="C33" s="475">
        <f>C34</f>
        <v>62000</v>
      </c>
      <c r="E33" s="468" t="s">
        <v>183</v>
      </c>
      <c r="F33" s="475">
        <f>F34</f>
        <v>8106</v>
      </c>
      <c r="H33" s="468" t="s">
        <v>183</v>
      </c>
      <c r="I33" s="470">
        <f>I34</f>
        <v>16500</v>
      </c>
      <c r="K33" s="468" t="s">
        <v>183</v>
      </c>
      <c r="L33" s="475">
        <f>L34</f>
        <v>10500</v>
      </c>
      <c r="N33" s="468" t="s">
        <v>183</v>
      </c>
      <c r="O33" s="475">
        <f>O34</f>
        <v>0</v>
      </c>
      <c r="Q33" s="468" t="s">
        <v>183</v>
      </c>
      <c r="R33" s="475">
        <f>R34</f>
        <v>0</v>
      </c>
      <c r="T33" s="468" t="s">
        <v>183</v>
      </c>
      <c r="U33" s="475">
        <f>U34</f>
        <v>14000</v>
      </c>
      <c r="W33" s="468" t="s">
        <v>183</v>
      </c>
      <c r="X33" s="475">
        <f>X34</f>
        <v>0</v>
      </c>
      <c r="Z33" s="468" t="s">
        <v>183</v>
      </c>
      <c r="AA33" s="475">
        <f>AA34</f>
        <v>0</v>
      </c>
      <c r="AC33" s="468" t="s">
        <v>183</v>
      </c>
      <c r="AD33" s="475">
        <f>AD34</f>
        <v>0</v>
      </c>
      <c r="AF33" s="468" t="s">
        <v>183</v>
      </c>
      <c r="AG33" s="475">
        <f>AG34</f>
        <v>0</v>
      </c>
      <c r="AI33" s="468" t="s">
        <v>183</v>
      </c>
      <c r="AJ33" s="475">
        <f>AJ34</f>
        <v>0</v>
      </c>
      <c r="AL33" s="468" t="s">
        <v>183</v>
      </c>
      <c r="AM33" s="475">
        <f>AM34</f>
        <v>0</v>
      </c>
      <c r="AO33" s="468" t="s">
        <v>183</v>
      </c>
      <c r="AP33" s="475">
        <f>AP34</f>
        <v>0</v>
      </c>
    </row>
    <row r="34" spans="2:42">
      <c r="B34" s="467" t="s">
        <v>184</v>
      </c>
      <c r="C34" s="408">
        <f>Dentaly!K7</f>
        <v>62000</v>
      </c>
      <c r="E34" s="467" t="s">
        <v>185</v>
      </c>
      <c r="F34" s="408">
        <f>Dentaly!K8</f>
        <v>8106</v>
      </c>
      <c r="H34" s="467" t="s">
        <v>186</v>
      </c>
      <c r="I34" s="409">
        <f>Dentaly!K9</f>
        <v>16500</v>
      </c>
      <c r="K34" s="467" t="s">
        <v>187</v>
      </c>
      <c r="L34" s="408">
        <f>Dentaly!K10</f>
        <v>10500</v>
      </c>
      <c r="N34" s="472"/>
      <c r="O34" s="474"/>
      <c r="Q34" s="472"/>
      <c r="R34" s="474"/>
      <c r="T34" s="467" t="s">
        <v>188</v>
      </c>
      <c r="U34" s="408">
        <f>Dentaly!K11</f>
        <v>14000</v>
      </c>
      <c r="W34" s="473"/>
      <c r="X34" s="474"/>
      <c r="Z34" s="473"/>
      <c r="AA34" s="474"/>
      <c r="AC34" s="473"/>
      <c r="AD34" s="474"/>
      <c r="AF34" s="473"/>
      <c r="AG34" s="474"/>
      <c r="AI34" s="473"/>
      <c r="AJ34" s="474"/>
      <c r="AL34" s="473"/>
      <c r="AM34" s="474"/>
      <c r="AO34" s="473"/>
      <c r="AP34" s="474"/>
    </row>
    <row r="35" spans="2:42">
      <c r="B35" s="468" t="s">
        <v>189</v>
      </c>
      <c r="C35" s="468">
        <f>C36+C37</f>
        <v>1165.5972173862674</v>
      </c>
      <c r="E35" s="468" t="s">
        <v>189</v>
      </c>
      <c r="F35" s="468">
        <f>F36+F37</f>
        <v>1092.0718181674306</v>
      </c>
      <c r="H35" s="468" t="s">
        <v>189</v>
      </c>
      <c r="I35" s="468">
        <f>I36+I37</f>
        <v>408.15859293773781</v>
      </c>
      <c r="K35" s="468" t="s">
        <v>189</v>
      </c>
      <c r="L35" s="468">
        <f>L36+L37</f>
        <v>210.03736533333336</v>
      </c>
      <c r="N35" s="468" t="s">
        <v>189</v>
      </c>
      <c r="O35" s="468">
        <f>O36+O37</f>
        <v>290.58362052005111</v>
      </c>
      <c r="Q35" s="468" t="s">
        <v>189</v>
      </c>
      <c r="R35" s="468">
        <f>R36+R37</f>
        <v>0</v>
      </c>
      <c r="T35" s="468" t="s">
        <v>189</v>
      </c>
      <c r="U35" s="468">
        <f>U36+U37</f>
        <v>0</v>
      </c>
      <c r="W35" s="468" t="s">
        <v>189</v>
      </c>
      <c r="X35" s="468">
        <f>X36+X37</f>
        <v>0</v>
      </c>
      <c r="Z35" s="468" t="s">
        <v>189</v>
      </c>
      <c r="AA35" s="468">
        <f>AA36+AA37</f>
        <v>0</v>
      </c>
      <c r="AC35" s="468" t="s">
        <v>189</v>
      </c>
      <c r="AD35" s="468">
        <f>AD36+AD37</f>
        <v>0</v>
      </c>
      <c r="AF35" s="468" t="s">
        <v>189</v>
      </c>
      <c r="AG35" s="468">
        <f>AG36+AG37</f>
        <v>0</v>
      </c>
      <c r="AI35" s="468" t="s">
        <v>189</v>
      </c>
      <c r="AJ35" s="468">
        <f>AJ36+AJ37</f>
        <v>0</v>
      </c>
      <c r="AL35" s="468" t="s">
        <v>189</v>
      </c>
      <c r="AM35" s="468">
        <f>AM36+AM37</f>
        <v>0</v>
      </c>
      <c r="AO35" s="468" t="s">
        <v>189</v>
      </c>
      <c r="AP35" s="468">
        <f>AP36+AP37</f>
        <v>0</v>
      </c>
    </row>
    <row r="36" spans="2:42">
      <c r="B36" s="467" t="s">
        <v>190</v>
      </c>
      <c r="C36" s="408">
        <f>Display!M11</f>
        <v>923.08613333333324</v>
      </c>
      <c r="E36" s="467" t="s">
        <v>190</v>
      </c>
      <c r="F36" s="408">
        <f>Display!M16</f>
        <v>923.42880000000014</v>
      </c>
      <c r="H36" s="467" t="s">
        <v>190</v>
      </c>
      <c r="I36" s="409">
        <f>Display!M21</f>
        <v>317.96819733333331</v>
      </c>
      <c r="K36" s="467" t="s">
        <v>190</v>
      </c>
      <c r="L36" s="408">
        <f>Display!M26</f>
        <v>210.03736533333336</v>
      </c>
      <c r="N36" s="467" t="s">
        <v>190</v>
      </c>
      <c r="O36" s="408">
        <f>Display!M31</f>
        <v>231.75316266666664</v>
      </c>
      <c r="Q36" s="473"/>
      <c r="R36" s="474"/>
      <c r="T36" s="473"/>
      <c r="U36" s="474"/>
      <c r="W36" s="473"/>
      <c r="X36" s="474"/>
      <c r="Z36" s="473"/>
      <c r="AA36" s="474"/>
      <c r="AC36" s="473"/>
      <c r="AD36" s="474"/>
      <c r="AF36" s="473"/>
      <c r="AG36" s="474"/>
      <c r="AI36" s="473"/>
      <c r="AJ36" s="474"/>
      <c r="AL36" s="473"/>
      <c r="AM36" s="474"/>
      <c r="AO36" s="473"/>
      <c r="AP36" s="474"/>
    </row>
    <row r="37" spans="2:42">
      <c r="B37" s="467" t="s">
        <v>191</v>
      </c>
      <c r="C37" s="408">
        <f>YouTube!L13</f>
        <v>242.51108405293405</v>
      </c>
      <c r="E37" s="467" t="s">
        <v>191</v>
      </c>
      <c r="F37" s="408">
        <f>YouTube!L23</f>
        <v>168.64301816743045</v>
      </c>
      <c r="H37" s="467" t="s">
        <v>191</v>
      </c>
      <c r="I37" s="409">
        <f>YouTube!L18</f>
        <v>90.190395604404472</v>
      </c>
      <c r="K37" s="472"/>
      <c r="L37" s="476"/>
      <c r="N37" s="467" t="s">
        <v>191</v>
      </c>
      <c r="O37" s="408">
        <f>YouTube!L26</f>
        <v>58.830457853384459</v>
      </c>
      <c r="Q37" s="473"/>
      <c r="R37" s="474"/>
      <c r="T37" s="473"/>
      <c r="U37" s="474"/>
      <c r="W37" s="473"/>
      <c r="X37" s="474"/>
      <c r="Z37" s="473"/>
      <c r="AA37" s="474"/>
      <c r="AC37" s="473"/>
      <c r="AD37" s="474"/>
      <c r="AF37" s="473"/>
      <c r="AG37" s="474"/>
      <c r="AI37" s="473"/>
      <c r="AJ37" s="474"/>
      <c r="AL37" s="473"/>
      <c r="AM37" s="474"/>
      <c r="AO37" s="473"/>
      <c r="AP37" s="474"/>
    </row>
    <row r="38" spans="2:42">
      <c r="B38" s="468" t="s">
        <v>192</v>
      </c>
      <c r="C38" s="468" t="e">
        <f>C39</f>
        <v>#REF!</v>
      </c>
      <c r="E38" s="468" t="s">
        <v>192</v>
      </c>
      <c r="F38" s="468">
        <f>F39</f>
        <v>2367.4123611139853</v>
      </c>
      <c r="H38" s="468" t="s">
        <v>192</v>
      </c>
      <c r="I38" s="468">
        <f>I39</f>
        <v>1822.5287801695856</v>
      </c>
      <c r="K38" s="468" t="s">
        <v>192</v>
      </c>
      <c r="L38" s="468">
        <f>L39</f>
        <v>819.40994370558133</v>
      </c>
      <c r="N38" s="468" t="s">
        <v>192</v>
      </c>
      <c r="O38" s="468">
        <f>O39</f>
        <v>741.48772613325104</v>
      </c>
      <c r="Q38" s="468" t="s">
        <v>192</v>
      </c>
      <c r="R38" s="468">
        <f>R39</f>
        <v>89.302802044092473</v>
      </c>
      <c r="T38" s="468" t="s">
        <v>192</v>
      </c>
      <c r="U38" s="468">
        <f>U39</f>
        <v>251.67892566304698</v>
      </c>
      <c r="W38" s="468" t="s">
        <v>192</v>
      </c>
      <c r="X38" s="468">
        <f>X39</f>
        <v>161.57502488878688</v>
      </c>
      <c r="Z38" s="468" t="s">
        <v>192</v>
      </c>
      <c r="AA38" s="468">
        <f>AA39</f>
        <v>153.59248790209787</v>
      </c>
      <c r="AC38" s="468" t="s">
        <v>192</v>
      </c>
      <c r="AD38" s="468">
        <f>AD39</f>
        <v>109.42067</v>
      </c>
      <c r="AF38" s="468" t="s">
        <v>192</v>
      </c>
      <c r="AG38" s="468">
        <f>AG39</f>
        <v>125.344722</v>
      </c>
      <c r="AI38" s="468" t="s">
        <v>192</v>
      </c>
      <c r="AJ38" s="468">
        <f>AJ39</f>
        <v>117.60447405594401</v>
      </c>
      <c r="AL38" s="468" t="s">
        <v>192</v>
      </c>
      <c r="AM38" s="468">
        <f>AM39</f>
        <v>87.4320983316683</v>
      </c>
      <c r="AO38" s="468" t="s">
        <v>192</v>
      </c>
      <c r="AP38" s="468">
        <f>AP39</f>
        <v>98.741801241997976</v>
      </c>
    </row>
    <row r="39" spans="2:42">
      <c r="B39" s="467" t="s">
        <v>192</v>
      </c>
      <c r="C39" s="408" t="e">
        <f>(C3+C10+C14+C16+C18+C20+C27+C33)*0.1%</f>
        <v>#REF!</v>
      </c>
      <c r="E39" s="467" t="s">
        <v>192</v>
      </c>
      <c r="F39" s="408">
        <f>(F3+F10+F14+F16+F18+F20+F27+F33)*0.1%</f>
        <v>2367.4123611139853</v>
      </c>
      <c r="H39" s="467" t="s">
        <v>192</v>
      </c>
      <c r="I39" s="408">
        <f>(I3+I10+I14+I16+I18+I20+I27+I33)*0.1%</f>
        <v>1822.5287801695856</v>
      </c>
      <c r="K39" s="467" t="s">
        <v>192</v>
      </c>
      <c r="L39" s="408">
        <f>(L3+L10+L14+L16+L18+L20+L27+L33)*0.1%</f>
        <v>819.40994370558133</v>
      </c>
      <c r="N39" s="467" t="s">
        <v>192</v>
      </c>
      <c r="O39" s="408">
        <f>(O3+O10+O14+O16+O18+O20+O27+O33)*0.1%</f>
        <v>741.48772613325104</v>
      </c>
      <c r="Q39" s="467" t="s">
        <v>192</v>
      </c>
      <c r="R39" s="408">
        <f>(R3+R10+R14+R16+R18+R20+R27+R33)*0.1%</f>
        <v>89.302802044092473</v>
      </c>
      <c r="T39" s="467" t="s">
        <v>192</v>
      </c>
      <c r="U39" s="408">
        <f>(U3+U10+U14+U16+U18+U20+U27+U33)*0.1%</f>
        <v>251.67892566304698</v>
      </c>
      <c r="W39" s="467" t="s">
        <v>192</v>
      </c>
      <c r="X39" s="408">
        <f>(X3+X10+X14+X16+X18+X20+X27+X33)*0.1%</f>
        <v>161.57502488878688</v>
      </c>
      <c r="Z39" s="467" t="s">
        <v>192</v>
      </c>
      <c r="AA39" s="408">
        <f>(AA3+AA10+AA14+AA16+AA18+AA20+AA27+AA33)*0.1%</f>
        <v>153.59248790209787</v>
      </c>
      <c r="AC39" s="467" t="s">
        <v>192</v>
      </c>
      <c r="AD39" s="408">
        <f>(AD3+AD10+AD14+AD16+AD18+AD20+AD27+AD33)*0.1%</f>
        <v>109.42067</v>
      </c>
      <c r="AF39" s="467" t="s">
        <v>192</v>
      </c>
      <c r="AG39" s="408">
        <f>(AG3+AG10+AG14+AG16+AG18+AG20+AG27+AG33)*0.1%</f>
        <v>125.344722</v>
      </c>
      <c r="AI39" s="467" t="s">
        <v>192</v>
      </c>
      <c r="AJ39" s="408">
        <f>(AJ3+AJ10+AJ14+AJ16+AJ18+AJ20+AJ27+AJ33)*0.1%</f>
        <v>117.60447405594401</v>
      </c>
      <c r="AL39" s="467" t="s">
        <v>192</v>
      </c>
      <c r="AM39" s="408">
        <f>(AM3+AM10+AM14+AM16+AM18+AM20+AM27+AM33)*0.1%</f>
        <v>87.4320983316683</v>
      </c>
      <c r="AO39" s="467" t="s">
        <v>192</v>
      </c>
      <c r="AP39" s="408">
        <f>(AP3+AP10+AP14+AP16+AP18+AP20+AP27+AP33)*0.1%</f>
        <v>98.741801241997976</v>
      </c>
    </row>
    <row r="40" spans="2:42">
      <c r="B40" s="468" t="s">
        <v>193</v>
      </c>
      <c r="C40" s="468" t="e">
        <f>C3+C10+C12+C14+C16+C18+C20+C27+C30+C33+C35+C38</f>
        <v>#REF!</v>
      </c>
      <c r="E40" s="468" t="s">
        <v>193</v>
      </c>
      <c r="F40" s="468">
        <f>F3+F10+F12+F14+F16+F18+F20+F27+F30+F33+F35+F38</f>
        <v>2374624.9237072328</v>
      </c>
      <c r="H40" s="468" t="s">
        <v>193</v>
      </c>
      <c r="I40" s="468">
        <f>I3+I10+I12+I14+I16+I18+I20+I27+I30+I33+I35+I38</f>
        <v>1838594.4596836413</v>
      </c>
      <c r="K40" s="468" t="s">
        <v>193</v>
      </c>
      <c r="L40" s="468">
        <f>L3+L10+L12+L14+L16+L18+L20+L27+L30+L33+L35+L38</f>
        <v>827680.23852160946</v>
      </c>
      <c r="N40" s="468" t="s">
        <v>193</v>
      </c>
      <c r="O40" s="468">
        <f>O3+O10+O12+O14+O16+O18+O20+O27+O30+O33+O35+O38</f>
        <v>743324.80243177572</v>
      </c>
      <c r="Q40" s="468" t="s">
        <v>193</v>
      </c>
      <c r="R40" s="468">
        <f>R3+R10+R12+R14+R16+R18+R20+R27+R30+R33+R35+R38</f>
        <v>89392.104846136572</v>
      </c>
      <c r="T40" s="468" t="s">
        <v>193</v>
      </c>
      <c r="U40" s="468">
        <f>U3+U10+U12+U14+U16+U18+U20+U27+U30+U33+U35+U38</f>
        <v>251930.60458871003</v>
      </c>
      <c r="W40" s="468" t="s">
        <v>193</v>
      </c>
      <c r="X40" s="468">
        <f>X3+X10+X12+X14+X16+X18+X20+X27+X30+X33+X35+X38</f>
        <v>161736.59991367569</v>
      </c>
      <c r="Z40" s="468" t="s">
        <v>193</v>
      </c>
      <c r="AA40" s="468">
        <f>AA3+AA10+AA12+AA14+AA16+AA18+AA20+AA27+AA30+AA33+AA35+AA38</f>
        <v>153746.08038999996</v>
      </c>
      <c r="AC40" s="468" t="s">
        <v>193</v>
      </c>
      <c r="AD40" s="468">
        <f>AD3+AD10+AD12+AD14+AD16+AD18+AD20+AD27+AD30+AD33+AD35+AD38</f>
        <v>109530.09067000001</v>
      </c>
      <c r="AF40" s="468" t="s">
        <v>193</v>
      </c>
      <c r="AG40" s="468">
        <f>AG3+AG10+AG12+AG14+AG16+AG18+AG20+AG27+AG30+AG33+AG35+AG38</f>
        <v>125470.066722</v>
      </c>
      <c r="AI40" s="468" t="s">
        <v>193</v>
      </c>
      <c r="AJ40" s="468">
        <f>AJ3+AJ10+AJ12+AJ14+AJ16+AJ18+AJ20+AJ27+AJ30+AJ33+AJ35+AJ38</f>
        <v>117722.07852999996</v>
      </c>
      <c r="AL40" s="468" t="s">
        <v>193</v>
      </c>
      <c r="AM40" s="468">
        <f>AM3+AM10+AM12+AM14+AM16+AM18+AM20+AM27+AM30+AM33+AM35+AM38</f>
        <v>87519.53042999997</v>
      </c>
      <c r="AO40" s="468" t="s">
        <v>193</v>
      </c>
      <c r="AP40" s="468">
        <f>AP3+AP10+AP12+AP14+AP16+AP18+AP20+AP27+AP30+AP33+AP35+AP38</f>
        <v>98840.543043239973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X68"/>
  <sheetViews>
    <sheetView showGridLines="0" tabSelected="1" zoomScale="80" zoomScaleNormal="80" workbookViewId="0">
      <selection activeCell="H72" sqref="H72"/>
    </sheetView>
  </sheetViews>
  <sheetFormatPr baseColWidth="10" defaultColWidth="8.88671875" defaultRowHeight="14.4"/>
  <cols>
    <col min="1" max="1" width="8.5546875" customWidth="1"/>
    <col min="2" max="2" width="13.5546875" bestFit="1" customWidth="1"/>
    <col min="3" max="3" width="17.5546875" customWidth="1"/>
    <col min="4" max="4" width="26.5546875" bestFit="1" customWidth="1"/>
    <col min="5" max="7" width="26.5546875" hidden="1" customWidth="1"/>
    <col min="8" max="8" width="20.109375" style="26" customWidth="1"/>
    <col min="9" max="9" width="23.5546875" customWidth="1"/>
    <col min="10" max="10" width="17" bestFit="1" customWidth="1"/>
    <col min="11" max="11" width="19.44140625" bestFit="1" customWidth="1"/>
    <col min="12" max="13" width="18.44140625" bestFit="1" customWidth="1"/>
    <col min="14" max="15" width="21.109375" bestFit="1" customWidth="1"/>
    <col min="16" max="16" width="17.5546875" bestFit="1" customWidth="1"/>
    <col min="17" max="17" width="17" bestFit="1" customWidth="1"/>
    <col min="18" max="18" width="18.88671875" bestFit="1" customWidth="1"/>
    <col min="19" max="19" width="17.5546875" bestFit="1" customWidth="1"/>
    <col min="20" max="20" width="19.109375" bestFit="1" customWidth="1"/>
    <col min="21" max="21" width="15.88671875" bestFit="1" customWidth="1"/>
    <col min="22" max="23" width="22.109375" bestFit="1" customWidth="1"/>
    <col min="24" max="24" width="18.5546875" bestFit="1" customWidth="1"/>
  </cols>
  <sheetData>
    <row r="2" spans="2:24">
      <c r="I2" s="20" t="s">
        <v>194</v>
      </c>
      <c r="J2" s="19"/>
      <c r="K2" s="19"/>
    </row>
    <row r="3" spans="2:24">
      <c r="K3" s="17"/>
      <c r="M3" s="14"/>
      <c r="N3" s="26"/>
      <c r="O3" s="24"/>
      <c r="P3" s="25"/>
      <c r="Q3" s="23"/>
      <c r="R3" s="23"/>
    </row>
    <row r="4" spans="2:24">
      <c r="D4" s="17"/>
      <c r="E4" s="17"/>
      <c r="F4" s="17"/>
      <c r="G4" s="17"/>
      <c r="I4" s="17" t="s">
        <v>195</v>
      </c>
      <c r="J4" s="17"/>
      <c r="M4" s="14"/>
      <c r="N4" s="26"/>
      <c r="O4" s="26"/>
      <c r="P4" s="26"/>
      <c r="Q4" s="26"/>
      <c r="R4" s="26"/>
      <c r="S4" s="26"/>
    </row>
    <row r="5" spans="2:24" ht="15" thickBot="1">
      <c r="D5" s="17"/>
      <c r="E5" s="17"/>
      <c r="F5" s="17"/>
      <c r="G5" s="17"/>
      <c r="J5" s="17"/>
      <c r="M5" s="14"/>
      <c r="N5" s="26"/>
    </row>
    <row r="6" spans="2:24" ht="15.6">
      <c r="C6" s="343" t="s">
        <v>196</v>
      </c>
      <c r="D6" s="192" t="s">
        <v>197</v>
      </c>
      <c r="E6" s="192" t="s">
        <v>198</v>
      </c>
      <c r="F6" s="192" t="s">
        <v>199</v>
      </c>
      <c r="G6" s="192" t="s">
        <v>200</v>
      </c>
      <c r="H6" s="405" t="s">
        <v>23</v>
      </c>
      <c r="I6" s="192" t="s">
        <v>201</v>
      </c>
      <c r="J6" s="192" t="s">
        <v>202</v>
      </c>
      <c r="K6" s="192" t="s">
        <v>203</v>
      </c>
      <c r="L6" s="192" t="s">
        <v>204</v>
      </c>
      <c r="M6" s="192" t="s">
        <v>205</v>
      </c>
      <c r="N6" s="192" t="s">
        <v>206</v>
      </c>
      <c r="O6" s="192" t="s">
        <v>207</v>
      </c>
      <c r="P6" s="192" t="s">
        <v>208</v>
      </c>
      <c r="Q6" s="192" t="s">
        <v>209</v>
      </c>
      <c r="R6" s="192" t="s">
        <v>210</v>
      </c>
      <c r="S6" s="192" t="s">
        <v>211</v>
      </c>
      <c r="T6" s="192" t="s">
        <v>212</v>
      </c>
      <c r="U6" s="192" t="s">
        <v>213</v>
      </c>
      <c r="V6" s="192" t="s">
        <v>214</v>
      </c>
      <c r="W6" s="192" t="s">
        <v>215</v>
      </c>
      <c r="X6" s="192" t="s">
        <v>216</v>
      </c>
    </row>
    <row r="7" spans="2:24" ht="18">
      <c r="B7" s="17"/>
      <c r="C7" s="344" t="s">
        <v>417</v>
      </c>
      <c r="D7" s="33">
        <f>SUM(I7:P7)</f>
        <v>4220225.9514482822</v>
      </c>
      <c r="E7" s="455" t="e">
        <f>'Facebook &amp; Instagram'!L11+'Discovery Ads'!C6+'Paid Search'!G13+Display!J11+Dentaly!I7+'Tik Tok'!I8+YouTube!H8+YouTube!H10+YouTube!#REF!+YouTube!#REF!+YouTube!H9+YouTube!H7+Snapchat!I10</f>
        <v>#REF!</v>
      </c>
      <c r="F7" s="455">
        <f>'Facebook &amp; Instagram'!S11+'Discovery Ads'!J6+'Paid Search'!M13+Display!L11+Dentaly!P7+'Tik Tok'!P8+Snapchat!P10</f>
        <v>1804029.3276102329</v>
      </c>
      <c r="G7" s="455">
        <f>'Facebook &amp; Instagram'!V11+'Discovery Ads'!L6+'Paid Search'!O13+Display!S11+Dentaly!S7+'Tik Tok'!S8+Snapchat!S10</f>
        <v>154342.27307535204</v>
      </c>
      <c r="H7" s="33">
        <f>SUM(Q7:X7)</f>
        <v>4169882.6090526059</v>
      </c>
      <c r="I7" s="34">
        <f>YouTube!O13</f>
        <v>243771.30302684172</v>
      </c>
      <c r="J7" s="34">
        <f>Display!P11</f>
        <v>224264.41724666668</v>
      </c>
      <c r="K7" s="34">
        <f>'Facebook &amp; Instagram'!X11</f>
        <v>932137.80501601205</v>
      </c>
      <c r="L7" s="34">
        <f>Dentaly!U7</f>
        <v>62062</v>
      </c>
      <c r="M7" s="34">
        <f>'Paid Search'!S13</f>
        <v>1952154.5188009446</v>
      </c>
      <c r="N7" s="34">
        <f>'Discovery Ads'!O6</f>
        <v>176745.79609665324</v>
      </c>
      <c r="O7" s="34">
        <f>Snapchat!U10</f>
        <v>274390.09597999998</v>
      </c>
      <c r="P7" s="34">
        <f>'Tik Tok'!U8</f>
        <v>354700.01528116455</v>
      </c>
      <c r="Q7" s="34">
        <f>YouTube!K13</f>
        <v>242270.42077785826</v>
      </c>
      <c r="R7" s="34">
        <f>Display!F11</f>
        <v>220121.18</v>
      </c>
      <c r="S7" s="34">
        <f>'Facebook &amp; Instagram'!N11</f>
        <v>931206.59841759433</v>
      </c>
      <c r="T7" s="34">
        <f>Dentaly!K7</f>
        <v>62000</v>
      </c>
      <c r="U7" s="34">
        <f>'Paid Search'!F13</f>
        <v>1912712.2841470176</v>
      </c>
      <c r="V7" s="34">
        <f>'Discovery Ads'!D6</f>
        <v>173110.47609858299</v>
      </c>
      <c r="W7" s="34">
        <f>Snapchat!K10</f>
        <v>274115.98000000004</v>
      </c>
      <c r="X7" s="34">
        <f>'Tik Tok'!K8</f>
        <v>354345.66961155296</v>
      </c>
    </row>
    <row r="8" spans="2:24" ht="18">
      <c r="B8" s="17"/>
      <c r="C8" s="344" t="s">
        <v>418</v>
      </c>
      <c r="D8" s="33">
        <f>SUM(I8:P8)</f>
        <v>2374624.9237072333</v>
      </c>
      <c r="E8" s="455">
        <f>'Facebook &amp; Instagram'!L16+'Discovery Ads'!C7+'Paid Search'!G18+Display!J16+Dentaly!I8+'Tik Tok'!I13+YouTube!H19+YouTube!H20+YouTube!H21+YouTube!H22+Snapchat!I14</f>
        <v>522427278.21193308</v>
      </c>
      <c r="F8" s="455">
        <f>'Facebook &amp; Instagram'!S16+'Discovery Ads'!J7+'Paid Search'!M18+Display!L16+Dentaly!P8+'Tik Tok'!P13+Snapchat!P14</f>
        <v>1206162.4253156167</v>
      </c>
      <c r="G8" s="455">
        <f>'Facebook &amp; Instagram'!V16+'Discovery Ads'!L7+'Paid Search'!O18+Display!S16+Dentaly!S8+'Tik Tok'!S13+Snapchat!S14</f>
        <v>51394.000134921538</v>
      </c>
      <c r="H8" s="33">
        <f t="shared" ref="H8:H20" si="0">SUM(Q8:X8)</f>
        <v>2367412.3611139851</v>
      </c>
      <c r="I8" s="34">
        <f>YouTube!O23</f>
        <v>159905.8823245308</v>
      </c>
      <c r="J8" s="34">
        <f>Display!P16</f>
        <v>221322.15280000001</v>
      </c>
      <c r="K8" s="34">
        <f>'Facebook &amp; Instagram'!X16</f>
        <v>591264.78607383091</v>
      </c>
      <c r="L8" s="34">
        <f>Dentaly!U8</f>
        <v>8114.1059999999998</v>
      </c>
      <c r="M8" s="34">
        <f>'Paid Search'!S18</f>
        <v>835249.41500000004</v>
      </c>
      <c r="N8" s="34">
        <f>'Discovery Ads'!O7</f>
        <v>130340.58150887172</v>
      </c>
      <c r="O8" s="34">
        <f>Snapchat!U14</f>
        <v>135135</v>
      </c>
      <c r="P8" s="34">
        <f>'Tik Tok'!U13</f>
        <v>293293</v>
      </c>
      <c r="Q8" s="34">
        <f>YouTube!K23</f>
        <v>158826.47801438221</v>
      </c>
      <c r="R8" s="34">
        <f>Display!F16</f>
        <v>217180.4</v>
      </c>
      <c r="S8" s="34">
        <f>'Facebook &amp; Instagram'!N16</f>
        <v>590674.11196186906</v>
      </c>
      <c r="T8" s="34">
        <f>Dentaly!K8</f>
        <v>8106</v>
      </c>
      <c r="U8" s="34">
        <f>'Paid Search'!F18</f>
        <v>834415</v>
      </c>
      <c r="V8" s="34">
        <f>'Discovery Ads'!D7</f>
        <v>130210.37113773399</v>
      </c>
      <c r="W8" s="16">
        <f>Snapchat!K14</f>
        <v>135000</v>
      </c>
      <c r="X8" s="34">
        <f>'Tik Tok'!K13</f>
        <v>293000</v>
      </c>
    </row>
    <row r="9" spans="2:24" ht="18">
      <c r="B9" s="17"/>
      <c r="C9" s="344" t="s">
        <v>419</v>
      </c>
      <c r="D9" s="33">
        <f t="shared" ref="D9:D20" si="1">SUM(I9:P9)</f>
        <v>1838594.4596836413</v>
      </c>
      <c r="E9" s="455">
        <f>'Facebook &amp; Instagram'!L20+'Discovery Ads'!C8+'Paid Search'!G23+Display!J21+Snapchat!I18+Dentaly!I9+'Tik Tok'!I17+YouTube!H14+YouTube!H15+YouTube!H16+YouTube!H17</f>
        <v>447657948.14341247</v>
      </c>
      <c r="F9" s="455">
        <f>'Facebook &amp; Instagram'!S20+'Discovery Ads'!J8+'Paid Search'!M23+Display!L21+Snapchat!P18+Dentaly!P9+'Tik Tok'!P17</f>
        <v>1553292.5500241471</v>
      </c>
      <c r="G9" s="455">
        <f>'Facebook &amp; Instagram'!V20+'Discovery Ads'!L8+'Paid Search'!O23+Display!S21+Snapchat!S18+Dentaly!S9+'Tik Tok'!S17</f>
        <v>58320.498225761999</v>
      </c>
      <c r="H9" s="33">
        <f t="shared" si="0"/>
        <v>1822528.7801695855</v>
      </c>
      <c r="I9" s="34">
        <f>YouTube!O18</f>
        <v>77669.008433092647</v>
      </c>
      <c r="J9" s="34">
        <f>Display!P21</f>
        <v>76551.660008666673</v>
      </c>
      <c r="K9" s="34">
        <f>'Facebook &amp; Instagram'!X20</f>
        <v>607720.79985426099</v>
      </c>
      <c r="L9" s="34">
        <f>Dentaly!U9</f>
        <v>16516.5</v>
      </c>
      <c r="M9" s="34">
        <f>'Paid Search'!S23</f>
        <v>606694.47100000002</v>
      </c>
      <c r="N9" s="34">
        <f>'Discovery Ads'!O8</f>
        <v>39819</v>
      </c>
      <c r="O9" s="34">
        <f>Snapchat!U18</f>
        <v>153908.68614432411</v>
      </c>
      <c r="P9" s="34">
        <f>'Tik Tok'!U17</f>
        <v>259714.33424329714</v>
      </c>
      <c r="Q9" s="34">
        <f>YouTube!K18</f>
        <v>77129.11342444866</v>
      </c>
      <c r="R9" s="34">
        <f>Display!F21</f>
        <v>75125.17</v>
      </c>
      <c r="S9" s="34">
        <f>'Facebook &amp; Instagram'!N20</f>
        <v>607113.68616809289</v>
      </c>
      <c r="T9" s="34">
        <f>Dentaly!K9</f>
        <v>16500</v>
      </c>
      <c r="U9" s="34">
        <f>'Paid Search'!F23</f>
        <v>594451</v>
      </c>
      <c r="V9" s="34">
        <f>'Discovery Ads'!D8</f>
        <v>39000</v>
      </c>
      <c r="W9" s="16">
        <f>Snapchat!K18</f>
        <v>153754.93121311101</v>
      </c>
      <c r="X9" s="34">
        <f>'Tik Tok'!K17</f>
        <v>259454.8793639332</v>
      </c>
    </row>
    <row r="10" spans="2:24" ht="18">
      <c r="B10" s="17"/>
      <c r="C10" s="344" t="s">
        <v>420</v>
      </c>
      <c r="D10" s="33">
        <f t="shared" si="1"/>
        <v>89392.104846136572</v>
      </c>
      <c r="E10" s="455">
        <f>'Paid Search'!G38</f>
        <v>174969.13502337699</v>
      </c>
      <c r="F10" s="455">
        <f>'Paid Search'!M38</f>
        <v>24219.534016723315</v>
      </c>
      <c r="G10" s="455">
        <f>'Paid Search'!O38</f>
        <v>6734.7252403215834</v>
      </c>
      <c r="H10" s="33">
        <f t="shared" si="0"/>
        <v>89302.802044092474</v>
      </c>
      <c r="I10" s="34"/>
      <c r="J10" s="34"/>
      <c r="K10" s="34"/>
      <c r="L10" s="34"/>
      <c r="M10" s="34">
        <f>'Paid Search'!S38</f>
        <v>89392.104846136572</v>
      </c>
      <c r="N10" s="34"/>
      <c r="O10" s="34"/>
      <c r="P10" s="34"/>
      <c r="Q10" s="34"/>
      <c r="R10" s="34"/>
      <c r="S10" s="34"/>
      <c r="T10" s="34"/>
      <c r="U10" s="34">
        <f>'Paid Search'!F38</f>
        <v>89302.802044092474</v>
      </c>
      <c r="V10" s="34"/>
      <c r="W10" s="16"/>
      <c r="X10" s="16"/>
    </row>
    <row r="11" spans="2:24" ht="18">
      <c r="B11" s="17"/>
      <c r="C11" s="344" t="s">
        <v>421</v>
      </c>
      <c r="D11" s="33">
        <f t="shared" si="1"/>
        <v>827680.23852160969</v>
      </c>
      <c r="E11" s="455">
        <f>'Facebook &amp; Instagram'!L24+'Discovery Ads'!C9+'Paid Search'!G33+Display!J26+Dentaly!I10+YouTube!H27+YouTube!H28</f>
        <v>129243544.99518922</v>
      </c>
      <c r="F11" s="455">
        <f>'Facebook &amp; Instagram'!S24+'Discovery Ads'!J9+'Paid Search'!M33+Display!L26+Dentaly!P10</f>
        <v>549707.69480776845</v>
      </c>
      <c r="G11" s="455">
        <f>'Facebook &amp; Instagram'!V24+'Discovery Ads'!L9+'Paid Search'!O33+Display!S26+Dentaly!S10</f>
        <v>38155.390545762624</v>
      </c>
      <c r="H11" s="33">
        <f t="shared" si="0"/>
        <v>819409.94370558136</v>
      </c>
      <c r="I11" s="34"/>
      <c r="J11" s="34">
        <f>Display!P26</f>
        <v>50650.987422666673</v>
      </c>
      <c r="K11" s="34">
        <f>'Facebook &amp; Instagram'!X24</f>
        <v>427320.36633333337</v>
      </c>
      <c r="L11" s="34">
        <f>Dentaly!U10</f>
        <v>10510.5</v>
      </c>
      <c r="M11" s="34">
        <f>'Paid Search'!S33</f>
        <v>258134.33137171733</v>
      </c>
      <c r="N11" s="34">
        <f>'Discovery Ads'!O9</f>
        <v>81064.05339389226</v>
      </c>
      <c r="O11" s="34"/>
      <c r="P11" s="34"/>
      <c r="Q11" s="34">
        <f>YouTube!K29</f>
        <v>0</v>
      </c>
      <c r="R11" s="34">
        <f>Display!F26</f>
        <v>49708.619999999995</v>
      </c>
      <c r="S11" s="34">
        <f>'Facebook &amp; Instagram'!N24</f>
        <v>426893.47286047286</v>
      </c>
      <c r="T11" s="34">
        <f>Dentaly!K10</f>
        <v>10500</v>
      </c>
      <c r="U11" s="34">
        <f>'Paid Search'!F33</f>
        <v>252911.12861798579</v>
      </c>
      <c r="V11" s="34">
        <f>'Discovery Ads'!D9</f>
        <v>79396.722227122693</v>
      </c>
      <c r="W11" s="16"/>
      <c r="X11" s="16"/>
    </row>
    <row r="12" spans="2:24" ht="18">
      <c r="B12" s="17"/>
      <c r="C12" s="344" t="s">
        <v>422</v>
      </c>
      <c r="D12" s="33">
        <f t="shared" si="1"/>
        <v>256614.677</v>
      </c>
      <c r="E12" s="455">
        <f>'Paid Search'!G28+Dentaly!I11</f>
        <v>1052295.6338425125</v>
      </c>
      <c r="F12" s="455">
        <f>'Paid Search'!M28+Dentaly!P11</f>
        <v>46920.30576223573</v>
      </c>
      <c r="G12" s="455">
        <f>'Paid Search'!O28+Dentaly!S11</f>
        <v>10949.249140945603</v>
      </c>
      <c r="H12" s="33">
        <f t="shared" si="0"/>
        <v>251678.92566304698</v>
      </c>
      <c r="I12" s="34"/>
      <c r="J12" s="34"/>
      <c r="K12" s="34"/>
      <c r="L12" s="34">
        <f>Dentaly!U11</f>
        <v>14014</v>
      </c>
      <c r="M12" s="34">
        <f>'Paid Search'!S28</f>
        <v>242600.677</v>
      </c>
      <c r="N12" s="34"/>
      <c r="O12" s="34"/>
      <c r="P12" s="34"/>
      <c r="Q12" s="34"/>
      <c r="R12" s="34"/>
      <c r="S12" s="34"/>
      <c r="T12" s="34">
        <f>Dentaly!K11</f>
        <v>14000</v>
      </c>
      <c r="U12" s="34">
        <f>'Paid Search'!F28</f>
        <v>237678.92566304698</v>
      </c>
      <c r="V12" s="34"/>
      <c r="W12" s="16"/>
      <c r="X12" s="16"/>
    </row>
    <row r="13" spans="2:24" ht="18">
      <c r="B13" s="17"/>
      <c r="C13" s="344" t="s">
        <v>423</v>
      </c>
      <c r="D13" s="33">
        <f t="shared" si="1"/>
        <v>169469.32491367566</v>
      </c>
      <c r="E13" s="455">
        <f>'Facebook &amp; Instagram'!L28+'Paid Search'!G43</f>
        <v>55226436.320518725</v>
      </c>
      <c r="F13" s="455">
        <f>'Facebook &amp; Instagram'!S28+'Paid Search'!M43</f>
        <v>37776.372765049193</v>
      </c>
      <c r="G13" s="455">
        <f>'Facebook &amp; Instagram'!V28+'Paid Search'!O43</f>
        <v>8099.3626532876651</v>
      </c>
      <c r="H13" s="33">
        <f t="shared" si="0"/>
        <v>169300.02488878689</v>
      </c>
      <c r="I13" s="34"/>
      <c r="J13" s="34"/>
      <c r="K13" s="34">
        <f>'Facebook &amp; Instagram'!X28</f>
        <v>88283.195000000007</v>
      </c>
      <c r="L13" s="34"/>
      <c r="M13" s="34">
        <f>'Paid Search'!S43</f>
        <v>81186.129913675672</v>
      </c>
      <c r="N13" s="34"/>
      <c r="O13" s="34"/>
      <c r="P13" s="34"/>
      <c r="Q13" s="34"/>
      <c r="R13" s="34"/>
      <c r="S13" s="34">
        <f>'Facebook &amp; Instagram'!N28</f>
        <v>88195</v>
      </c>
      <c r="T13" s="34"/>
      <c r="U13" s="34">
        <f>'Paid Search'!F43</f>
        <v>81105.024888786895</v>
      </c>
      <c r="V13" s="34"/>
      <c r="W13" s="16"/>
      <c r="X13" s="16"/>
    </row>
    <row r="14" spans="2:24" ht="18">
      <c r="B14" s="17"/>
      <c r="C14" s="344" t="s">
        <v>424</v>
      </c>
      <c r="D14" s="33">
        <f t="shared" si="1"/>
        <v>153746.08039000002</v>
      </c>
      <c r="E14" s="455">
        <f>'Facebook &amp; Instagram'!L32+'Paid Search'!G47</f>
        <v>40838634.164464064</v>
      </c>
      <c r="F14" s="455">
        <f>'Facebook &amp; Instagram'!S32+'Paid Search'!M47</f>
        <v>207266.10254820547</v>
      </c>
      <c r="G14" s="455">
        <f>'Facebook &amp; Instagram'!V32+'Paid Search'!O47</f>
        <v>32965.135212994122</v>
      </c>
      <c r="H14" s="33">
        <f t="shared" si="0"/>
        <v>153592.48790209787</v>
      </c>
      <c r="I14" s="34"/>
      <c r="J14" s="34"/>
      <c r="K14" s="34">
        <f>'Facebook &amp; Instagram'!X32</f>
        <v>76444.767301000087</v>
      </c>
      <c r="L14" s="34"/>
      <c r="M14" s="34">
        <f>'Paid Search'!S47</f>
        <v>77301.313088999916</v>
      </c>
      <c r="N14" s="34"/>
      <c r="O14" s="34"/>
      <c r="P14" s="34"/>
      <c r="Q14" s="34"/>
      <c r="R14" s="34"/>
      <c r="S14" s="34">
        <f>'Facebook &amp; Instagram'!N32</f>
        <v>76368.398902097993</v>
      </c>
      <c r="T14" s="34"/>
      <c r="U14" s="34">
        <f>'Paid Search'!F47</f>
        <v>77224.088999999891</v>
      </c>
      <c r="V14" s="34"/>
      <c r="W14" s="16"/>
      <c r="X14" s="16"/>
    </row>
    <row r="15" spans="2:24" s="513" customFormat="1" ht="18">
      <c r="B15" s="508"/>
      <c r="C15" s="344" t="s">
        <v>425</v>
      </c>
      <c r="D15" s="510">
        <f t="shared" si="1"/>
        <v>743542.11477183353</v>
      </c>
      <c r="E15" s="511">
        <f>'Facebook &amp; Instagram'!L36+'Discovery Ads'!C10+'Paid Search'!G52+Display!J31+'Tik Tok'!I33+YouTube!H24+YouTube!H25+Snapchat!I22</f>
        <v>107663728.20881563</v>
      </c>
      <c r="F15" s="511">
        <f>'Facebook &amp; Instagram'!S36+'Discovery Ads'!J10+'Paid Search'!M52+Display!L31+'Tik Tok'!P33+Snapchat!P22</f>
        <v>304174.49187960435</v>
      </c>
      <c r="G15" s="511">
        <f>'Facebook &amp; Instagram'!V36+'Discovery Ads'!L10+'Paid Search'!O52+Display!S31+'Tik Tok'!S33+Snapchat!S22</f>
        <v>21492.858279953725</v>
      </c>
      <c r="H15" s="510">
        <f t="shared" si="0"/>
        <v>741487.72613325086</v>
      </c>
      <c r="I15" s="512">
        <f>YouTube!O26</f>
        <v>52186.93034909475</v>
      </c>
      <c r="J15" s="512">
        <f>Display!P31</f>
        <v>55006.418441333342</v>
      </c>
      <c r="K15" s="512">
        <f>'Facebook &amp; Instagram'!X36</f>
        <v>245760.18466999999</v>
      </c>
      <c r="L15" s="512"/>
      <c r="M15" s="512">
        <f>'Paid Search'!S52</f>
        <v>215987.81452165608</v>
      </c>
      <c r="N15" s="512">
        <f>'Discovery Ads'!O10</f>
        <v>62735.673000000003</v>
      </c>
      <c r="O15" s="512">
        <f>Snapchat!U22</f>
        <v>10025.014999999999</v>
      </c>
      <c r="P15" s="512">
        <f>'Tik Tok'!U33</f>
        <v>101840.0787897494</v>
      </c>
      <c r="Q15" s="512">
        <f>YouTube!K26</f>
        <v>51807.173204773899</v>
      </c>
      <c r="R15" s="512">
        <f>Display!F31</f>
        <v>53967.499999999993</v>
      </c>
      <c r="S15" s="512">
        <f>'Facebook &amp; Instagram'!N36</f>
        <v>245514.67</v>
      </c>
      <c r="T15" s="512"/>
      <c r="U15" s="512">
        <f>'Paid Search'!F52</f>
        <v>215772.04247917689</v>
      </c>
      <c r="V15" s="512">
        <f>'Discovery Ads'!D10</f>
        <v>62673</v>
      </c>
      <c r="W15" s="512">
        <f>Snapchat!K22</f>
        <v>10015</v>
      </c>
      <c r="X15" s="512">
        <f>'Tik Tok'!K33</f>
        <v>101738.3404493001</v>
      </c>
    </row>
    <row r="16" spans="2:24" ht="19.350000000000001" customHeight="1">
      <c r="B16" s="17"/>
      <c r="C16" s="344" t="s">
        <v>426</v>
      </c>
      <c r="D16" s="33">
        <f t="shared" si="1"/>
        <v>109530.09066999999</v>
      </c>
      <c r="E16" s="455">
        <f>'Facebook &amp; Instagram'!L39+'Paid Search'!G56</f>
        <v>64976899.923777267</v>
      </c>
      <c r="F16" s="455">
        <f>'Facebook &amp; Instagram'!S39+'Paid Search'!M56</f>
        <v>111325.51278272741</v>
      </c>
      <c r="G16" s="455">
        <f>'Facebook &amp; Instagram'!V39+'Paid Search'!O56</f>
        <v>9204.8008348774474</v>
      </c>
      <c r="H16" s="33">
        <f t="shared" si="0"/>
        <v>109420.67</v>
      </c>
      <c r="I16" s="34"/>
      <c r="J16" s="34"/>
      <c r="K16" s="34">
        <f>'Facebook &amp; Instagram'!X39</f>
        <v>65064.339339999999</v>
      </c>
      <c r="L16" s="34"/>
      <c r="M16" s="34">
        <f>'Paid Search'!S56</f>
        <v>44465.751329999992</v>
      </c>
      <c r="N16" s="34"/>
      <c r="O16" s="34"/>
      <c r="P16" s="34"/>
      <c r="Q16" s="34"/>
      <c r="R16" s="34"/>
      <c r="S16" s="34">
        <f>'Facebook &amp; Instagram'!N39</f>
        <v>64999.34</v>
      </c>
      <c r="T16" s="34"/>
      <c r="U16" s="34">
        <f>'Paid Search'!F56</f>
        <v>44421.33</v>
      </c>
      <c r="V16" s="34"/>
      <c r="W16" s="16"/>
      <c r="X16" s="16"/>
    </row>
    <row r="17" spans="2:24" ht="18">
      <c r="B17" s="17"/>
      <c r="C17" s="344" t="s">
        <v>427</v>
      </c>
      <c r="D17" s="33">
        <f t="shared" si="1"/>
        <v>125470.06672200002</v>
      </c>
      <c r="E17" s="455">
        <f>'Facebook &amp; Instagram'!L42+'Paid Search'!G60</f>
        <v>6296916.186428315</v>
      </c>
      <c r="F17" s="455">
        <f>'Facebook &amp; Instagram'!S42+'Paid Search'!M60</f>
        <v>23031.5729686784</v>
      </c>
      <c r="G17" s="455">
        <f>'Facebook &amp; Instagram'!S42+'Paid Search'!O60</f>
        <v>12687.71913009633</v>
      </c>
      <c r="H17" s="33">
        <f t="shared" si="0"/>
        <v>125344.72200000001</v>
      </c>
      <c r="I17" s="34"/>
      <c r="J17" s="34"/>
      <c r="K17" s="34">
        <f>'Facebook &amp; Instagram'!X42</f>
        <v>52700.888240000007</v>
      </c>
      <c r="L17" s="34"/>
      <c r="M17" s="34">
        <f>'Paid Search'!S60</f>
        <v>72769.178482000003</v>
      </c>
      <c r="N17" s="34"/>
      <c r="O17" s="34"/>
      <c r="P17" s="34"/>
      <c r="Q17" s="34"/>
      <c r="R17" s="34"/>
      <c r="S17" s="34">
        <f>'Facebook &amp; Instagram'!N42</f>
        <v>52648.240000000005</v>
      </c>
      <c r="T17" s="34"/>
      <c r="U17" s="34">
        <f>'Paid Search'!F60</f>
        <v>72696.482000000004</v>
      </c>
      <c r="V17" s="34"/>
      <c r="W17" s="16"/>
      <c r="X17" s="16"/>
    </row>
    <row r="18" spans="2:24" ht="18">
      <c r="B18" s="17"/>
      <c r="C18" s="344" t="s">
        <v>428</v>
      </c>
      <c r="D18" s="33">
        <f t="shared" si="1"/>
        <v>117722.07852999994</v>
      </c>
      <c r="E18" s="455">
        <f>'Facebook &amp; Instagram'!L47+'Paid Search'!G63</f>
        <v>21312984.820973914</v>
      </c>
      <c r="F18" s="455">
        <f>'Facebook &amp; Instagram'!S47+'Paid Search'!M63</f>
        <v>41336.300951950703</v>
      </c>
      <c r="G18" s="455">
        <f>'Facebook &amp; Instagram'!V47+'Paid Search'!O63</f>
        <v>2740.6499706125614</v>
      </c>
      <c r="H18" s="33">
        <f t="shared" si="0"/>
        <v>117604.47405594401</v>
      </c>
      <c r="I18" s="34"/>
      <c r="J18" s="34"/>
      <c r="K18" s="34">
        <f>'Facebook &amp; Instagram'!X47</f>
        <v>58802.545857999947</v>
      </c>
      <c r="L18" s="34"/>
      <c r="M18" s="34">
        <f>'Paid Search'!S63</f>
        <v>58919.532672000001</v>
      </c>
      <c r="N18" s="34"/>
      <c r="O18" s="34"/>
      <c r="P18" s="34"/>
      <c r="Q18" s="34"/>
      <c r="R18" s="34"/>
      <c r="S18" s="34">
        <f>'Facebook &amp; Instagram'!N47</f>
        <v>58743.802055944012</v>
      </c>
      <c r="T18" s="34"/>
      <c r="U18" s="34">
        <f>'Paid Search'!F63</f>
        <v>58860.671999999999</v>
      </c>
      <c r="V18" s="34"/>
      <c r="W18" s="16"/>
      <c r="X18" s="16"/>
    </row>
    <row r="19" spans="2:24" ht="18">
      <c r="B19" s="17"/>
      <c r="C19" s="344" t="s">
        <v>429</v>
      </c>
      <c r="D19" s="33">
        <f t="shared" si="1"/>
        <v>87519.53042999997</v>
      </c>
      <c r="E19" s="455">
        <f>'Facebook &amp; Instagram'!L50+'Paid Search'!G66</f>
        <v>7771526.1168249967</v>
      </c>
      <c r="F19" s="455">
        <f>'Facebook &amp; Instagram'!S50+'Paid Search'!M66</f>
        <v>32886.669389255941</v>
      </c>
      <c r="G19" s="455">
        <f>'Facebook &amp; Instagram'!V50+'Paid Search'!O66</f>
        <v>1966.7879750733246</v>
      </c>
      <c r="H19" s="33">
        <f t="shared" si="0"/>
        <v>87432.098331668298</v>
      </c>
      <c r="I19" s="34"/>
      <c r="J19" s="34"/>
      <c r="K19" s="34">
        <f>'Facebook &amp; Instagram'!X50</f>
        <v>30390.309280999969</v>
      </c>
      <c r="L19" s="34"/>
      <c r="M19" s="34">
        <f>'Paid Search'!S66</f>
        <v>57129.221148999997</v>
      </c>
      <c r="N19" s="34"/>
      <c r="O19" s="34"/>
      <c r="P19" s="34"/>
      <c r="Q19" s="34"/>
      <c r="R19" s="34"/>
      <c r="S19" s="34">
        <f>'Facebook &amp; Instagram'!N50</f>
        <v>30359.9493316683</v>
      </c>
      <c r="T19" s="34"/>
      <c r="U19" s="34">
        <f>'Paid Search'!F66</f>
        <v>57072.148999999998</v>
      </c>
      <c r="V19" s="34"/>
      <c r="W19" s="16"/>
      <c r="X19" s="16"/>
    </row>
    <row r="20" spans="2:24" ht="18.600000000000001" thickBot="1">
      <c r="B20" s="17"/>
      <c r="C20" s="344" t="s">
        <v>430</v>
      </c>
      <c r="D20" s="33">
        <f t="shared" si="1"/>
        <v>98840.543043239988</v>
      </c>
      <c r="E20" s="455">
        <f>'Facebook &amp; Instagram'!L53+'Paid Search'!G70</f>
        <v>6347177.1254948527</v>
      </c>
      <c r="F20" s="455">
        <f>'Facebook &amp; Instagram'!S53+'Paid Search'!M70</f>
        <v>22346.618834093868</v>
      </c>
      <c r="G20" s="455">
        <f>'Facebook &amp; Instagram'!V53+'Paid Search'!O70</f>
        <v>10943.416523483491</v>
      </c>
      <c r="H20" s="33">
        <f t="shared" si="0"/>
        <v>98741.801241997979</v>
      </c>
      <c r="I20" s="34"/>
      <c r="J20" s="34"/>
      <c r="K20" s="34">
        <f>'Facebook &amp; Instagram'!X53</f>
        <v>30472.239799999978</v>
      </c>
      <c r="L20" s="34"/>
      <c r="M20" s="34">
        <f>'Paid Search'!S70</f>
        <v>68368.303243240007</v>
      </c>
      <c r="N20" s="34"/>
      <c r="O20" s="34"/>
      <c r="P20" s="34"/>
      <c r="Q20" s="34"/>
      <c r="R20" s="34"/>
      <c r="S20" s="34">
        <f>'Facebook &amp; Instagram'!N53</f>
        <v>30441.79800199798</v>
      </c>
      <c r="T20" s="34"/>
      <c r="U20" s="34">
        <f>'Paid Search'!F70</f>
        <v>68300.003239999991</v>
      </c>
      <c r="V20" s="34"/>
      <c r="W20" s="16"/>
      <c r="X20" s="16"/>
    </row>
    <row r="21" spans="2:24" ht="18.600000000000001" thickBot="1">
      <c r="B21" s="506"/>
      <c r="C21" s="346" t="s">
        <v>231</v>
      </c>
      <c r="D21" s="372">
        <f>SUM(D7:D20)</f>
        <v>11212972.184677655</v>
      </c>
      <c r="E21" s="455" t="e">
        <f t="shared" ref="E21:G21" si="2">SUM(E7:E20)</f>
        <v>#REF!</v>
      </c>
      <c r="F21" s="455">
        <f t="shared" si="2"/>
        <v>5964475.4796562912</v>
      </c>
      <c r="G21" s="455">
        <f t="shared" si="2"/>
        <v>419996.86694344401</v>
      </c>
      <c r="H21" s="372">
        <f>SUM(H7:H20)</f>
        <v>11123139.426302642</v>
      </c>
      <c r="I21" s="15">
        <f>SUM(I7:I20)</f>
        <v>533533.12413355999</v>
      </c>
      <c r="J21" s="15">
        <f t="shared" ref="J21:X21" si="3">SUM(J7:J20)</f>
        <v>627795.63591933332</v>
      </c>
      <c r="K21" s="15">
        <f t="shared" si="3"/>
        <v>3206362.2267674371</v>
      </c>
      <c r="L21" s="15">
        <f t="shared" si="3"/>
        <v>111217.106</v>
      </c>
      <c r="M21" s="15">
        <f t="shared" si="3"/>
        <v>4660352.7624193709</v>
      </c>
      <c r="N21" s="15">
        <f t="shared" si="3"/>
        <v>490705.10399941722</v>
      </c>
      <c r="O21" s="15">
        <f t="shared" si="3"/>
        <v>573458.79712432413</v>
      </c>
      <c r="P21" s="15">
        <f t="shared" si="3"/>
        <v>1009547.4283142111</v>
      </c>
      <c r="Q21" s="15">
        <f t="shared" si="3"/>
        <v>530033.18542146299</v>
      </c>
      <c r="R21" s="15">
        <f t="shared" si="3"/>
        <v>616102.86999999988</v>
      </c>
      <c r="S21" s="15">
        <f t="shared" si="3"/>
        <v>3203159.0676997378</v>
      </c>
      <c r="T21" s="15">
        <f t="shared" si="3"/>
        <v>111106</v>
      </c>
      <c r="U21" s="15">
        <f t="shared" si="3"/>
        <v>4596922.933080107</v>
      </c>
      <c r="V21" s="15">
        <f t="shared" si="3"/>
        <v>484390.56946343969</v>
      </c>
      <c r="W21" s="15">
        <f t="shared" si="3"/>
        <v>572885.91121311102</v>
      </c>
      <c r="X21" s="15">
        <f t="shared" si="3"/>
        <v>1008538.8894247863</v>
      </c>
    </row>
    <row r="22" spans="2:24" ht="18.600000000000001" thickBot="1">
      <c r="C22" s="465" t="s">
        <v>232</v>
      </c>
      <c r="D22" s="466">
        <v>12295427</v>
      </c>
      <c r="E22" s="407"/>
      <c r="F22" s="407"/>
      <c r="G22" s="407"/>
      <c r="H22" s="406"/>
      <c r="I22" s="327"/>
      <c r="J22" s="327"/>
      <c r="K22" s="327"/>
      <c r="L22" s="327"/>
      <c r="M22" s="327"/>
      <c r="N22" s="327"/>
      <c r="O22" s="327"/>
      <c r="P22" s="327"/>
      <c r="Q22" s="327"/>
      <c r="R22" s="327"/>
      <c r="S22" s="327"/>
      <c r="T22" s="327"/>
      <c r="U22" s="351"/>
      <c r="V22" s="327"/>
      <c r="W22" s="327"/>
      <c r="X22" s="327"/>
    </row>
    <row r="23" spans="2:24" ht="18">
      <c r="C23" s="326"/>
      <c r="D23" s="406"/>
      <c r="E23" s="17"/>
      <c r="F23" s="17"/>
      <c r="G23" s="17"/>
      <c r="I23" s="327"/>
      <c r="M23" s="327"/>
      <c r="N23" s="327"/>
      <c r="O23" s="327"/>
      <c r="P23" s="327"/>
      <c r="Q23" s="327"/>
      <c r="R23" s="327"/>
      <c r="S23" s="327"/>
      <c r="T23" s="327"/>
      <c r="U23" s="327"/>
      <c r="V23" s="327"/>
      <c r="W23" s="327"/>
      <c r="X23" s="327"/>
    </row>
    <row r="24" spans="2:24" ht="18.600000000000001" hidden="1" thickBot="1">
      <c r="C24" s="325"/>
      <c r="J24" s="465" t="s">
        <v>232</v>
      </c>
      <c r="K24" s="466">
        <v>12295427</v>
      </c>
      <c r="M24" s="14"/>
    </row>
    <row r="25" spans="2:24" hidden="1">
      <c r="D25" s="17"/>
      <c r="E25" s="17"/>
      <c r="F25" s="17"/>
      <c r="G25" s="17"/>
    </row>
    <row r="26" spans="2:24" hidden="1">
      <c r="D26" s="14"/>
      <c r="E26" s="14"/>
      <c r="F26" s="14"/>
      <c r="G26" s="14"/>
      <c r="I26" s="17"/>
    </row>
    <row r="27" spans="2:24" hidden="1">
      <c r="L27" s="17"/>
    </row>
    <row r="28" spans="2:24" hidden="1"/>
    <row r="29" spans="2:24" hidden="1"/>
    <row r="30" spans="2:24" hidden="1"/>
    <row r="31" spans="2:24" hidden="1"/>
    <row r="32" spans="2:24" hidden="1">
      <c r="K32" s="17"/>
    </row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spans="3:9" hidden="1"/>
    <row r="66" spans="3:9" hidden="1"/>
    <row r="67" spans="3:9" hidden="1"/>
    <row r="68" spans="3:9" ht="18">
      <c r="C68" s="506"/>
      <c r="H68" s="482"/>
      <c r="I68" s="1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4:H49"/>
  <sheetViews>
    <sheetView showGridLines="0" topLeftCell="A19" workbookViewId="0">
      <selection activeCell="D21" sqref="D21:D23"/>
    </sheetView>
  </sheetViews>
  <sheetFormatPr baseColWidth="10" defaultColWidth="8.88671875" defaultRowHeight="14.4"/>
  <cols>
    <col min="2" max="2" width="12.88671875" bestFit="1" customWidth="1"/>
    <col min="3" max="3" width="11.88671875" style="19" customWidth="1"/>
    <col min="4" max="4" width="77.109375" bestFit="1" customWidth="1"/>
    <col min="5" max="5" width="16.5546875" style="17" bestFit="1" customWidth="1"/>
    <col min="6" max="6" width="15.109375" style="17" hidden="1" customWidth="1"/>
    <col min="7" max="8" width="12.44140625" bestFit="1" customWidth="1"/>
  </cols>
  <sheetData>
    <row r="4" spans="2:8" ht="15" thickBot="1"/>
    <row r="5" spans="2:8" ht="16.2" thickBot="1">
      <c r="B5" s="11" t="s">
        <v>237</v>
      </c>
      <c r="C5" s="12" t="s">
        <v>238</v>
      </c>
      <c r="D5" s="12" t="s">
        <v>55</v>
      </c>
      <c r="E5" s="68" t="s">
        <v>239</v>
      </c>
      <c r="F5" s="69" t="s">
        <v>240</v>
      </c>
    </row>
    <row r="6" spans="2:8">
      <c r="B6" s="551" t="s">
        <v>241</v>
      </c>
      <c r="C6" s="557" t="s">
        <v>236</v>
      </c>
      <c r="D6" s="67" t="s">
        <v>74</v>
      </c>
      <c r="E6" s="17">
        <v>118620.75768914352</v>
      </c>
      <c r="F6" s="61">
        <v>118739.37844683266</v>
      </c>
    </row>
    <row r="7" spans="2:8">
      <c r="B7" s="552"/>
      <c r="C7" s="558"/>
      <c r="D7" s="67" t="s">
        <v>86</v>
      </c>
      <c r="E7" s="17">
        <v>101352.11901030983</v>
      </c>
      <c r="F7" s="61">
        <v>101453.47112932014</v>
      </c>
      <c r="G7" s="458">
        <v>205</v>
      </c>
    </row>
    <row r="8" spans="2:8" ht="15" thickBot="1">
      <c r="B8" s="552"/>
      <c r="C8" s="558"/>
      <c r="D8" s="67" t="s">
        <v>98</v>
      </c>
      <c r="E8" s="17">
        <v>101352.37909080097</v>
      </c>
      <c r="F8" s="61">
        <v>101453.73146989178</v>
      </c>
      <c r="G8" s="459">
        <v>40</v>
      </c>
    </row>
    <row r="9" spans="2:8" ht="15" thickBot="1">
      <c r="B9" s="552"/>
      <c r="C9" s="65" t="s">
        <v>242</v>
      </c>
      <c r="D9" s="67" t="s">
        <v>105</v>
      </c>
      <c r="E9" s="17">
        <v>128358.97824032209</v>
      </c>
      <c r="F9" s="61">
        <v>128487.33721856242</v>
      </c>
    </row>
    <row r="10" spans="2:8" ht="15" thickBot="1">
      <c r="B10" s="553"/>
      <c r="C10" s="72" t="s">
        <v>243</v>
      </c>
      <c r="D10" s="73"/>
      <c r="E10" s="74">
        <f>SUM(E6:E9)</f>
        <v>449684.23403057642</v>
      </c>
      <c r="F10" s="74">
        <f>SUM(F6:F9)</f>
        <v>450133.91826460703</v>
      </c>
    </row>
    <row r="11" spans="2:8">
      <c r="B11" s="551" t="s">
        <v>244</v>
      </c>
      <c r="C11" s="558" t="s">
        <v>245</v>
      </c>
      <c r="D11" s="67" t="s">
        <v>75</v>
      </c>
      <c r="E11" s="17">
        <v>863086.94642267306</v>
      </c>
      <c r="F11" s="61">
        <v>863950.03336909576</v>
      </c>
      <c r="G11" s="17"/>
      <c r="H11" s="17"/>
    </row>
    <row r="12" spans="2:8">
      <c r="B12" s="552"/>
      <c r="C12" s="558"/>
      <c r="D12" s="67" t="s">
        <v>87</v>
      </c>
      <c r="F12" s="61"/>
      <c r="G12" s="17">
        <v>0.55000000000000004</v>
      </c>
      <c r="H12" s="17"/>
    </row>
    <row r="13" spans="2:8" ht="15" thickBot="1">
      <c r="B13" s="552"/>
      <c r="C13" s="559"/>
      <c r="D13" s="67" t="s">
        <v>99</v>
      </c>
      <c r="E13" s="17">
        <v>224872.69646371709</v>
      </c>
      <c r="F13" s="61">
        <v>225097.56916018081</v>
      </c>
      <c r="G13" s="17">
        <v>0.45</v>
      </c>
      <c r="H13" s="17"/>
    </row>
    <row r="14" spans="2:8" ht="15" thickBot="1">
      <c r="B14" s="552"/>
      <c r="C14" s="65" t="s">
        <v>242</v>
      </c>
      <c r="D14" s="67" t="s">
        <v>106</v>
      </c>
      <c r="E14" s="17">
        <v>119443.35770190603</v>
      </c>
      <c r="F14" s="61">
        <v>119562.80105960794</v>
      </c>
    </row>
    <row r="15" spans="2:8" ht="15" thickBot="1">
      <c r="B15" s="553"/>
      <c r="C15" s="72" t="s">
        <v>243</v>
      </c>
      <c r="D15" s="73"/>
      <c r="E15" s="74">
        <f>SUM(E11:E14)</f>
        <v>1207403.0005882962</v>
      </c>
      <c r="F15" s="75">
        <f>SUM(F11:F14)</f>
        <v>1208610.4035888845</v>
      </c>
    </row>
    <row r="16" spans="2:8">
      <c r="B16" s="551" t="s">
        <v>246</v>
      </c>
      <c r="C16" s="557" t="s">
        <v>236</v>
      </c>
      <c r="D16" s="67" t="s">
        <v>76</v>
      </c>
      <c r="E16" s="70">
        <v>75044.090730521275</v>
      </c>
      <c r="F16" s="71">
        <v>75119.134821251791</v>
      </c>
    </row>
    <row r="17" spans="2:7">
      <c r="B17" s="552"/>
      <c r="C17" s="558"/>
      <c r="D17" s="67" t="s">
        <v>88</v>
      </c>
      <c r="E17" s="17">
        <v>544404.39755866677</v>
      </c>
      <c r="F17" s="61">
        <v>544948.8019562253</v>
      </c>
      <c r="G17">
        <v>118</v>
      </c>
    </row>
    <row r="18" spans="2:7" ht="15" thickBot="1">
      <c r="B18" s="552"/>
      <c r="C18" s="559"/>
      <c r="D18" s="67" t="s">
        <v>100</v>
      </c>
      <c r="E18" s="17">
        <v>544404.39755866677</v>
      </c>
      <c r="F18" s="61">
        <v>544948.8019562253</v>
      </c>
      <c r="G18">
        <v>107</v>
      </c>
    </row>
    <row r="19" spans="2:7" ht="15" thickBot="1">
      <c r="B19" s="552"/>
      <c r="C19" s="65" t="s">
        <v>242</v>
      </c>
      <c r="D19" s="67" t="s">
        <v>107</v>
      </c>
      <c r="E19" s="17">
        <v>120652.49643073286</v>
      </c>
      <c r="F19" s="61">
        <v>120773.14892716359</v>
      </c>
    </row>
    <row r="20" spans="2:7" ht="15" thickBot="1">
      <c r="B20" s="553"/>
      <c r="C20" s="72" t="s">
        <v>243</v>
      </c>
      <c r="D20" s="73"/>
      <c r="E20" s="74">
        <f>SUM(E16:E19)</f>
        <v>1284505.3822785877</v>
      </c>
      <c r="F20" s="75">
        <f>SUM(F16:F19)</f>
        <v>1285789.8876608659</v>
      </c>
    </row>
    <row r="21" spans="2:7">
      <c r="B21" s="554" t="s">
        <v>247</v>
      </c>
      <c r="C21" s="557" t="s">
        <v>236</v>
      </c>
      <c r="D21" s="67" t="s">
        <v>248</v>
      </c>
      <c r="E21" s="70">
        <v>26072.025847238172</v>
      </c>
      <c r="F21" s="71">
        <v>26098.097873085411</v>
      </c>
    </row>
    <row r="22" spans="2:7" ht="15" thickBot="1">
      <c r="B22" s="555"/>
      <c r="C22" s="559"/>
      <c r="D22" s="67" t="s">
        <v>91</v>
      </c>
      <c r="E22" s="17">
        <v>100427.20181802085</v>
      </c>
      <c r="F22" s="61">
        <v>100527.62901983887</v>
      </c>
    </row>
    <row r="23" spans="2:7" ht="15" thickBot="1">
      <c r="B23" s="555"/>
      <c r="C23" s="65" t="s">
        <v>242</v>
      </c>
      <c r="D23" s="67" t="s">
        <v>249</v>
      </c>
      <c r="E23" s="17">
        <v>100427.20181802085</v>
      </c>
      <c r="F23" s="61">
        <v>100527.62901983887</v>
      </c>
    </row>
    <row r="24" spans="2:7" ht="15" thickBot="1">
      <c r="B24" s="556"/>
      <c r="C24" s="76" t="s">
        <v>243</v>
      </c>
      <c r="D24" s="73"/>
      <c r="E24" s="74">
        <f>SUM(E21:E23)</f>
        <v>226926.42948327988</v>
      </c>
      <c r="F24" s="75">
        <f>SUM(F21:F23)</f>
        <v>227153.35591276316</v>
      </c>
    </row>
    <row r="25" spans="2:7">
      <c r="B25" s="554" t="s">
        <v>250</v>
      </c>
      <c r="C25" s="557" t="s">
        <v>236</v>
      </c>
      <c r="D25" s="67" t="s">
        <v>77</v>
      </c>
      <c r="E25" s="70">
        <v>44304.015064729931</v>
      </c>
      <c r="F25" s="71">
        <v>181805.90369846672</v>
      </c>
    </row>
    <row r="26" spans="2:7">
      <c r="B26" s="555"/>
      <c r="C26" s="558"/>
      <c r="D26" s="67" t="s">
        <v>89</v>
      </c>
      <c r="E26" s="17">
        <v>139024.84220341951</v>
      </c>
      <c r="F26" s="61">
        <v>1706.2824269508712</v>
      </c>
      <c r="G26">
        <v>165</v>
      </c>
    </row>
    <row r="27" spans="2:7" ht="15" thickBot="1">
      <c r="B27" s="555"/>
      <c r="C27" s="559"/>
      <c r="D27" s="67" t="s">
        <v>101</v>
      </c>
      <c r="E27" s="17">
        <v>139024.84220341951</v>
      </c>
      <c r="F27" s="61">
        <v>1706.2824269508712</v>
      </c>
      <c r="G27">
        <v>19</v>
      </c>
    </row>
    <row r="28" spans="2:7" ht="15" thickBot="1">
      <c r="B28" s="555"/>
      <c r="C28" s="65" t="s">
        <v>242</v>
      </c>
      <c r="D28" s="67" t="s">
        <v>108</v>
      </c>
      <c r="E28" s="17">
        <v>139024.84220341951</v>
      </c>
      <c r="F28" s="61">
        <v>1706.2824269508712</v>
      </c>
    </row>
    <row r="29" spans="2:7" ht="15" thickBot="1">
      <c r="B29" s="556"/>
      <c r="C29" s="72" t="s">
        <v>243</v>
      </c>
      <c r="D29" s="73"/>
      <c r="E29" s="74">
        <f>SUM(E25:E28)</f>
        <v>461378.54167498846</v>
      </c>
      <c r="F29" s="75">
        <f>SUM(F25:F28)</f>
        <v>186924.75097931933</v>
      </c>
    </row>
    <row r="30" spans="2:7">
      <c r="B30" s="562" t="s">
        <v>251</v>
      </c>
      <c r="C30" s="557" t="s">
        <v>236</v>
      </c>
      <c r="D30" s="67" t="s">
        <v>252</v>
      </c>
      <c r="E30" s="70">
        <v>8019.7780235407936</v>
      </c>
      <c r="F30" s="71">
        <v>8027.7978015643339</v>
      </c>
      <c r="G30">
        <v>22</v>
      </c>
    </row>
    <row r="31" spans="2:7" ht="15" thickBot="1">
      <c r="B31" s="563"/>
      <c r="C31" s="559"/>
      <c r="D31" s="67" t="s">
        <v>92</v>
      </c>
      <c r="E31" s="17">
        <v>25165.853988633455</v>
      </c>
      <c r="F31" s="61">
        <v>25191.019842622085</v>
      </c>
      <c r="G31">
        <v>6</v>
      </c>
    </row>
    <row r="32" spans="2:7" ht="15" thickBot="1">
      <c r="B32" s="563"/>
      <c r="C32" s="65" t="s">
        <v>242</v>
      </c>
      <c r="D32" s="67" t="s">
        <v>253</v>
      </c>
      <c r="E32" s="17">
        <v>1748.7</v>
      </c>
      <c r="F32" s="61">
        <v>1750.4487000000001</v>
      </c>
    </row>
    <row r="33" spans="2:6" ht="15" thickBot="1">
      <c r="B33" s="564"/>
      <c r="C33" s="72" t="s">
        <v>243</v>
      </c>
      <c r="D33" s="73"/>
      <c r="E33" s="74">
        <f>SUM(E30:E32)</f>
        <v>34934.332012174244</v>
      </c>
      <c r="F33" s="75">
        <f>SUM(F30:F32)</f>
        <v>34969.266344186421</v>
      </c>
    </row>
    <row r="34" spans="2:6">
      <c r="B34" s="562" t="s">
        <v>254</v>
      </c>
      <c r="C34" s="557" t="s">
        <v>236</v>
      </c>
      <c r="D34" s="67" t="s">
        <v>78</v>
      </c>
      <c r="E34" s="70">
        <v>19203.344871149882</v>
      </c>
      <c r="F34" s="71">
        <v>19222.548216021023</v>
      </c>
    </row>
    <row r="35" spans="2:6">
      <c r="B35" s="563"/>
      <c r="C35" s="558"/>
      <c r="D35" s="67" t="s">
        <v>90</v>
      </c>
      <c r="E35" s="17">
        <v>61701.514574792811</v>
      </c>
      <c r="F35" s="61">
        <v>61763.216089367568</v>
      </c>
    </row>
    <row r="36" spans="2:6" ht="15" thickBot="1">
      <c r="B36" s="563"/>
      <c r="C36" s="559"/>
      <c r="D36" s="67" t="s">
        <v>102</v>
      </c>
      <c r="E36" s="17">
        <v>61701.514574792811</v>
      </c>
      <c r="F36" s="61">
        <v>61763.216089367568</v>
      </c>
    </row>
    <row r="37" spans="2:6" ht="15" thickBot="1">
      <c r="B37" s="563"/>
      <c r="C37" s="65" t="s">
        <v>242</v>
      </c>
      <c r="D37" s="67" t="s">
        <v>109</v>
      </c>
      <c r="E37" s="17">
        <v>1844.0045</v>
      </c>
      <c r="F37" s="61">
        <v>1845.8485045</v>
      </c>
    </row>
    <row r="38" spans="2:6" ht="15" thickBot="1">
      <c r="B38" s="564"/>
      <c r="C38" s="72" t="s">
        <v>243</v>
      </c>
      <c r="D38" s="73"/>
      <c r="E38" s="74">
        <f>SUM(E34:E37)</f>
        <v>144450.37852073551</v>
      </c>
      <c r="F38" s="75">
        <f>SUM(F34:F37)</f>
        <v>144594.82889925616</v>
      </c>
    </row>
    <row r="39" spans="2:6">
      <c r="B39" s="562" t="s">
        <v>255</v>
      </c>
      <c r="C39" s="457" t="s">
        <v>236</v>
      </c>
      <c r="D39" s="67" t="s">
        <v>256</v>
      </c>
      <c r="E39" s="70">
        <v>3855.8835823424906</v>
      </c>
      <c r="F39" s="71">
        <v>3859.7394659248312</v>
      </c>
    </row>
    <row r="40" spans="2:6" ht="15" thickBot="1">
      <c r="B40" s="564"/>
      <c r="C40" s="72" t="s">
        <v>243</v>
      </c>
      <c r="D40" s="73"/>
      <c r="E40" s="74">
        <f>SUM(E39:E39)</f>
        <v>3855.8835823424906</v>
      </c>
      <c r="F40" s="75">
        <f>SUM(F39:F39)</f>
        <v>3859.7394659248312</v>
      </c>
    </row>
    <row r="41" spans="2:6">
      <c r="B41" s="560" t="s">
        <v>257</v>
      </c>
      <c r="C41" s="457" t="s">
        <v>236</v>
      </c>
      <c r="D41" s="67" t="s">
        <v>258</v>
      </c>
      <c r="E41" s="70">
        <v>6060.5709608729903</v>
      </c>
      <c r="F41" s="71">
        <v>6066.6315318338629</v>
      </c>
    </row>
    <row r="42" spans="2:6" ht="15" thickBot="1">
      <c r="B42" s="561"/>
      <c r="C42" s="72" t="s">
        <v>243</v>
      </c>
      <c r="D42" s="73"/>
      <c r="E42" s="74">
        <f>SUM(E41:E41)</f>
        <v>6060.5709608729903</v>
      </c>
      <c r="F42" s="75">
        <f>SUM(F41:F41)</f>
        <v>6066.6315318338629</v>
      </c>
    </row>
    <row r="43" spans="2:6">
      <c r="B43" s="560" t="s">
        <v>259</v>
      </c>
      <c r="C43" s="557" t="s">
        <v>236</v>
      </c>
      <c r="D43" s="67" t="s">
        <v>260</v>
      </c>
      <c r="E43" s="70">
        <v>22615.030035248867</v>
      </c>
      <c r="F43" s="71">
        <v>22637.645065284112</v>
      </c>
    </row>
    <row r="44" spans="2:6" ht="15" thickBot="1">
      <c r="B44" s="565"/>
      <c r="C44" s="559"/>
      <c r="D44" s="67" t="s">
        <v>96</v>
      </c>
      <c r="E44" s="17">
        <v>61445.074842718444</v>
      </c>
      <c r="F44" s="61">
        <v>61506.519917561163</v>
      </c>
    </row>
    <row r="45" spans="2:6" ht="15" thickBot="1">
      <c r="B45" s="561"/>
      <c r="C45" s="72" t="s">
        <v>243</v>
      </c>
      <c r="D45" s="73"/>
      <c r="E45" s="74">
        <f>SUM(E43:E44)</f>
        <v>84060.104877967315</v>
      </c>
      <c r="F45" s="75">
        <f>SUM(F43:F44)</f>
        <v>84144.164982845279</v>
      </c>
    </row>
    <row r="46" spans="2:6" ht="15" thickBot="1">
      <c r="B46" s="560" t="s">
        <v>261</v>
      </c>
      <c r="C46" s="66" t="s">
        <v>236</v>
      </c>
      <c r="D46" s="67" t="s">
        <v>262</v>
      </c>
      <c r="E46" s="70">
        <v>30702.6773036708</v>
      </c>
      <c r="F46" s="71">
        <v>30733.379980974471</v>
      </c>
    </row>
    <row r="47" spans="2:6" ht="15" thickBot="1">
      <c r="B47" s="561"/>
      <c r="C47" s="72" t="s">
        <v>243</v>
      </c>
      <c r="D47" s="77"/>
      <c r="E47" s="74">
        <f>SUM(E46)</f>
        <v>30702.6773036708</v>
      </c>
      <c r="F47" s="74">
        <f>SUM(F46)</f>
        <v>30733.379980974471</v>
      </c>
    </row>
    <row r="49" spans="2:6" ht="15.6">
      <c r="B49" s="78" t="s">
        <v>263</v>
      </c>
      <c r="C49" s="78"/>
      <c r="D49" s="78"/>
      <c r="E49" s="78">
        <f>E47+E45+E42+E40+E38+E33+E29+E24+E20+E15+E10</f>
        <v>3933961.5353134917</v>
      </c>
      <c r="F49" s="78">
        <f>F47+F45+F42+F40+F38+F33+F29+F24+F20+F15+F10</f>
        <v>3662980.3276114608</v>
      </c>
    </row>
  </sheetData>
  <mergeCells count="19">
    <mergeCell ref="B46:B47"/>
    <mergeCell ref="B30:B33"/>
    <mergeCell ref="B25:B29"/>
    <mergeCell ref="B34:B38"/>
    <mergeCell ref="B39:B40"/>
    <mergeCell ref="B41:B42"/>
    <mergeCell ref="B43:B45"/>
    <mergeCell ref="C43:C44"/>
    <mergeCell ref="C6:C8"/>
    <mergeCell ref="C11:C13"/>
    <mergeCell ref="C16:C18"/>
    <mergeCell ref="C30:C31"/>
    <mergeCell ref="C21:C22"/>
    <mergeCell ref="C25:C27"/>
    <mergeCell ref="B11:B15"/>
    <mergeCell ref="B6:B10"/>
    <mergeCell ref="B16:B20"/>
    <mergeCell ref="B21:B24"/>
    <mergeCell ref="C34:C36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7" tint="0.79998168889431442"/>
  </sheetPr>
  <dimension ref="A2:AS38"/>
  <sheetViews>
    <sheetView zoomScale="65" zoomScaleNormal="65" workbookViewId="0">
      <selection activeCell="I23" sqref="I23"/>
    </sheetView>
  </sheetViews>
  <sheetFormatPr baseColWidth="10" defaultColWidth="12.5546875" defaultRowHeight="14.4"/>
  <cols>
    <col min="1" max="1" width="7.44140625" style="7" customWidth="1"/>
    <col min="2" max="2" width="12" style="7" customWidth="1"/>
    <col min="3" max="3" width="17.44140625" style="8" customWidth="1"/>
    <col min="4" max="4" width="35.44140625" style="8" customWidth="1"/>
    <col min="5" max="5" width="26" style="8" customWidth="1"/>
    <col min="6" max="6" width="23.109375" style="374" customWidth="1"/>
    <col min="7" max="7" width="16.44140625" style="374" customWidth="1"/>
    <col min="8" max="8" width="17.44140625" style="8" customWidth="1" collapsed="1"/>
    <col min="9" max="9" width="17.44140625" style="374" customWidth="1"/>
    <col min="10" max="10" width="14.109375" style="8" customWidth="1" collapsed="1"/>
    <col min="11" max="11" width="21.109375" style="8" customWidth="1"/>
    <col min="12" max="12" width="13.5546875" style="374" customWidth="1" collapsed="1"/>
    <col min="13" max="13" width="11.44140625" style="8" customWidth="1" collapsed="1"/>
    <col min="14" max="14" width="12.5546875" style="7" customWidth="1" collapsed="1"/>
    <col min="15" max="15" width="12.5546875" style="7" customWidth="1"/>
    <col min="16" max="16" width="17.5546875" style="365" customWidth="1"/>
    <col min="17" max="18" width="12.5546875" style="7" customWidth="1"/>
    <col min="19" max="19" width="17.5546875" style="365" customWidth="1"/>
    <col min="20" max="20" width="17.88671875" style="7" customWidth="1"/>
    <col min="21" max="21" width="29" style="7" customWidth="1"/>
    <col min="22" max="22" width="26.109375" style="7" hidden="1" customWidth="1"/>
    <col min="23" max="23" width="12.5546875" style="7"/>
    <col min="24" max="24" width="12.5546875" style="364"/>
    <col min="25" max="25" width="12.5546875" style="7" collapsed="1"/>
    <col min="26" max="32" width="12.5546875" style="7"/>
    <col min="33" max="33" width="12.5546875" style="7" collapsed="1"/>
    <col min="34" max="38" width="12.5546875" style="7"/>
    <col min="39" max="39" width="12.5546875" style="7" collapsed="1"/>
    <col min="40" max="41" width="12.5546875" style="7"/>
    <col min="42" max="42" width="12.5546875" style="7" collapsed="1"/>
    <col min="43" max="45" width="12.5546875" style="7"/>
    <col min="46" max="16384" width="12.5546875" style="7" collapsed="1"/>
  </cols>
  <sheetData>
    <row r="2" spans="1:45">
      <c r="J2" s="9"/>
      <c r="K2" s="368"/>
    </row>
    <row r="3" spans="1:45">
      <c r="F3" s="569" t="s">
        <v>264</v>
      </c>
      <c r="G3" s="569"/>
      <c r="H3" s="569"/>
      <c r="I3" s="569"/>
      <c r="J3" s="569"/>
      <c r="K3" s="9"/>
    </row>
    <row r="4" spans="1:45" ht="15" thickBot="1">
      <c r="F4" s="569"/>
      <c r="G4" s="569"/>
      <c r="H4" s="569"/>
      <c r="I4" s="569"/>
      <c r="J4" s="569"/>
      <c r="K4" s="9"/>
    </row>
    <row r="5" spans="1:45" ht="24.6" customHeight="1" thickBot="1">
      <c r="B5" s="180" t="s">
        <v>237</v>
      </c>
      <c r="C5" s="181" t="s">
        <v>265</v>
      </c>
      <c r="D5" s="181" t="s">
        <v>266</v>
      </c>
      <c r="E5" s="181" t="s">
        <v>267</v>
      </c>
      <c r="F5" s="375" t="s">
        <v>268</v>
      </c>
      <c r="G5" s="375" t="s">
        <v>269</v>
      </c>
      <c r="H5" s="181" t="s">
        <v>270</v>
      </c>
      <c r="I5" s="375" t="s">
        <v>198</v>
      </c>
      <c r="J5" s="181" t="s">
        <v>271</v>
      </c>
      <c r="K5" s="181" t="s">
        <v>272</v>
      </c>
      <c r="L5" s="375" t="s">
        <v>273</v>
      </c>
      <c r="M5" s="181" t="s">
        <v>274</v>
      </c>
      <c r="N5" s="181" t="s">
        <v>275</v>
      </c>
      <c r="O5" s="191" t="s">
        <v>276</v>
      </c>
      <c r="P5" s="380" t="s">
        <v>277</v>
      </c>
      <c r="Q5" s="191" t="s">
        <v>278</v>
      </c>
      <c r="R5" s="190" t="s">
        <v>279</v>
      </c>
      <c r="S5" s="380" t="s">
        <v>200</v>
      </c>
      <c r="T5" s="190" t="s">
        <v>192</v>
      </c>
      <c r="U5" s="190" t="s">
        <v>280</v>
      </c>
      <c r="V5" s="505" t="s">
        <v>281</v>
      </c>
    </row>
    <row r="6" spans="1:45" ht="21.6" customHeight="1">
      <c r="B6" s="574" t="s">
        <v>217</v>
      </c>
      <c r="C6" s="570" t="s">
        <v>282</v>
      </c>
      <c r="D6" s="21" t="s">
        <v>283</v>
      </c>
      <c r="E6" s="486" t="s">
        <v>284</v>
      </c>
      <c r="F6" s="379">
        <v>2400000</v>
      </c>
      <c r="G6" s="379">
        <f>I6/J6</f>
        <v>1717499.7849462363</v>
      </c>
      <c r="H6" s="59">
        <f t="shared" ref="H6:H9" si="0">G6/F6</f>
        <v>0.71562491039426512</v>
      </c>
      <c r="I6" s="379">
        <f t="shared" ref="I6:I9" si="1">K6/N6*1000</f>
        <v>6869999.1397849452</v>
      </c>
      <c r="J6" s="504">
        <v>4</v>
      </c>
      <c r="K6" s="503">
        <f>'Facebook &amp; Instagram'!N9/4*2</f>
        <v>63890.991999999998</v>
      </c>
      <c r="L6" s="49">
        <f t="shared" ref="L6:L7" si="2">I6*M6</f>
        <v>20609.997419354837</v>
      </c>
      <c r="M6" s="36">
        <v>3.0000000000000001E-3</v>
      </c>
      <c r="N6" s="38">
        <v>9.3000000000000007</v>
      </c>
      <c r="O6" s="38">
        <v>6.5</v>
      </c>
      <c r="P6" s="49">
        <f t="shared" ref="P6:P7" si="3">K6/O6</f>
        <v>9829.3833846153848</v>
      </c>
      <c r="Q6" s="38">
        <v>79.677126865671653</v>
      </c>
      <c r="R6" s="62">
        <v>3.8907025415541356E-2</v>
      </c>
      <c r="S6" s="49">
        <f>K6/Q6</f>
        <v>801.87369340908049</v>
      </c>
      <c r="T6" s="37">
        <f>K6*0.1%</f>
        <v>63.890991999999997</v>
      </c>
      <c r="U6" s="414">
        <f>K6+T6</f>
        <v>63954.882991999999</v>
      </c>
      <c r="V6" s="494"/>
    </row>
    <row r="7" spans="1:45" ht="21.6" customHeight="1">
      <c r="B7" s="575"/>
      <c r="C7" s="571"/>
      <c r="D7" s="21" t="s">
        <v>283</v>
      </c>
      <c r="E7" s="21" t="s">
        <v>200</v>
      </c>
      <c r="F7" s="379">
        <v>2400000</v>
      </c>
      <c r="G7" s="379">
        <f>I7/J7</f>
        <v>1625965.1666666663</v>
      </c>
      <c r="H7" s="59">
        <f t="shared" si="0"/>
        <v>0.67748548611111092</v>
      </c>
      <c r="I7" s="379">
        <f t="shared" si="1"/>
        <v>3251930.3333333326</v>
      </c>
      <c r="J7" s="43">
        <v>2</v>
      </c>
      <c r="K7" s="39">
        <f>'Facebook &amp; Instagram'!N10/4*2</f>
        <v>29267.372999999996</v>
      </c>
      <c r="L7" s="49">
        <f t="shared" si="2"/>
        <v>4877.8954999999987</v>
      </c>
      <c r="M7" s="36">
        <v>1.5E-3</v>
      </c>
      <c r="N7" s="38">
        <v>9</v>
      </c>
      <c r="O7" s="38">
        <v>8</v>
      </c>
      <c r="P7" s="49">
        <f t="shared" si="3"/>
        <v>3658.4216249999995</v>
      </c>
      <c r="Q7" s="38">
        <v>34.001868898186892</v>
      </c>
      <c r="R7" s="62">
        <v>0.17646088860485967</v>
      </c>
      <c r="S7" s="49">
        <f t="shared" ref="S7" si="4">K7/Q7</f>
        <v>860.75777445164613</v>
      </c>
      <c r="T7" s="37">
        <f>K7*0.1%</f>
        <v>29.267372999999996</v>
      </c>
      <c r="U7" s="414">
        <f>K7+T7</f>
        <v>29296.640372999995</v>
      </c>
      <c r="V7" s="494"/>
    </row>
    <row r="8" spans="1:45" ht="21.6" customHeight="1">
      <c r="B8" s="575"/>
      <c r="C8" s="571"/>
      <c r="D8" s="485" t="s">
        <v>285</v>
      </c>
      <c r="E8" s="423" t="s">
        <v>284</v>
      </c>
      <c r="F8" s="379">
        <v>2400000</v>
      </c>
      <c r="G8" s="379">
        <f>I8/J8</f>
        <v>1717499.7849462363</v>
      </c>
      <c r="H8" s="59">
        <f t="shared" si="0"/>
        <v>0.71562491039426512</v>
      </c>
      <c r="I8" s="379">
        <f t="shared" si="1"/>
        <v>6869999.1397849452</v>
      </c>
      <c r="J8" s="426">
        <v>4</v>
      </c>
      <c r="K8" s="427">
        <f>'Facebook &amp; Instagram'!N9/4*2</f>
        <v>63890.991999999998</v>
      </c>
      <c r="L8" s="49">
        <f t="shared" ref="L8:L9" si="5">I8*M8</f>
        <v>20609.997419354837</v>
      </c>
      <c r="M8" s="36">
        <v>3.0000000000000001E-3</v>
      </c>
      <c r="N8" s="38">
        <v>9.3000000000000007</v>
      </c>
      <c r="O8" s="38">
        <v>6.5</v>
      </c>
      <c r="P8" s="49">
        <f t="shared" ref="P8:P9" si="6">K8/O8</f>
        <v>9829.3833846153848</v>
      </c>
      <c r="Q8" s="38">
        <v>79.677126865671653</v>
      </c>
      <c r="R8" s="62">
        <v>3.8907025415541356E-2</v>
      </c>
      <c r="S8" s="49">
        <f t="shared" ref="S8:S9" si="7">K8/Q8</f>
        <v>801.87369340908049</v>
      </c>
      <c r="T8" s="37">
        <f>K8*0.1%</f>
        <v>63.890991999999997</v>
      </c>
      <c r="U8" s="414">
        <f>K8+T8</f>
        <v>63954.882991999999</v>
      </c>
      <c r="V8" s="494"/>
    </row>
    <row r="9" spans="1:45" ht="21.6" customHeight="1">
      <c r="B9" s="575"/>
      <c r="C9" s="571"/>
      <c r="D9" s="485" t="s">
        <v>285</v>
      </c>
      <c r="E9" s="21" t="s">
        <v>200</v>
      </c>
      <c r="F9" s="379">
        <v>2400000</v>
      </c>
      <c r="G9" s="379">
        <f>I9/J9</f>
        <v>1625965.1666666663</v>
      </c>
      <c r="H9" s="59">
        <f t="shared" si="0"/>
        <v>0.67748548611111092</v>
      </c>
      <c r="I9" s="379">
        <f t="shared" si="1"/>
        <v>3251930.3333333326</v>
      </c>
      <c r="J9" s="43">
        <v>2</v>
      </c>
      <c r="K9" s="427">
        <f>'Facebook &amp; Instagram'!N10/4*2</f>
        <v>29267.372999999996</v>
      </c>
      <c r="L9" s="49">
        <f t="shared" si="5"/>
        <v>4877.8954999999987</v>
      </c>
      <c r="M9" s="36">
        <v>1.5E-3</v>
      </c>
      <c r="N9" s="38">
        <v>9</v>
      </c>
      <c r="O9" s="38">
        <v>8</v>
      </c>
      <c r="P9" s="49">
        <f t="shared" si="6"/>
        <v>3658.4216249999995</v>
      </c>
      <c r="Q9" s="38">
        <v>34.001868898186892</v>
      </c>
      <c r="R9" s="62">
        <v>0.17646088860485967</v>
      </c>
      <c r="S9" s="49">
        <f t="shared" si="7"/>
        <v>860.75777445164613</v>
      </c>
      <c r="T9" s="37">
        <f>K9*0.1%</f>
        <v>29.267372999999996</v>
      </c>
      <c r="U9" s="414">
        <f>K9+T9</f>
        <v>29296.640372999995</v>
      </c>
      <c r="V9" s="494"/>
    </row>
    <row r="10" spans="1:45" ht="21.6" customHeight="1">
      <c r="B10" s="575"/>
      <c r="C10" s="572"/>
      <c r="D10" s="51" t="s">
        <v>243</v>
      </c>
      <c r="E10" s="51"/>
      <c r="F10" s="376"/>
      <c r="G10" s="376"/>
      <c r="H10" s="56"/>
      <c r="I10" s="376">
        <f>SUM(I6:I9)</f>
        <v>20243858.946236555</v>
      </c>
      <c r="J10" s="54"/>
      <c r="K10" s="53">
        <f>SUM(K6:K9)</f>
        <v>186316.72999999998</v>
      </c>
      <c r="L10" s="376">
        <f>SUM(L6:L9)</f>
        <v>50975.785838709671</v>
      </c>
      <c r="M10" s="55"/>
      <c r="N10" s="56"/>
      <c r="O10" s="56"/>
      <c r="P10" s="376">
        <f>SUM(P6:P9)</f>
        <v>26975.610019230768</v>
      </c>
      <c r="Q10" s="56"/>
      <c r="R10" s="56"/>
      <c r="S10" s="376">
        <f>SUM(S6:S9)</f>
        <v>3325.2629357214532</v>
      </c>
      <c r="T10" s="53">
        <f t="shared" ref="T10" si="8">SUM(T6:T9)</f>
        <v>186.31672999999998</v>
      </c>
      <c r="U10" s="502">
        <f t="shared" ref="U10" si="9">SUM(U6:U9)</f>
        <v>186503.04673</v>
      </c>
      <c r="V10" s="493">
        <f t="shared" ref="V10:V20" si="10">K10</f>
        <v>186316.72999999998</v>
      </c>
      <c r="W10" s="373"/>
    </row>
    <row r="11" spans="1:45" ht="21.6" customHeight="1">
      <c r="B11" s="575"/>
      <c r="C11" s="573" t="s">
        <v>38</v>
      </c>
      <c r="D11" s="21" t="s">
        <v>283</v>
      </c>
      <c r="E11" s="21" t="s">
        <v>284</v>
      </c>
      <c r="F11" s="379">
        <v>5000000</v>
      </c>
      <c r="G11" s="379">
        <f>I11/J11</f>
        <v>3534866.6666666665</v>
      </c>
      <c r="H11" s="59">
        <f t="shared" ref="H11:H14" si="11">G11/F11</f>
        <v>0.70697333333333334</v>
      </c>
      <c r="I11" s="379">
        <f>K11/N11*1000</f>
        <v>17674333.333333332</v>
      </c>
      <c r="J11" s="43">
        <v>5</v>
      </c>
      <c r="K11" s="39">
        <f>Snapchat!K8/3*2</f>
        <v>22976.633333333331</v>
      </c>
      <c r="L11" s="49">
        <f t="shared" ref="L11:L14" si="12">I11*M11</f>
        <v>70697.333333333328</v>
      </c>
      <c r="M11" s="36">
        <v>4.0000000000000001E-3</v>
      </c>
      <c r="N11" s="38">
        <v>1.3</v>
      </c>
      <c r="O11" s="38">
        <v>0.5</v>
      </c>
      <c r="P11" s="49">
        <f t="shared" ref="P11:P14" si="13">K11/O11</f>
        <v>45953.266666666663</v>
      </c>
      <c r="Q11" s="38">
        <v>35</v>
      </c>
      <c r="R11" s="62">
        <f>S11/L11</f>
        <v>9.285714285714286E-3</v>
      </c>
      <c r="S11" s="49">
        <f t="shared" ref="S11:S14" si="14">K11/Q11</f>
        <v>656.47523809523807</v>
      </c>
      <c r="T11" s="37">
        <f>K11*0.1%</f>
        <v>22.976633333333332</v>
      </c>
      <c r="U11" s="414">
        <f>K11+T11</f>
        <v>22999.609966666663</v>
      </c>
      <c r="V11" s="494">
        <f t="shared" si="10"/>
        <v>22976.633333333331</v>
      </c>
      <c r="W11" s="373"/>
    </row>
    <row r="12" spans="1:45" ht="21.6" customHeight="1">
      <c r="B12" s="575"/>
      <c r="C12" s="571"/>
      <c r="D12" s="21" t="s">
        <v>283</v>
      </c>
      <c r="E12" s="21" t="s">
        <v>200</v>
      </c>
      <c r="F12" s="379">
        <v>5000000</v>
      </c>
      <c r="G12" s="379">
        <f>I12/J12</f>
        <v>3297892.2222222229</v>
      </c>
      <c r="H12" s="59">
        <f t="shared" si="11"/>
        <v>0.65957844444444458</v>
      </c>
      <c r="I12" s="379">
        <f t="shared" ref="I12:I14" si="15">K12/N12*1000</f>
        <v>16489461.111111116</v>
      </c>
      <c r="J12" s="43">
        <v>5</v>
      </c>
      <c r="K12" s="39">
        <f>Snapchat!K9/3*2</f>
        <v>19787.353333333336</v>
      </c>
      <c r="L12" s="49">
        <f t="shared" si="12"/>
        <v>52766.27555555557</v>
      </c>
      <c r="M12" s="36">
        <v>3.2000000000000002E-3</v>
      </c>
      <c r="N12" s="38">
        <v>1.2</v>
      </c>
      <c r="O12" s="38">
        <v>0.6</v>
      </c>
      <c r="P12" s="49">
        <f t="shared" si="13"/>
        <v>32978.922222222231</v>
      </c>
      <c r="Q12" s="38">
        <v>30</v>
      </c>
      <c r="R12" s="62">
        <f>S12/L12</f>
        <v>1.2499999999999999E-2</v>
      </c>
      <c r="S12" s="49">
        <f t="shared" si="14"/>
        <v>659.57844444444459</v>
      </c>
      <c r="T12" s="37">
        <f>K12*0.1%</f>
        <v>19.787353333333336</v>
      </c>
      <c r="U12" s="414">
        <f>K12+T12</f>
        <v>19807.140686666669</v>
      </c>
      <c r="V12" s="494">
        <f t="shared" si="10"/>
        <v>19787.353333333336</v>
      </c>
      <c r="W12" s="373"/>
    </row>
    <row r="13" spans="1:45" ht="21.6" customHeight="1">
      <c r="B13" s="575"/>
      <c r="C13" s="571"/>
      <c r="D13" s="485" t="s">
        <v>286</v>
      </c>
      <c r="E13" s="21" t="s">
        <v>284</v>
      </c>
      <c r="F13" s="379">
        <v>5000000</v>
      </c>
      <c r="G13" s="379">
        <f>I13/J13</f>
        <v>2945722.222222222</v>
      </c>
      <c r="H13" s="59">
        <f t="shared" si="11"/>
        <v>0.58914444444444436</v>
      </c>
      <c r="I13" s="379">
        <f t="shared" si="15"/>
        <v>8837166.666666666</v>
      </c>
      <c r="J13" s="43">
        <v>3</v>
      </c>
      <c r="K13" s="39">
        <f>Snapchat!K8/3*1</f>
        <v>11488.316666666666</v>
      </c>
      <c r="L13" s="49">
        <f t="shared" si="12"/>
        <v>35348.666666666664</v>
      </c>
      <c r="M13" s="36">
        <v>4.0000000000000001E-3</v>
      </c>
      <c r="N13" s="38">
        <v>1.3</v>
      </c>
      <c r="O13" s="38">
        <v>0.5</v>
      </c>
      <c r="P13" s="49">
        <f t="shared" si="13"/>
        <v>22976.633333333331</v>
      </c>
      <c r="Q13" s="38">
        <v>35</v>
      </c>
      <c r="R13" s="62">
        <f>S13/L13</f>
        <v>9.285714285714286E-3</v>
      </c>
      <c r="S13" s="49">
        <f t="shared" si="14"/>
        <v>328.23761904761903</v>
      </c>
      <c r="T13" s="37">
        <f>K13*0.1%</f>
        <v>11.488316666666666</v>
      </c>
      <c r="U13" s="414">
        <f>K13+T13</f>
        <v>11499.804983333332</v>
      </c>
      <c r="V13" s="494">
        <f t="shared" si="10"/>
        <v>11488.316666666666</v>
      </c>
      <c r="W13" s="373"/>
    </row>
    <row r="14" spans="1:45" ht="21.6" customHeight="1">
      <c r="B14" s="575"/>
      <c r="C14" s="571"/>
      <c r="D14" s="485" t="s">
        <v>286</v>
      </c>
      <c r="E14" s="21" t="s">
        <v>200</v>
      </c>
      <c r="F14" s="379">
        <v>5000000</v>
      </c>
      <c r="G14" s="379">
        <f>I14/J14</f>
        <v>2748243.5185185191</v>
      </c>
      <c r="H14" s="59">
        <f t="shared" si="11"/>
        <v>0.54964870370370378</v>
      </c>
      <c r="I14" s="379">
        <f t="shared" si="15"/>
        <v>8244730.5555555578</v>
      </c>
      <c r="J14" s="43">
        <v>3</v>
      </c>
      <c r="K14" s="39">
        <f>Snapchat!K9/3*1</f>
        <v>9893.6766666666681</v>
      </c>
      <c r="L14" s="49">
        <f t="shared" si="12"/>
        <v>26383.137777777785</v>
      </c>
      <c r="M14" s="36">
        <v>3.2000000000000002E-3</v>
      </c>
      <c r="N14" s="38">
        <v>1.2</v>
      </c>
      <c r="O14" s="38">
        <v>0.6</v>
      </c>
      <c r="P14" s="49">
        <f t="shared" si="13"/>
        <v>16489.461111111115</v>
      </c>
      <c r="Q14" s="38">
        <v>30</v>
      </c>
      <c r="R14" s="62">
        <f>S14/L14</f>
        <v>1.2499999999999999E-2</v>
      </c>
      <c r="S14" s="49">
        <f t="shared" si="14"/>
        <v>329.78922222222229</v>
      </c>
      <c r="T14" s="37">
        <f>K14*0.1%</f>
        <v>9.8936766666666678</v>
      </c>
      <c r="U14" s="414">
        <f>K14+T14</f>
        <v>9903.5703433333347</v>
      </c>
      <c r="V14" s="494">
        <f t="shared" si="10"/>
        <v>9893.6766666666681</v>
      </c>
      <c r="W14" s="373"/>
    </row>
    <row r="15" spans="1:45" ht="21.6" customHeight="1">
      <c r="B15" s="575"/>
      <c r="C15" s="572"/>
      <c r="D15" s="51" t="s">
        <v>243</v>
      </c>
      <c r="E15" s="51"/>
      <c r="F15" s="376"/>
      <c r="G15" s="376"/>
      <c r="H15" s="52"/>
      <c r="I15" s="376">
        <f>SUM(I11:I14)</f>
        <v>51245691.666666672</v>
      </c>
      <c r="J15" s="54"/>
      <c r="K15" s="53">
        <f>SUM(K11:K14)</f>
        <v>64145.979999999996</v>
      </c>
      <c r="L15" s="376">
        <f>SUM(L11:L14)</f>
        <v>185195.41333333336</v>
      </c>
      <c r="M15" s="55"/>
      <c r="N15" s="56"/>
      <c r="O15" s="56"/>
      <c r="P15" s="376">
        <f>SUM(P11:P14)</f>
        <v>118398.28333333334</v>
      </c>
      <c r="Q15" s="56"/>
      <c r="R15" s="56"/>
      <c r="S15" s="376">
        <f>SUM(S11:S14)</f>
        <v>1974.080523809524</v>
      </c>
      <c r="T15" s="53">
        <f t="shared" ref="T15:U15" si="16">SUM(T11:T14)</f>
        <v>64.145979999999994</v>
      </c>
      <c r="U15" s="502">
        <f t="shared" si="16"/>
        <v>64210.125980000004</v>
      </c>
      <c r="V15" s="493">
        <f t="shared" si="10"/>
        <v>64145.979999999996</v>
      </c>
      <c r="W15" s="373"/>
    </row>
    <row r="16" spans="1:45" s="364" customFormat="1" ht="21.6" customHeight="1">
      <c r="A16" s="7"/>
      <c r="B16" s="575"/>
      <c r="C16" s="566" t="s">
        <v>287</v>
      </c>
      <c r="D16" s="21" t="s">
        <v>288</v>
      </c>
      <c r="E16" s="21" t="s">
        <v>284</v>
      </c>
      <c r="F16" s="501"/>
      <c r="G16" s="501"/>
      <c r="H16" s="500"/>
      <c r="I16" s="379">
        <f>YouTube!H11/5*2</f>
        <v>368153.14199765504</v>
      </c>
      <c r="J16" s="499"/>
      <c r="K16" s="39">
        <f>YouTube!K11/5*2</f>
        <v>13916.188767511359</v>
      </c>
      <c r="L16" s="495"/>
      <c r="M16" s="498"/>
      <c r="N16" s="38">
        <f>K16/I16*1000</f>
        <v>37.799999999999997</v>
      </c>
      <c r="O16" s="497"/>
      <c r="P16" s="495"/>
      <c r="Q16" s="497"/>
      <c r="R16" s="496"/>
      <c r="S16" s="495"/>
      <c r="T16" s="37">
        <f>YouTube!N11/5*2</f>
        <v>13.916188767511361</v>
      </c>
      <c r="U16" s="414">
        <f>YouTube!O11/5*2</f>
        <v>13966.036702937843</v>
      </c>
      <c r="V16" s="494">
        <f t="shared" si="10"/>
        <v>13916.188767511359</v>
      </c>
      <c r="W16" s="373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s="364" customFormat="1" ht="21.6" customHeight="1">
      <c r="A17" s="7"/>
      <c r="B17" s="575"/>
      <c r="C17" s="567"/>
      <c r="D17" s="21" t="s">
        <v>289</v>
      </c>
      <c r="E17" s="21" t="s">
        <v>200</v>
      </c>
      <c r="F17" s="501"/>
      <c r="G17" s="501"/>
      <c r="H17" s="500"/>
      <c r="I17" s="379">
        <f>YouTube!H12/5*2</f>
        <v>787870.94448913203</v>
      </c>
      <c r="J17" s="499"/>
      <c r="K17" s="39">
        <f>YouTube!K12/5*2</f>
        <v>5963.3951788382401</v>
      </c>
      <c r="L17" s="495"/>
      <c r="M17" s="498"/>
      <c r="N17" s="38">
        <v>6.65</v>
      </c>
      <c r="O17" s="497"/>
      <c r="P17" s="495"/>
      <c r="Q17" s="497"/>
      <c r="R17" s="496"/>
      <c r="S17" s="495"/>
      <c r="T17" s="37">
        <f>YouTube!N12/5*2</f>
        <v>5.9633951788382404</v>
      </c>
      <c r="U17" s="414">
        <f>YouTube!O12/5*2</f>
        <v>6033.9639914651871</v>
      </c>
      <c r="V17" s="494">
        <f t="shared" si="10"/>
        <v>5963.3951788382401</v>
      </c>
      <c r="W17" s="373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s="364" customFormat="1" ht="21.6" customHeight="1">
      <c r="A18" s="7"/>
      <c r="B18" s="575"/>
      <c r="C18" s="567"/>
      <c r="D18" s="485" t="s">
        <v>290</v>
      </c>
      <c r="E18" s="21" t="s">
        <v>284</v>
      </c>
      <c r="F18" s="501"/>
      <c r="G18" s="501"/>
      <c r="H18" s="500"/>
      <c r="I18" s="379">
        <f>YouTube!H11/5*3</f>
        <v>552229.71299648262</v>
      </c>
      <c r="J18" s="499"/>
      <c r="K18" s="39">
        <f>YouTube!K11/5*3</f>
        <v>20874.283151267038</v>
      </c>
      <c r="L18" s="495"/>
      <c r="M18" s="498"/>
      <c r="N18" s="38">
        <f>K18/I18*1000</f>
        <v>37.79999999999999</v>
      </c>
      <c r="O18" s="497"/>
      <c r="P18" s="495"/>
      <c r="Q18" s="497"/>
      <c r="R18" s="496"/>
      <c r="S18" s="495"/>
      <c r="T18" s="37">
        <f>YouTube!N11/5*3</f>
        <v>20.874283151267043</v>
      </c>
      <c r="U18" s="414">
        <f>YouTube!P11/5*3</f>
        <v>20928.180771255495</v>
      </c>
      <c r="V18" s="494">
        <f t="shared" si="10"/>
        <v>20874.283151267038</v>
      </c>
      <c r="W18" s="373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</row>
    <row r="19" spans="1:45" s="364" customFormat="1" ht="21.6" customHeight="1">
      <c r="A19" s="7"/>
      <c r="B19" s="575"/>
      <c r="C19" s="567"/>
      <c r="D19" s="485" t="s">
        <v>291</v>
      </c>
      <c r="E19" s="21" t="s">
        <v>200</v>
      </c>
      <c r="F19" s="501"/>
      <c r="G19" s="501"/>
      <c r="H19" s="500"/>
      <c r="I19" s="379">
        <f>YouTube!H12/5*3</f>
        <v>1181806.416733698</v>
      </c>
      <c r="J19" s="499"/>
      <c r="K19" s="39">
        <f>YouTube!K12/5*3</f>
        <v>8945.0927682573601</v>
      </c>
      <c r="L19" s="495"/>
      <c r="M19" s="498"/>
      <c r="N19" s="38">
        <v>6.65</v>
      </c>
      <c r="O19" s="497"/>
      <c r="P19" s="495"/>
      <c r="Q19" s="497"/>
      <c r="R19" s="496"/>
      <c r="S19" s="495"/>
      <c r="T19" s="37">
        <f>YouTube!N12/5*3</f>
        <v>8.9450927682573607</v>
      </c>
      <c r="U19" s="414">
        <f>YouTube!P12/5*3</f>
        <v>9042.0008944295223</v>
      </c>
      <c r="V19" s="494">
        <f t="shared" si="10"/>
        <v>8945.0927682573601</v>
      </c>
      <c r="W19" s="373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spans="1:45" s="364" customFormat="1" ht="21.6" customHeight="1" thickBot="1">
      <c r="A20" s="7"/>
      <c r="B20" s="576"/>
      <c r="C20" s="568"/>
      <c r="D20" s="415" t="s">
        <v>243</v>
      </c>
      <c r="E20" s="415"/>
      <c r="F20" s="416"/>
      <c r="G20" s="416"/>
      <c r="H20" s="444"/>
      <c r="I20" s="416">
        <f>SUM(I16:I19)</f>
        <v>2890060.2162169674</v>
      </c>
      <c r="J20" s="418"/>
      <c r="K20" s="419">
        <f>SUM(K16:K19)</f>
        <v>49698.959865874</v>
      </c>
      <c r="L20" s="416"/>
      <c r="M20" s="420"/>
      <c r="N20" s="417"/>
      <c r="O20" s="417"/>
      <c r="P20" s="416"/>
      <c r="Q20" s="417"/>
      <c r="R20" s="417"/>
      <c r="S20" s="416"/>
      <c r="T20" s="419">
        <f t="shared" ref="T20" si="17">SUM(T16:T19)</f>
        <v>49.698959865874009</v>
      </c>
      <c r="U20" s="422">
        <f t="shared" ref="U20" si="18">SUM(U16:U19)</f>
        <v>49970.182360088045</v>
      </c>
      <c r="V20" s="493">
        <f t="shared" si="10"/>
        <v>49698.959865874</v>
      </c>
      <c r="W20" s="373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</row>
    <row r="21" spans="1:45">
      <c r="B21" s="8"/>
      <c r="N21" s="8"/>
      <c r="O21" s="8"/>
      <c r="P21" s="374"/>
      <c r="Q21" s="8"/>
      <c r="R21" s="8"/>
      <c r="S21" s="374"/>
      <c r="T21" s="8"/>
      <c r="U21" s="8"/>
      <c r="V21" s="221"/>
    </row>
    <row r="22" spans="1:45" s="487" customFormat="1" ht="21">
      <c r="B22" s="492"/>
      <c r="C22" s="490" t="s">
        <v>292</v>
      </c>
      <c r="D22" s="490"/>
      <c r="E22" s="490"/>
      <c r="F22" s="491"/>
      <c r="G22" s="491"/>
      <c r="H22" s="490"/>
      <c r="I22" s="491">
        <f>I10+I15+I20</f>
        <v>74379610.829120189</v>
      </c>
      <c r="J22" s="490"/>
      <c r="K22" s="490">
        <f>K10+K15+K20</f>
        <v>300161.66986587399</v>
      </c>
      <c r="L22" s="491"/>
      <c r="M22" s="490"/>
      <c r="N22" s="490"/>
      <c r="O22" s="490"/>
      <c r="P22" s="491">
        <f>P10+P15+P20</f>
        <v>145373.8933525641</v>
      </c>
      <c r="Q22" s="490"/>
      <c r="R22" s="490"/>
      <c r="S22" s="491">
        <f>S10+S15+S20</f>
        <v>5299.3434595309773</v>
      </c>
      <c r="T22" s="490">
        <f>T10+T15+T20</f>
        <v>300.16166986587399</v>
      </c>
      <c r="U22" s="490">
        <f>U10+U15+U20</f>
        <v>300683.35507008806</v>
      </c>
      <c r="V22" s="489"/>
      <c r="X22" s="488"/>
    </row>
    <row r="24" spans="1:45" ht="19.8">
      <c r="D24" s="336"/>
      <c r="E24" s="307"/>
      <c r="F24" s="367"/>
      <c r="G24" s="367"/>
      <c r="H24" s="307"/>
      <c r="I24" s="367"/>
      <c r="J24" s="367"/>
      <c r="K24" s="367"/>
      <c r="L24" s="367"/>
      <c r="M24" s="367"/>
      <c r="N24" s="367"/>
      <c r="O24" s="367"/>
      <c r="P24" s="367"/>
      <c r="Q24" s="367"/>
      <c r="R24" s="367"/>
      <c r="S24" s="367"/>
      <c r="T24" s="367"/>
      <c r="U24" s="367"/>
    </row>
    <row r="25" spans="1:45" ht="20.399999999999999" thickBot="1">
      <c r="B25" s="579" t="s">
        <v>293</v>
      </c>
      <c r="C25" s="579"/>
      <c r="D25" s="579"/>
      <c r="E25" s="579"/>
      <c r="F25" s="579"/>
      <c r="G25" s="36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307"/>
    </row>
    <row r="26" spans="1:45" ht="20.399999999999999" thickBot="1">
      <c r="B26" s="180" t="s">
        <v>237</v>
      </c>
      <c r="C26" s="181" t="s">
        <v>265</v>
      </c>
      <c r="D26" s="181" t="s">
        <v>294</v>
      </c>
      <c r="E26" s="181" t="s">
        <v>295</v>
      </c>
      <c r="F26" s="375" t="s">
        <v>296</v>
      </c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</row>
    <row r="27" spans="1:45" ht="19.8">
      <c r="B27" s="574" t="s">
        <v>217</v>
      </c>
      <c r="C27" s="570" t="s">
        <v>282</v>
      </c>
      <c r="D27" s="486" t="s">
        <v>297</v>
      </c>
      <c r="E27" s="486" t="s">
        <v>298</v>
      </c>
      <c r="F27" s="39">
        <v>25000</v>
      </c>
      <c r="G27" s="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</row>
    <row r="28" spans="1:45" ht="19.8">
      <c r="B28" s="575"/>
      <c r="C28" s="572"/>
      <c r="D28" s="51"/>
      <c r="E28" s="51"/>
      <c r="F28" s="51"/>
      <c r="G28" s="7"/>
      <c r="H28" s="307"/>
      <c r="I28" s="307"/>
      <c r="J28" s="307"/>
      <c r="K28" s="307"/>
      <c r="L28" s="307"/>
      <c r="M28" s="307"/>
      <c r="N28" s="307"/>
      <c r="O28" s="307"/>
      <c r="P28" s="307"/>
      <c r="Q28" s="307"/>
      <c r="R28" s="307"/>
      <c r="S28" s="307"/>
      <c r="T28" s="307"/>
      <c r="U28" s="307"/>
      <c r="V28" s="307"/>
      <c r="W28" s="307"/>
      <c r="X28" s="307"/>
    </row>
    <row r="29" spans="1:45" ht="19.8">
      <c r="B29" s="575"/>
      <c r="C29" s="566" t="s">
        <v>38</v>
      </c>
      <c r="D29" s="21" t="s">
        <v>299</v>
      </c>
      <c r="E29" s="21" t="s">
        <v>300</v>
      </c>
      <c r="F29" s="39">
        <v>50000</v>
      </c>
      <c r="G29" s="7"/>
      <c r="H29" s="307"/>
      <c r="I29" s="307"/>
      <c r="J29" s="307"/>
      <c r="K29" s="307"/>
      <c r="L29" s="307"/>
      <c r="M29" s="307"/>
      <c r="N29" s="307"/>
      <c r="O29" s="307"/>
      <c r="P29" s="307"/>
      <c r="Q29" s="307"/>
      <c r="R29" s="307"/>
      <c r="S29" s="307"/>
      <c r="T29" s="307"/>
      <c r="U29" s="307"/>
      <c r="V29" s="307"/>
      <c r="W29" s="307"/>
      <c r="X29" s="307"/>
    </row>
    <row r="30" spans="1:45" ht="19.8">
      <c r="B30" s="575"/>
      <c r="C30" s="578"/>
      <c r="D30" s="51"/>
      <c r="E30" s="51"/>
      <c r="F30" s="376"/>
      <c r="G30" s="7"/>
      <c r="H30" s="307"/>
      <c r="I30" s="307"/>
      <c r="J30" s="307"/>
      <c r="K30" s="307"/>
      <c r="L30" s="307"/>
      <c r="M30" s="307"/>
      <c r="N30" s="307"/>
      <c r="O30" s="307"/>
      <c r="P30" s="307"/>
      <c r="Q30" s="307"/>
      <c r="R30" s="307"/>
      <c r="S30" s="307"/>
      <c r="T30" s="307"/>
      <c r="U30" s="307"/>
      <c r="V30" s="307"/>
      <c r="W30" s="307"/>
      <c r="X30" s="307"/>
    </row>
    <row r="31" spans="1:45" ht="19.8">
      <c r="B31" s="575"/>
      <c r="C31" s="573" t="s">
        <v>287</v>
      </c>
      <c r="D31" s="21" t="s">
        <v>301</v>
      </c>
      <c r="E31" s="21" t="s">
        <v>302</v>
      </c>
      <c r="F31" s="39">
        <v>8000</v>
      </c>
      <c r="G31" s="7"/>
      <c r="H31" s="307"/>
      <c r="I31" s="307"/>
      <c r="J31" s="307"/>
      <c r="K31" s="307"/>
      <c r="L31" s="307"/>
      <c r="M31" s="307"/>
      <c r="N31" s="307"/>
      <c r="O31" s="307"/>
      <c r="P31" s="307"/>
      <c r="Q31" s="307"/>
      <c r="R31" s="307"/>
      <c r="S31" s="307"/>
      <c r="T31" s="307"/>
      <c r="U31" s="307"/>
      <c r="V31" s="307"/>
      <c r="W31" s="307"/>
      <c r="X31" s="307"/>
    </row>
    <row r="32" spans="1:45" ht="19.8">
      <c r="B32" s="575"/>
      <c r="C32" s="571"/>
      <c r="D32" s="21" t="s">
        <v>303</v>
      </c>
      <c r="E32" s="21" t="s">
        <v>302</v>
      </c>
      <c r="F32" s="39">
        <v>16000</v>
      </c>
      <c r="G32" s="7"/>
      <c r="H32" s="307"/>
      <c r="I32" s="307"/>
      <c r="J32" s="307"/>
      <c r="K32" s="307"/>
      <c r="L32" s="307"/>
      <c r="M32" s="307"/>
      <c r="N32" s="307"/>
      <c r="O32" s="307"/>
      <c r="P32" s="307"/>
      <c r="Q32" s="307"/>
      <c r="R32" s="307"/>
      <c r="S32" s="307"/>
      <c r="T32" s="307"/>
      <c r="U32" s="307"/>
      <c r="V32" s="307"/>
      <c r="W32" s="307"/>
      <c r="X32" s="307"/>
    </row>
    <row r="33" spans="2:24" ht="19.8">
      <c r="B33" s="575"/>
      <c r="C33" s="571"/>
      <c r="D33" s="21" t="s">
        <v>304</v>
      </c>
      <c r="E33" s="21" t="s">
        <v>302</v>
      </c>
      <c r="F33" s="39">
        <v>48000</v>
      </c>
      <c r="G33" s="7"/>
      <c r="H33" s="307"/>
      <c r="I33" s="307"/>
      <c r="J33" s="307"/>
      <c r="K33" s="307"/>
      <c r="L33" s="307"/>
      <c r="M33" s="307"/>
      <c r="N33" s="307"/>
      <c r="O33" s="307"/>
      <c r="P33" s="307"/>
      <c r="Q33" s="307"/>
      <c r="R33" s="307"/>
      <c r="S33" s="307"/>
      <c r="T33" s="307"/>
      <c r="U33" s="307"/>
      <c r="V33" s="307"/>
      <c r="W33" s="307"/>
      <c r="X33" s="307"/>
    </row>
    <row r="34" spans="2:24" ht="20.399999999999999" thickBot="1">
      <c r="B34" s="576"/>
      <c r="C34" s="577"/>
      <c r="D34" s="415"/>
      <c r="E34" s="415"/>
      <c r="F34" s="416"/>
      <c r="G34" s="7"/>
      <c r="H34" s="307"/>
      <c r="I34" s="307"/>
      <c r="J34" s="307"/>
      <c r="K34" s="307"/>
      <c r="L34" s="307"/>
      <c r="M34" s="307"/>
      <c r="N34" s="307"/>
      <c r="O34" s="307"/>
      <c r="P34" s="307"/>
      <c r="Q34" s="307"/>
      <c r="R34" s="307"/>
      <c r="S34" s="307"/>
      <c r="T34" s="307"/>
      <c r="U34" s="307"/>
      <c r="V34" s="307"/>
      <c r="W34" s="307"/>
      <c r="X34" s="307"/>
    </row>
    <row r="35" spans="2:24" ht="19.8">
      <c r="F35" s="367"/>
      <c r="H35" s="307"/>
      <c r="I35" s="307"/>
      <c r="J35" s="307"/>
      <c r="K35" s="307"/>
      <c r="L35" s="307"/>
      <c r="M35" s="307"/>
      <c r="N35" s="307"/>
      <c r="O35" s="307"/>
      <c r="P35" s="307"/>
      <c r="Q35" s="307"/>
      <c r="R35" s="307"/>
      <c r="S35" s="307"/>
      <c r="T35" s="307"/>
      <c r="U35" s="307"/>
      <c r="V35" s="307"/>
      <c r="W35" s="307"/>
      <c r="X35" s="307"/>
    </row>
    <row r="36" spans="2:24" ht="19.8">
      <c r="F36" s="367"/>
      <c r="H36" s="307"/>
      <c r="I36" s="307"/>
      <c r="J36" s="307"/>
      <c r="K36" s="307"/>
      <c r="L36" s="307"/>
      <c r="M36" s="307"/>
      <c r="N36" s="307"/>
      <c r="O36" s="307"/>
      <c r="P36" s="307"/>
      <c r="Q36" s="307"/>
      <c r="R36" s="307"/>
      <c r="S36" s="307"/>
      <c r="T36" s="307"/>
      <c r="U36" s="307"/>
      <c r="V36" s="307"/>
      <c r="W36" s="307"/>
      <c r="X36" s="307"/>
    </row>
    <row r="37" spans="2:24" ht="19.8">
      <c r="F37" s="367"/>
      <c r="H37" s="307"/>
      <c r="I37" s="307"/>
      <c r="J37" s="307"/>
      <c r="K37" s="307"/>
      <c r="L37" s="307"/>
      <c r="M37" s="307"/>
      <c r="N37" s="307"/>
      <c r="O37" s="307"/>
      <c r="P37" s="307"/>
      <c r="Q37" s="307"/>
      <c r="R37" s="307"/>
      <c r="S37" s="307"/>
      <c r="T37" s="307"/>
      <c r="U37" s="307"/>
      <c r="V37" s="307"/>
      <c r="W37" s="307"/>
      <c r="X37" s="307"/>
    </row>
    <row r="38" spans="2:24" ht="19.8">
      <c r="F38" s="367"/>
      <c r="H38" s="307"/>
      <c r="I38" s="307"/>
      <c r="J38" s="307"/>
      <c r="K38" s="307"/>
      <c r="L38" s="307"/>
      <c r="M38" s="307"/>
      <c r="N38" s="307"/>
      <c r="O38" s="307"/>
      <c r="P38" s="307"/>
      <c r="Q38" s="307"/>
      <c r="R38" s="307"/>
      <c r="S38" s="307"/>
      <c r="T38" s="307"/>
      <c r="U38" s="307"/>
      <c r="V38" s="307"/>
      <c r="W38" s="307"/>
      <c r="X38" s="307"/>
    </row>
  </sheetData>
  <mergeCells count="10">
    <mergeCell ref="B27:B34"/>
    <mergeCell ref="C27:C28"/>
    <mergeCell ref="C31:C34"/>
    <mergeCell ref="C29:C30"/>
    <mergeCell ref="B25:F25"/>
    <mergeCell ref="C16:C20"/>
    <mergeCell ref="F3:J4"/>
    <mergeCell ref="C6:C10"/>
    <mergeCell ref="C11:C15"/>
    <mergeCell ref="B6:B20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7" tint="0.79998168889431442"/>
  </sheetPr>
  <dimension ref="A2:AR72"/>
  <sheetViews>
    <sheetView zoomScale="70" zoomScaleNormal="70" workbookViewId="0">
      <selection activeCell="V9" sqref="V9:X10"/>
    </sheetView>
  </sheetViews>
  <sheetFormatPr baseColWidth="10" defaultColWidth="12.5546875" defaultRowHeight="14.4"/>
  <cols>
    <col min="1" max="1" width="7.44140625" style="7" customWidth="1"/>
    <col min="2" max="2" width="14.88671875" style="7" customWidth="1"/>
    <col min="3" max="3" width="7.5546875" style="8" hidden="1" customWidth="1"/>
    <col min="4" max="4" width="8.44140625" style="8" hidden="1" customWidth="1"/>
    <col min="5" max="5" width="17.44140625" style="8" customWidth="1"/>
    <col min="6" max="6" width="24.44140625" style="8" hidden="1" customWidth="1"/>
    <col min="7" max="8" width="35.44140625" style="8" customWidth="1"/>
    <col min="9" max="9" width="14.44140625" style="374" customWidth="1"/>
    <col min="10" max="10" width="16.44140625" style="374" customWidth="1"/>
    <col min="11" max="11" width="17.44140625" style="8" customWidth="1" collapsed="1"/>
    <col min="12" max="12" width="17.44140625" style="374" customWidth="1"/>
    <col min="13" max="13" width="14.109375" style="8" customWidth="1" collapsed="1"/>
    <col min="14" max="14" width="21.109375" style="8" customWidth="1"/>
    <col min="15" max="15" width="13.5546875" style="374" customWidth="1" collapsed="1"/>
    <col min="16" max="16" width="11.44140625" style="8" customWidth="1" collapsed="1"/>
    <col min="17" max="17" width="12.5546875" style="7" customWidth="1" collapsed="1"/>
    <col min="18" max="18" width="12.5546875" style="7" customWidth="1"/>
    <col min="19" max="19" width="17.5546875" style="365" customWidth="1"/>
    <col min="20" max="21" width="12.5546875" style="7" customWidth="1"/>
    <col min="22" max="22" width="17.5546875" style="365" customWidth="1"/>
    <col min="23" max="23" width="17.88671875" style="7" customWidth="1"/>
    <col min="24" max="24" width="29" style="7" customWidth="1"/>
    <col min="25" max="25" width="26.109375" style="7" hidden="1" customWidth="1"/>
    <col min="26" max="26" width="12.5546875" style="7"/>
    <col min="27" max="27" width="14.5546875" style="364" bestFit="1" customWidth="1"/>
    <col min="28" max="28" width="12.5546875" style="7" collapsed="1"/>
    <col min="29" max="35" width="12.5546875" style="7"/>
    <col min="36" max="36" width="12.5546875" style="7" collapsed="1"/>
    <col min="37" max="41" width="12.5546875" style="7"/>
    <col min="42" max="42" width="12.5546875" style="7" collapsed="1"/>
    <col min="43" max="44" width="12.5546875" style="7"/>
    <col min="45" max="16384" width="12.5546875" style="7" collapsed="1"/>
  </cols>
  <sheetData>
    <row r="2" spans="2:28">
      <c r="M2" s="9"/>
      <c r="N2" s="368"/>
      <c r="W2" s="373"/>
      <c r="X2" s="53"/>
    </row>
    <row r="3" spans="2:28">
      <c r="I3" s="569" t="s">
        <v>264</v>
      </c>
      <c r="J3" s="569"/>
      <c r="K3" s="569"/>
      <c r="L3" s="569"/>
      <c r="M3" s="569"/>
      <c r="N3" s="369"/>
      <c r="X3" s="373"/>
    </row>
    <row r="4" spans="2:28" ht="15" thickBot="1">
      <c r="I4" s="569"/>
      <c r="J4" s="569"/>
      <c r="K4" s="569"/>
      <c r="L4" s="569"/>
      <c r="M4" s="569"/>
      <c r="N4" s="9"/>
      <c r="X4" s="373"/>
    </row>
    <row r="5" spans="2:28" ht="24.6" customHeight="1" thickBot="1">
      <c r="B5" s="180" t="s">
        <v>237</v>
      </c>
      <c r="C5" s="181" t="s">
        <v>305</v>
      </c>
      <c r="D5" s="181" t="s">
        <v>306</v>
      </c>
      <c r="E5" s="181" t="s">
        <v>265</v>
      </c>
      <c r="F5" s="181" t="s">
        <v>307</v>
      </c>
      <c r="G5" s="181" t="s">
        <v>266</v>
      </c>
      <c r="H5" s="181" t="s">
        <v>267</v>
      </c>
      <c r="I5" s="375" t="s">
        <v>268</v>
      </c>
      <c r="J5" s="375" t="s">
        <v>269</v>
      </c>
      <c r="K5" s="181" t="s">
        <v>270</v>
      </c>
      <c r="L5" s="375" t="s">
        <v>198</v>
      </c>
      <c r="M5" s="181" t="s">
        <v>271</v>
      </c>
      <c r="N5" s="181" t="s">
        <v>272</v>
      </c>
      <c r="O5" s="375" t="s">
        <v>273</v>
      </c>
      <c r="P5" s="181" t="s">
        <v>274</v>
      </c>
      <c r="Q5" s="181" t="s">
        <v>275</v>
      </c>
      <c r="R5" s="191" t="s">
        <v>276</v>
      </c>
      <c r="S5" s="380" t="s">
        <v>277</v>
      </c>
      <c r="T5" s="191" t="s">
        <v>278</v>
      </c>
      <c r="U5" s="190" t="s">
        <v>279</v>
      </c>
      <c r="V5" s="380" t="s">
        <v>200</v>
      </c>
      <c r="W5" s="190" t="s">
        <v>192</v>
      </c>
      <c r="X5" s="181" t="s">
        <v>280</v>
      </c>
      <c r="Y5" s="12" t="s">
        <v>281</v>
      </c>
    </row>
    <row r="6" spans="2:28" ht="21.6" customHeight="1">
      <c r="B6" s="574" t="s">
        <v>417</v>
      </c>
      <c r="C6" s="337"/>
      <c r="D6" s="50"/>
      <c r="E6" s="571" t="s">
        <v>282</v>
      </c>
      <c r="F6" s="50"/>
      <c r="G6" s="21" t="s">
        <v>308</v>
      </c>
      <c r="H6" s="21" t="s">
        <v>284</v>
      </c>
      <c r="I6" s="379">
        <v>36000000</v>
      </c>
      <c r="J6" s="379">
        <f>L6/M6</f>
        <v>16766689.56228956</v>
      </c>
      <c r="K6" s="59">
        <f>J6/I6</f>
        <v>0.46574137673026555</v>
      </c>
      <c r="L6" s="379">
        <f>N6/Q6*1000</f>
        <v>50300068.686868683</v>
      </c>
      <c r="M6" s="43">
        <v>3</v>
      </c>
      <c r="N6" s="39">
        <v>497970.68</v>
      </c>
      <c r="O6" s="49">
        <f>L6*P6</f>
        <v>179130.20666841342</v>
      </c>
      <c r="P6" s="36">
        <v>3.5612318500705563E-3</v>
      </c>
      <c r="Q6" s="38">
        <v>9.9</v>
      </c>
      <c r="R6" s="38">
        <v>4.87</v>
      </c>
      <c r="S6" s="49">
        <f>N6/R6</f>
        <v>102252.70636550308</v>
      </c>
      <c r="T6" s="38">
        <v>79.677126865671653</v>
      </c>
      <c r="U6" s="62">
        <f>V6/O6</f>
        <v>3.4890024995163846E-2</v>
      </c>
      <c r="V6" s="49">
        <f>N6/T6</f>
        <v>6249.8573880498097</v>
      </c>
      <c r="W6" s="37">
        <f>N6*0.1%</f>
        <v>497.97068000000002</v>
      </c>
      <c r="X6" s="39">
        <f>N6+W6</f>
        <v>498468.65068000002</v>
      </c>
      <c r="Y6" s="39">
        <f>N6</f>
        <v>497970.68</v>
      </c>
      <c r="Z6" s="373"/>
      <c r="AA6" s="452"/>
    </row>
    <row r="7" spans="2:28" ht="21.6" customHeight="1">
      <c r="B7" s="575"/>
      <c r="C7" s="337"/>
      <c r="D7" s="50"/>
      <c r="E7" s="571"/>
      <c r="F7" s="50"/>
      <c r="G7" s="21" t="s">
        <v>309</v>
      </c>
      <c r="H7" s="21" t="s">
        <v>200</v>
      </c>
      <c r="I7" s="379">
        <v>8100000</v>
      </c>
      <c r="J7" s="379">
        <f>L7/M7</f>
        <v>4246606.2419060143</v>
      </c>
      <c r="K7" s="59">
        <f t="shared" ref="K7:K10" si="0">J7/I7</f>
        <v>0.52427237554395234</v>
      </c>
      <c r="L7" s="379">
        <f t="shared" ref="L7:L10" si="1">N7/Q7*1000</f>
        <v>21233031.20953007</v>
      </c>
      <c r="M7" s="43">
        <v>5</v>
      </c>
      <c r="N7" s="39">
        <v>173560.44</v>
      </c>
      <c r="O7" s="49">
        <f t="shared" ref="O7:O10" si="2">L7*P7</f>
        <v>33462.557125234416</v>
      </c>
      <c r="P7" s="36">
        <v>1.5759670296257718E-3</v>
      </c>
      <c r="Q7" s="38">
        <v>8.17407737441183</v>
      </c>
      <c r="R7" s="38">
        <v>6</v>
      </c>
      <c r="S7" s="49">
        <f t="shared" ref="S7:S49" si="3">N7/R7</f>
        <v>28926.74</v>
      </c>
      <c r="T7" s="38">
        <v>34.001868898186892</v>
      </c>
      <c r="U7" s="62">
        <f t="shared" ref="U7:U49" si="4">V7/O7</f>
        <v>0.15254178650299371</v>
      </c>
      <c r="V7" s="49">
        <f t="shared" ref="V7:V10" si="5">N7/T7</f>
        <v>5104.4382448417391</v>
      </c>
      <c r="W7" s="37">
        <f>N7*0.1%</f>
        <v>173.56044</v>
      </c>
      <c r="X7" s="39">
        <f>N7+W7</f>
        <v>173734.00044</v>
      </c>
      <c r="Y7" s="39">
        <f>N7</f>
        <v>173560.44</v>
      </c>
      <c r="Z7" s="373"/>
      <c r="AA7" s="404"/>
    </row>
    <row r="8" spans="2:28" ht="21.6" customHeight="1">
      <c r="B8" s="575"/>
      <c r="C8" s="337"/>
      <c r="D8" s="50"/>
      <c r="E8" s="571"/>
      <c r="F8" s="50"/>
      <c r="G8" s="21" t="s">
        <v>242</v>
      </c>
      <c r="H8" s="21" t="s">
        <v>200</v>
      </c>
      <c r="I8" s="379">
        <v>1100000</v>
      </c>
      <c r="J8" s="379">
        <f>L8/M8</f>
        <v>815097.20463993703</v>
      </c>
      <c r="K8" s="59">
        <f t="shared" si="0"/>
        <v>0.74099745876357914</v>
      </c>
      <c r="L8" s="379">
        <f t="shared" si="1"/>
        <v>8150972.0463993708</v>
      </c>
      <c r="M8" s="43">
        <v>10</v>
      </c>
      <c r="N8" s="39">
        <v>73358.748417594339</v>
      </c>
      <c r="O8" s="49">
        <f t="shared" si="2"/>
        <v>25749.56038184866</v>
      </c>
      <c r="P8" s="36">
        <v>3.1590784798757013E-3</v>
      </c>
      <c r="Q8" s="38">
        <v>9</v>
      </c>
      <c r="R8" s="38">
        <v>6.1</v>
      </c>
      <c r="S8" s="49">
        <f t="shared" si="3"/>
        <v>12026.024330753171</v>
      </c>
      <c r="T8" s="38">
        <v>30.417610837438421</v>
      </c>
      <c r="U8" s="62">
        <f t="shared" si="4"/>
        <v>9.3660612842100463E-2</v>
      </c>
      <c r="V8" s="49">
        <f t="shared" si="5"/>
        <v>2411.7196057786159</v>
      </c>
      <c r="W8" s="37">
        <f>N8*0.1%</f>
        <v>73.358748417594342</v>
      </c>
      <c r="X8" s="39">
        <f>N8+W8</f>
        <v>73432.107166011934</v>
      </c>
      <c r="Y8" s="39">
        <f>N8</f>
        <v>73358.748417594339</v>
      </c>
      <c r="Z8" s="373"/>
    </row>
    <row r="9" spans="2:28" ht="21.6" customHeight="1">
      <c r="B9" s="575"/>
      <c r="C9" s="337"/>
      <c r="D9" s="50"/>
      <c r="E9" s="571"/>
      <c r="F9" s="50"/>
      <c r="G9" s="623" t="s">
        <v>310</v>
      </c>
      <c r="H9" s="623" t="s">
        <v>284</v>
      </c>
      <c r="I9" s="624">
        <v>2400000</v>
      </c>
      <c r="J9" s="624">
        <f>L9/M9</f>
        <v>1717499.7849462363</v>
      </c>
      <c r="K9" s="625">
        <f t="shared" si="0"/>
        <v>0.71562491039426512</v>
      </c>
      <c r="L9" s="624">
        <f t="shared" si="1"/>
        <v>13739998.27956989</v>
      </c>
      <c r="M9" s="43">
        <v>8</v>
      </c>
      <c r="N9" s="626">
        <v>127781.984</v>
      </c>
      <c r="O9" s="627">
        <f t="shared" si="2"/>
        <v>41219.994838709674</v>
      </c>
      <c r="P9" s="36">
        <v>3.0000000000000001E-3</v>
      </c>
      <c r="Q9" s="38">
        <v>9.3000000000000007</v>
      </c>
      <c r="R9" s="38">
        <v>6.5</v>
      </c>
      <c r="S9" s="627">
        <f t="shared" si="3"/>
        <v>19658.76676923077</v>
      </c>
      <c r="T9" s="38">
        <f>T6</f>
        <v>79.677126865671653</v>
      </c>
      <c r="U9" s="62">
        <f t="shared" si="4"/>
        <v>3.8907025415541363E-2</v>
      </c>
      <c r="V9" s="627">
        <f t="shared" si="5"/>
        <v>1603.747386818161</v>
      </c>
      <c r="W9" s="628">
        <f>N9*0.1%</f>
        <v>127.78198399999999</v>
      </c>
      <c r="X9" s="626">
        <f>N9+W9</f>
        <v>127909.765984</v>
      </c>
      <c r="Y9" s="39"/>
      <c r="AA9" s="404"/>
    </row>
    <row r="10" spans="2:28" ht="21.6" customHeight="1">
      <c r="B10" s="575"/>
      <c r="C10" s="337"/>
      <c r="D10" s="50"/>
      <c r="E10" s="571"/>
      <c r="F10" s="50"/>
      <c r="G10" s="623" t="s">
        <v>310</v>
      </c>
      <c r="H10" s="623" t="s">
        <v>200</v>
      </c>
      <c r="I10" s="624">
        <v>2400000</v>
      </c>
      <c r="J10" s="624">
        <f>L10/M10</f>
        <v>1300772.1333333331</v>
      </c>
      <c r="K10" s="625">
        <f t="shared" si="0"/>
        <v>0.54198838888888878</v>
      </c>
      <c r="L10" s="624">
        <f t="shared" si="1"/>
        <v>6503860.6666666651</v>
      </c>
      <c r="M10" s="43">
        <v>5</v>
      </c>
      <c r="N10" s="626">
        <v>58534.745999999992</v>
      </c>
      <c r="O10" s="627">
        <f t="shared" si="2"/>
        <v>9755.7909999999974</v>
      </c>
      <c r="P10" s="36">
        <v>1.5E-3</v>
      </c>
      <c r="Q10" s="38">
        <v>9</v>
      </c>
      <c r="R10" s="38">
        <v>8</v>
      </c>
      <c r="S10" s="627">
        <f t="shared" si="3"/>
        <v>7316.843249999999</v>
      </c>
      <c r="T10" s="38">
        <f>T7</f>
        <v>34.001868898186892</v>
      </c>
      <c r="U10" s="62">
        <f t="shared" si="4"/>
        <v>0.1764608886048597</v>
      </c>
      <c r="V10" s="627">
        <f t="shared" si="5"/>
        <v>1721.5155489032923</v>
      </c>
      <c r="W10" s="628">
        <f>N10*0.1%</f>
        <v>58.534745999999991</v>
      </c>
      <c r="X10" s="626">
        <f>N10+W10</f>
        <v>58593.280745999989</v>
      </c>
      <c r="Y10" s="39"/>
      <c r="Z10" s="373"/>
      <c r="AA10" s="404"/>
    </row>
    <row r="11" spans="2:28" ht="21.6" customHeight="1">
      <c r="B11" s="581"/>
      <c r="C11" s="338">
        <v>2226685</v>
      </c>
      <c r="D11" s="35">
        <f t="shared" ref="D11:D20" si="6">(C11/30)*91</f>
        <v>6754277.833333333</v>
      </c>
      <c r="E11" s="572"/>
      <c r="F11" s="35"/>
      <c r="G11" s="51" t="s">
        <v>243</v>
      </c>
      <c r="H11" s="51"/>
      <c r="I11" s="376"/>
      <c r="J11" s="376"/>
      <c r="K11" s="56"/>
      <c r="L11" s="376">
        <f>SUM(L6:L10)</f>
        <v>99927930.889034688</v>
      </c>
      <c r="M11" s="54"/>
      <c r="N11" s="53">
        <f>SUM(N6:N10)</f>
        <v>931206.59841759433</v>
      </c>
      <c r="O11" s="376">
        <f>SUM(O6:O10)</f>
        <v>289318.11001420615</v>
      </c>
      <c r="P11" s="55"/>
      <c r="Q11" s="56"/>
      <c r="R11" s="56"/>
      <c r="S11" s="376">
        <f>SUM(S6:S10)</f>
        <v>170181.08071548701</v>
      </c>
      <c r="T11" s="56"/>
      <c r="U11" s="56"/>
      <c r="V11" s="376">
        <f>SUM(V6:V10)</f>
        <v>17091.27817439162</v>
      </c>
      <c r="W11" s="53">
        <f>SUM(W6:W10)</f>
        <v>931.20659841759436</v>
      </c>
      <c r="X11" s="53">
        <f>SUM(X6:X10)</f>
        <v>932137.80501601205</v>
      </c>
      <c r="Y11" s="53">
        <f>N11</f>
        <v>931206.59841759433</v>
      </c>
      <c r="Z11" s="373"/>
      <c r="AB11" s="477"/>
    </row>
    <row r="12" spans="2:28" ht="21.6" customHeight="1">
      <c r="B12" s="580" t="s">
        <v>418</v>
      </c>
      <c r="C12" s="338"/>
      <c r="D12" s="35"/>
      <c r="E12" s="573" t="s">
        <v>282</v>
      </c>
      <c r="F12" s="35"/>
      <c r="G12" s="21" t="s">
        <v>311</v>
      </c>
      <c r="H12" s="21" t="s">
        <v>284</v>
      </c>
      <c r="I12" s="379">
        <v>32000000</v>
      </c>
      <c r="J12" s="379">
        <f>L12/M12</f>
        <v>7933221.4000000004</v>
      </c>
      <c r="K12" s="59">
        <f t="shared" ref="K12:K14" si="7">J12/I12</f>
        <v>0.24791316875000002</v>
      </c>
      <c r="L12" s="379">
        <f t="shared" ref="L12:L14" si="8">N12/Q12*1000</f>
        <v>39666107</v>
      </c>
      <c r="M12" s="43">
        <v>5</v>
      </c>
      <c r="N12" s="39">
        <v>396661.07</v>
      </c>
      <c r="O12" s="49">
        <f>L12*P12</f>
        <v>192475.99898027914</v>
      </c>
      <c r="P12" s="62">
        <v>4.8524045725051651E-3</v>
      </c>
      <c r="Q12" s="38">
        <v>10</v>
      </c>
      <c r="R12" s="38">
        <v>5.5</v>
      </c>
      <c r="S12" s="49">
        <f>N12/R12</f>
        <v>72120.194545454549</v>
      </c>
      <c r="T12" s="38">
        <v>446.15258241758244</v>
      </c>
      <c r="U12" s="62">
        <f t="shared" si="4"/>
        <v>4.6191236233629699E-3</v>
      </c>
      <c r="V12" s="49">
        <f t="shared" ref="V12:V14" si="9">N12/T12</f>
        <v>889.07043382019424</v>
      </c>
      <c r="W12" s="37">
        <f>N12*0.1%</f>
        <v>396.66107</v>
      </c>
      <c r="X12" s="39">
        <f>N12+W12</f>
        <v>397057.73106999998</v>
      </c>
      <c r="Y12" s="39">
        <f>N12</f>
        <v>396661.07</v>
      </c>
      <c r="Z12" s="373"/>
      <c r="AB12" s="477"/>
    </row>
    <row r="13" spans="2:28" ht="21.6" customHeight="1">
      <c r="B13" s="575"/>
      <c r="C13" s="338"/>
      <c r="D13" s="35"/>
      <c r="E13" s="571"/>
      <c r="F13" s="35"/>
      <c r="G13" s="21" t="s">
        <v>309</v>
      </c>
      <c r="H13" s="21" t="s">
        <v>200</v>
      </c>
      <c r="I13" s="379">
        <v>5500000</v>
      </c>
      <c r="J13" s="379">
        <f>L13/M13</f>
        <v>3791786.5168539332</v>
      </c>
      <c r="K13" s="59">
        <f t="shared" si="7"/>
        <v>0.68941573033707881</v>
      </c>
      <c r="L13" s="379">
        <f t="shared" si="8"/>
        <v>18958932.584269665</v>
      </c>
      <c r="M13" s="43">
        <v>5</v>
      </c>
      <c r="N13" s="39">
        <v>168734.5</v>
      </c>
      <c r="O13" s="49">
        <f>L13*P13</f>
        <v>30871.596665561286</v>
      </c>
      <c r="P13" s="62">
        <v>1.628340442076134E-3</v>
      </c>
      <c r="Q13" s="38">
        <v>8.9</v>
      </c>
      <c r="R13" s="38">
        <v>4.5</v>
      </c>
      <c r="S13" s="49">
        <f t="shared" si="3"/>
        <v>37496.555555555555</v>
      </c>
      <c r="T13" s="38">
        <v>64.39034645669291</v>
      </c>
      <c r="U13" s="62">
        <f t="shared" si="4"/>
        <v>8.4883647949868746E-2</v>
      </c>
      <c r="V13" s="49">
        <f t="shared" si="9"/>
        <v>2620.4937430098462</v>
      </c>
      <c r="W13" s="37">
        <f>N13*0.1%</f>
        <v>168.7345</v>
      </c>
      <c r="X13" s="39">
        <f>N13+W13</f>
        <v>168903.23449999999</v>
      </c>
      <c r="Y13" s="39">
        <f>N13</f>
        <v>168734.5</v>
      </c>
      <c r="Z13" s="373"/>
    </row>
    <row r="14" spans="2:28" ht="21.6" customHeight="1">
      <c r="B14" s="575"/>
      <c r="C14" s="338"/>
      <c r="D14" s="35"/>
      <c r="E14" s="571"/>
      <c r="F14" s="35"/>
      <c r="G14" s="21" t="s">
        <v>242</v>
      </c>
      <c r="H14" s="21" t="s">
        <v>200</v>
      </c>
      <c r="I14" s="379">
        <v>300000</v>
      </c>
      <c r="J14" s="379">
        <f>L14/M14</f>
        <v>252785.41961869001</v>
      </c>
      <c r="K14" s="59">
        <f t="shared" si="7"/>
        <v>0.84261806539563333</v>
      </c>
      <c r="L14" s="379">
        <f t="shared" si="8"/>
        <v>2527854.1961869001</v>
      </c>
      <c r="M14" s="43">
        <v>10</v>
      </c>
      <c r="N14" s="39">
        <v>25278.541961868999</v>
      </c>
      <c r="O14" s="49">
        <f>L14*P14</f>
        <v>12697.949635623871</v>
      </c>
      <c r="P14" s="62">
        <v>5.0232128319655E-3</v>
      </c>
      <c r="Q14" s="38">
        <v>10</v>
      </c>
      <c r="R14" s="38">
        <v>5.8</v>
      </c>
      <c r="S14" s="49">
        <f t="shared" si="3"/>
        <v>4358.369303770517</v>
      </c>
      <c r="T14" s="38">
        <v>39.854829931972787</v>
      </c>
      <c r="U14" s="62">
        <f t="shared" si="4"/>
        <v>4.9950226315245053E-2</v>
      </c>
      <c r="V14" s="49">
        <f t="shared" si="9"/>
        <v>634.2654580389958</v>
      </c>
      <c r="W14" s="37">
        <f>N14*0.1%</f>
        <v>25.278541961868999</v>
      </c>
      <c r="X14" s="39">
        <f>N14+W14</f>
        <v>25303.82050383087</v>
      </c>
      <c r="Y14" s="39">
        <f>N14</f>
        <v>25278.541961868999</v>
      </c>
      <c r="Z14" s="373"/>
    </row>
    <row r="15" spans="2:28" ht="21.6" hidden="1" customHeight="1">
      <c r="B15" s="575"/>
      <c r="C15" s="338"/>
      <c r="D15" s="35"/>
      <c r="E15" s="571"/>
      <c r="F15" s="35"/>
      <c r="G15" s="21" t="s">
        <v>310</v>
      </c>
      <c r="H15" s="21" t="s">
        <v>200</v>
      </c>
      <c r="I15" s="379">
        <v>1900000</v>
      </c>
      <c r="J15" s="379" t="e">
        <f>L15/M15</f>
        <v>#DIV/0!</v>
      </c>
      <c r="K15" s="59"/>
      <c r="L15" s="379"/>
      <c r="M15" s="43"/>
      <c r="N15" s="39"/>
      <c r="O15" s="49"/>
      <c r="P15" s="36"/>
      <c r="Q15" s="38"/>
      <c r="R15" s="38"/>
      <c r="S15" s="49" t="e">
        <f t="shared" si="3"/>
        <v>#DIV/0!</v>
      </c>
      <c r="T15" s="38"/>
      <c r="U15" s="62" t="e">
        <f t="shared" si="4"/>
        <v>#DIV/0!</v>
      </c>
      <c r="V15" s="49"/>
      <c r="W15" s="37"/>
      <c r="X15" s="39"/>
      <c r="Y15" s="39"/>
    </row>
    <row r="16" spans="2:28" ht="21.6" customHeight="1">
      <c r="B16" s="581"/>
      <c r="C16" s="338">
        <v>690432</v>
      </c>
      <c r="D16" s="35">
        <f>(C16/30)*91</f>
        <v>2094310.4000000001</v>
      </c>
      <c r="E16" s="572"/>
      <c r="F16" s="35"/>
      <c r="G16" s="51" t="s">
        <v>243</v>
      </c>
      <c r="H16" s="51"/>
      <c r="I16" s="376"/>
      <c r="J16" s="376"/>
      <c r="K16" s="52"/>
      <c r="L16" s="376">
        <f>SUM(L12:L14)</f>
        <v>61152893.780456565</v>
      </c>
      <c r="M16" s="54"/>
      <c r="N16" s="53">
        <f>SUM(N12:N14)</f>
        <v>590674.11196186906</v>
      </c>
      <c r="O16" s="376">
        <f>SUM(O12:O14)</f>
        <v>236045.54528146429</v>
      </c>
      <c r="P16" s="55"/>
      <c r="Q16" s="56"/>
      <c r="R16" s="56"/>
      <c r="S16" s="376">
        <f>SUM(S12:S14)</f>
        <v>113975.11940478063</v>
      </c>
      <c r="T16" s="56"/>
      <c r="U16" s="56"/>
      <c r="V16" s="376">
        <f>SUM(V12:V14)</f>
        <v>4143.8296348690365</v>
      </c>
      <c r="W16" s="53">
        <f>SUM(W12:W14)</f>
        <v>590.67411196186902</v>
      </c>
      <c r="X16" s="53">
        <f>SUM(X12:X14)</f>
        <v>591264.78607383091</v>
      </c>
      <c r="Y16" s="53">
        <f t="shared" ref="Y16:Y39" si="10">N16</f>
        <v>590674.11196186906</v>
      </c>
      <c r="Z16" s="373"/>
    </row>
    <row r="17" spans="2:26" ht="21.6" customHeight="1">
      <c r="B17" s="580" t="s">
        <v>419</v>
      </c>
      <c r="C17" s="338"/>
      <c r="D17" s="35"/>
      <c r="E17" s="573" t="s">
        <v>282</v>
      </c>
      <c r="F17" s="35"/>
      <c r="G17" s="21" t="s">
        <v>311</v>
      </c>
      <c r="H17" s="21" t="s">
        <v>284</v>
      </c>
      <c r="I17" s="379">
        <v>40000000</v>
      </c>
      <c r="J17" s="379">
        <f>L17/M17</f>
        <v>14776790.530590676</v>
      </c>
      <c r="K17" s="59">
        <f t="shared" ref="K17:K19" si="11">J17/I17</f>
        <v>0.36941976326476689</v>
      </c>
      <c r="L17" s="379">
        <f t="shared" ref="L17:L19" si="12">N17/Q17*1000</f>
        <v>59107162.122362703</v>
      </c>
      <c r="M17" s="43">
        <v>4</v>
      </c>
      <c r="N17" s="39">
        <v>437392.99970548402</v>
      </c>
      <c r="O17" s="49">
        <f>L17*P17</f>
        <v>393704.24085681752</v>
      </c>
      <c r="P17" s="36">
        <v>6.6608550761035907E-3</v>
      </c>
      <c r="Q17" s="38">
        <v>7.4</v>
      </c>
      <c r="R17" s="38">
        <v>1.9</v>
      </c>
      <c r="S17" s="49">
        <f t="shared" si="3"/>
        <v>230206.84195025475</v>
      </c>
      <c r="T17" s="38">
        <v>74.238459657701711</v>
      </c>
      <c r="U17" s="62">
        <f t="shared" si="4"/>
        <v>1.4964864292813016E-2</v>
      </c>
      <c r="V17" s="49">
        <f t="shared" ref="V17:V19" si="13">N17/T17</f>
        <v>5891.7305359272441</v>
      </c>
      <c r="W17" s="37">
        <f>N17*0.1%</f>
        <v>437.39299970548404</v>
      </c>
      <c r="X17" s="39">
        <f>N17+W17</f>
        <v>437830.39270518953</v>
      </c>
      <c r="Y17" s="39">
        <f t="shared" si="10"/>
        <v>437392.99970548402</v>
      </c>
      <c r="Z17" s="373"/>
    </row>
    <row r="18" spans="2:26" ht="21.6" customHeight="1">
      <c r="B18" s="575"/>
      <c r="C18" s="338"/>
      <c r="D18" s="35"/>
      <c r="E18" s="571"/>
      <c r="F18" s="35"/>
      <c r="G18" s="21" t="s">
        <v>309</v>
      </c>
      <c r="H18" s="21" t="s">
        <v>200</v>
      </c>
      <c r="I18" s="379">
        <v>6400000</v>
      </c>
      <c r="J18" s="379">
        <f>L18/M18</f>
        <v>3560817.4682094385</v>
      </c>
      <c r="K18" s="59">
        <f t="shared" si="11"/>
        <v>0.55637772940772479</v>
      </c>
      <c r="L18" s="379">
        <f t="shared" si="12"/>
        <v>28486539.745675508</v>
      </c>
      <c r="M18" s="43">
        <v>8</v>
      </c>
      <c r="N18" s="39">
        <v>139584.04475381001</v>
      </c>
      <c r="O18" s="49">
        <f>L18*P18</f>
        <v>73458.980050249287</v>
      </c>
      <c r="P18" s="36">
        <v>2.5787259774645308E-3</v>
      </c>
      <c r="Q18" s="38">
        <v>4.9000000000000004</v>
      </c>
      <c r="R18" s="38">
        <v>2.1</v>
      </c>
      <c r="S18" s="49">
        <f t="shared" si="3"/>
        <v>66468.592739909524</v>
      </c>
      <c r="T18" s="38">
        <v>32.94559822747415</v>
      </c>
      <c r="U18" s="62">
        <f t="shared" si="4"/>
        <v>5.7675781367877405E-2</v>
      </c>
      <c r="V18" s="49">
        <f t="shared" si="13"/>
        <v>4236.8040728854457</v>
      </c>
      <c r="W18" s="37">
        <f>N18*0.1%</f>
        <v>139.58404475381002</v>
      </c>
      <c r="X18" s="39">
        <f>N18+W18</f>
        <v>139723.62879856382</v>
      </c>
      <c r="Y18" s="39">
        <f t="shared" si="10"/>
        <v>139584.04475381001</v>
      </c>
      <c r="Z18" s="373"/>
    </row>
    <row r="19" spans="2:26" ht="21.6" customHeight="1">
      <c r="B19" s="575"/>
      <c r="C19" s="338"/>
      <c r="D19" s="35"/>
      <c r="E19" s="571"/>
      <c r="F19" s="35"/>
      <c r="G19" s="21" t="s">
        <v>242</v>
      </c>
      <c r="H19" s="21" t="s">
        <v>200</v>
      </c>
      <c r="I19" s="379">
        <v>640000</v>
      </c>
      <c r="J19" s="379">
        <f>L19/M19</f>
        <v>495668.44915787468</v>
      </c>
      <c r="K19" s="59">
        <f t="shared" si="11"/>
        <v>0.77448195180917923</v>
      </c>
      <c r="L19" s="379">
        <f t="shared" si="12"/>
        <v>3965347.5932629975</v>
      </c>
      <c r="M19" s="43">
        <v>8</v>
      </c>
      <c r="N19" s="39">
        <v>30136.641708798779</v>
      </c>
      <c r="O19" s="49">
        <f>L19*P19</f>
        <v>16143.779371258735</v>
      </c>
      <c r="P19" s="36">
        <v>4.071214185280129E-3</v>
      </c>
      <c r="Q19" s="38">
        <v>7.6</v>
      </c>
      <c r="R19" s="38">
        <v>2.5</v>
      </c>
      <c r="S19" s="49">
        <f t="shared" si="3"/>
        <v>12054.656683519512</v>
      </c>
      <c r="T19" s="38">
        <v>46.897407407407407</v>
      </c>
      <c r="U19" s="62">
        <f t="shared" si="4"/>
        <v>3.9805291309318626E-2</v>
      </c>
      <c r="V19" s="49">
        <f t="shared" si="13"/>
        <v>642.60784070632269</v>
      </c>
      <c r="W19" s="37">
        <f>N19*0.1%</f>
        <v>30.136641708798781</v>
      </c>
      <c r="X19" s="39">
        <f>N19+W19</f>
        <v>30166.778350507579</v>
      </c>
      <c r="Y19" s="39">
        <f t="shared" si="10"/>
        <v>30136.641708798779</v>
      </c>
      <c r="Z19" s="364"/>
    </row>
    <row r="20" spans="2:26" ht="21.6" customHeight="1">
      <c r="B20" s="581"/>
      <c r="C20" s="338">
        <v>976894</v>
      </c>
      <c r="D20" s="35">
        <f t="shared" si="6"/>
        <v>2963245.1333333333</v>
      </c>
      <c r="E20" s="572"/>
      <c r="F20" s="35"/>
      <c r="G20" s="51" t="s">
        <v>243</v>
      </c>
      <c r="H20" s="51"/>
      <c r="I20" s="376"/>
      <c r="J20" s="376"/>
      <c r="K20" s="52"/>
      <c r="L20" s="376">
        <f>SUM(L17:L19)</f>
        <v>91559049.461301208</v>
      </c>
      <c r="M20" s="54"/>
      <c r="N20" s="53">
        <f>SUM(N17:N19)</f>
        <v>607113.68616809289</v>
      </c>
      <c r="O20" s="376">
        <f>SUM(O17:O19)</f>
        <v>483307.00027832558</v>
      </c>
      <c r="P20" s="55"/>
      <c r="Q20" s="56"/>
      <c r="R20" s="56"/>
      <c r="S20" s="376">
        <f>SUM(S17:S19)</f>
        <v>308730.09137368377</v>
      </c>
      <c r="T20" s="56"/>
      <c r="U20" s="56"/>
      <c r="V20" s="376">
        <f>SUM(V17:V19)</f>
        <v>10771.142449519013</v>
      </c>
      <c r="W20" s="53">
        <f>SUM(W17:W19)</f>
        <v>607.11368616809295</v>
      </c>
      <c r="X20" s="53">
        <f>SUM(X17:X19)</f>
        <v>607720.79985426099</v>
      </c>
      <c r="Y20" s="53">
        <f t="shared" si="10"/>
        <v>607113.68616809289</v>
      </c>
      <c r="Z20" s="373"/>
    </row>
    <row r="21" spans="2:26" ht="21.6" customHeight="1">
      <c r="B21" s="580" t="s">
        <v>421</v>
      </c>
      <c r="C21" s="338"/>
      <c r="D21" s="35"/>
      <c r="E21" s="573" t="s">
        <v>282</v>
      </c>
      <c r="F21" s="35"/>
      <c r="G21" s="21" t="s">
        <v>311</v>
      </c>
      <c r="H21" s="21" t="s">
        <v>284</v>
      </c>
      <c r="I21" s="379">
        <v>29000000</v>
      </c>
      <c r="J21" s="379">
        <f>L21/M21</f>
        <v>17165510.625</v>
      </c>
      <c r="K21" s="59">
        <f t="shared" ref="K21:K23" si="14">J21/I21</f>
        <v>0.59191415948275861</v>
      </c>
      <c r="L21" s="379">
        <f t="shared" ref="L21:L23" si="15">N21/Q21*1000</f>
        <v>68662042.5</v>
      </c>
      <c r="M21" s="43">
        <v>4</v>
      </c>
      <c r="N21" s="39">
        <v>274648.17</v>
      </c>
      <c r="O21" s="49">
        <f>L21*P21</f>
        <v>357042.62099999998</v>
      </c>
      <c r="P21" s="36">
        <v>5.1999999999999998E-3</v>
      </c>
      <c r="Q21" s="38">
        <v>4</v>
      </c>
      <c r="R21" s="38">
        <v>1</v>
      </c>
      <c r="S21" s="49">
        <f>N21/R21</f>
        <v>274648.17</v>
      </c>
      <c r="T21" s="38">
        <v>45.77567713976164</v>
      </c>
      <c r="U21" s="62">
        <f>V21/O21</f>
        <v>1.6804355878388536E-2</v>
      </c>
      <c r="V21" s="49">
        <f t="shared" ref="V21:V23" si="16">N21/T21</f>
        <v>5999.8712670365994</v>
      </c>
      <c r="W21" s="37">
        <f>N21*0.1%</f>
        <v>274.64816999999999</v>
      </c>
      <c r="X21" s="39">
        <f>N21+W21</f>
        <v>274922.81816999998</v>
      </c>
      <c r="Y21" s="39">
        <f t="shared" si="10"/>
        <v>274648.17</v>
      </c>
      <c r="Z21" s="373"/>
    </row>
    <row r="22" spans="2:26" ht="21.6" customHeight="1">
      <c r="B22" s="575"/>
      <c r="C22" s="338"/>
      <c r="D22" s="35"/>
      <c r="E22" s="571"/>
      <c r="F22" s="35"/>
      <c r="G22" s="21" t="s">
        <v>309</v>
      </c>
      <c r="H22" s="21" t="s">
        <v>200</v>
      </c>
      <c r="I22" s="379">
        <v>4000000</v>
      </c>
      <c r="J22" s="379">
        <f>L22/M22</f>
        <v>2147854.1666666665</v>
      </c>
      <c r="K22" s="59">
        <f t="shared" si="14"/>
        <v>0.5369635416666666</v>
      </c>
      <c r="L22" s="379">
        <f t="shared" si="15"/>
        <v>12887125</v>
      </c>
      <c r="M22" s="43">
        <v>6</v>
      </c>
      <c r="N22" s="39">
        <v>103097</v>
      </c>
      <c r="O22" s="49">
        <f>L22*P22</f>
        <v>21908.112499999999</v>
      </c>
      <c r="P22" s="36">
        <v>1.6999999999999999E-3</v>
      </c>
      <c r="Q22" s="38">
        <v>8</v>
      </c>
      <c r="R22" s="38">
        <v>4</v>
      </c>
      <c r="S22" s="49">
        <f>N22/R22</f>
        <v>25774.25</v>
      </c>
      <c r="T22" s="38">
        <v>52.972827988338196</v>
      </c>
      <c r="U22" s="62">
        <f>V22/O22</f>
        <v>8.8835777353196282E-2</v>
      </c>
      <c r="V22" s="49">
        <f t="shared" si="16"/>
        <v>1946.2242042787764</v>
      </c>
      <c r="W22" s="37">
        <f>N22*0.1%</f>
        <v>103.09700000000001</v>
      </c>
      <c r="X22" s="39">
        <f>N22+W22</f>
        <v>103200.09699999999</v>
      </c>
      <c r="Y22" s="39">
        <f t="shared" si="10"/>
        <v>103097</v>
      </c>
      <c r="Z22" s="373"/>
    </row>
    <row r="23" spans="2:26" ht="21.6" customHeight="1">
      <c r="B23" s="575"/>
      <c r="C23" s="338"/>
      <c r="D23" s="35"/>
      <c r="E23" s="571"/>
      <c r="F23" s="35"/>
      <c r="G23" s="21" t="s">
        <v>242</v>
      </c>
      <c r="H23" s="21" t="s">
        <v>200</v>
      </c>
      <c r="I23" s="379">
        <v>2400000</v>
      </c>
      <c r="J23" s="379">
        <f>L23/M23</f>
        <v>1755296.5307311749</v>
      </c>
      <c r="K23" s="59">
        <f t="shared" si="14"/>
        <v>0.73137355447132291</v>
      </c>
      <c r="L23" s="379">
        <f t="shared" si="15"/>
        <v>12287075.715118224</v>
      </c>
      <c r="M23" s="43">
        <v>7</v>
      </c>
      <c r="N23" s="39">
        <v>49148.302860472897</v>
      </c>
      <c r="O23" s="49">
        <f>L23*P23</f>
        <v>23345.443858724626</v>
      </c>
      <c r="P23" s="36">
        <v>1.9E-3</v>
      </c>
      <c r="Q23" s="38">
        <v>4</v>
      </c>
      <c r="R23" s="38">
        <v>1.5</v>
      </c>
      <c r="S23" s="49">
        <f>N23/R23</f>
        <v>32765.535240315265</v>
      </c>
      <c r="T23" s="38">
        <v>42.384374999999999</v>
      </c>
      <c r="U23" s="62">
        <f>V23/O23</f>
        <v>4.9670737338812637E-2</v>
      </c>
      <c r="V23" s="49">
        <f t="shared" si="16"/>
        <v>1159.5854099647074</v>
      </c>
      <c r="W23" s="37">
        <f>N23*0.1%</f>
        <v>49.148302860472896</v>
      </c>
      <c r="X23" s="39">
        <f>N23+W23</f>
        <v>49197.451163333368</v>
      </c>
      <c r="Y23" s="39">
        <f t="shared" si="10"/>
        <v>49148.302860472897</v>
      </c>
    </row>
    <row r="24" spans="2:26" ht="21.6" customHeight="1">
      <c r="B24" s="581"/>
      <c r="C24" s="338"/>
      <c r="D24" s="35"/>
      <c r="E24" s="572"/>
      <c r="F24" s="35"/>
      <c r="G24" s="51" t="s">
        <v>243</v>
      </c>
      <c r="H24" s="51"/>
      <c r="I24" s="376"/>
      <c r="J24" s="376"/>
      <c r="K24" s="52"/>
      <c r="L24" s="376">
        <f>SUM(L21:L23)</f>
        <v>93836243.215118229</v>
      </c>
      <c r="M24" s="54"/>
      <c r="N24" s="53">
        <f>SUM(N21:N23)</f>
        <v>426893.47286047286</v>
      </c>
      <c r="O24" s="376">
        <f>SUM(O21:O23)</f>
        <v>402296.17735872458</v>
      </c>
      <c r="P24" s="55"/>
      <c r="Q24" s="56"/>
      <c r="R24" s="56"/>
      <c r="S24" s="376">
        <f>SUM(S21:S23)</f>
        <v>333187.95524031523</v>
      </c>
      <c r="T24" s="56"/>
      <c r="U24" s="56"/>
      <c r="V24" s="376">
        <f>SUM(V21:V23)</f>
        <v>9105.6808812800828</v>
      </c>
      <c r="W24" s="53">
        <f>SUM(W21:W23)</f>
        <v>426.89347286047291</v>
      </c>
      <c r="X24" s="53">
        <f>SUM(X21:X23)</f>
        <v>427320.36633333337</v>
      </c>
      <c r="Y24" s="53">
        <f t="shared" si="10"/>
        <v>426893.47286047286</v>
      </c>
      <c r="Z24" s="373"/>
    </row>
    <row r="25" spans="2:26" ht="21.6" customHeight="1">
      <c r="B25" s="580" t="s">
        <v>431</v>
      </c>
      <c r="C25" s="338"/>
      <c r="D25" s="35"/>
      <c r="E25" s="573" t="s">
        <v>282</v>
      </c>
      <c r="F25" s="35"/>
      <c r="G25" s="21" t="s">
        <v>313</v>
      </c>
      <c r="H25" s="460" t="s">
        <v>284</v>
      </c>
      <c r="I25" s="379">
        <v>6800000</v>
      </c>
      <c r="J25" s="379">
        <f>L25/M25</f>
        <v>4954482.7586206896</v>
      </c>
      <c r="K25" s="59">
        <f t="shared" ref="K25:K27" si="17">J25/I25</f>
        <v>0.72860040567951323</v>
      </c>
      <c r="L25" s="379">
        <f t="shared" ref="L25:L27" si="18">N25/Q25*1000</f>
        <v>49544827.586206898</v>
      </c>
      <c r="M25" s="43">
        <v>10</v>
      </c>
      <c r="N25" s="39">
        <v>71840</v>
      </c>
      <c r="O25" s="49">
        <f>L25*P25</f>
        <v>8422620.6896551736</v>
      </c>
      <c r="P25" s="36">
        <v>0.17</v>
      </c>
      <c r="Q25" s="38">
        <v>1.45</v>
      </c>
      <c r="R25" s="38">
        <v>5.1557327905255397</v>
      </c>
      <c r="S25" s="49">
        <f t="shared" si="3"/>
        <v>13934.003742788449</v>
      </c>
      <c r="T25" s="38">
        <v>83.507241379310344</v>
      </c>
      <c r="U25" s="62">
        <f t="shared" si="4"/>
        <v>1.0213978600925401E-4</v>
      </c>
      <c r="V25" s="49">
        <f t="shared" ref="V25:V27" si="19">N25/T25</f>
        <v>860.28467487849491</v>
      </c>
      <c r="W25" s="37">
        <f>N25*0.1%</f>
        <v>71.84</v>
      </c>
      <c r="X25" s="39">
        <f>N25+W25</f>
        <v>71911.839999999997</v>
      </c>
      <c r="Y25" s="39">
        <f t="shared" si="10"/>
        <v>71840</v>
      </c>
    </row>
    <row r="26" spans="2:26" ht="21.6" customHeight="1">
      <c r="B26" s="575"/>
      <c r="C26" s="338"/>
      <c r="D26" s="35"/>
      <c r="E26" s="571"/>
      <c r="F26" s="35"/>
      <c r="G26" s="21" t="s">
        <v>309</v>
      </c>
      <c r="H26" s="21" t="s">
        <v>200</v>
      </c>
      <c r="I26" s="379">
        <v>410000</v>
      </c>
      <c r="J26" s="379">
        <f>L26/M26</f>
        <v>367486.11700528709</v>
      </c>
      <c r="K26" s="59">
        <f t="shared" si="17"/>
        <v>0.89630760245191976</v>
      </c>
      <c r="L26" s="379">
        <f t="shared" si="18"/>
        <v>3307375.0530475839</v>
      </c>
      <c r="M26" s="43">
        <v>9</v>
      </c>
      <c r="N26" s="39">
        <v>8630</v>
      </c>
      <c r="O26" s="49">
        <f>L26*P26</f>
        <v>4499.7988612452036</v>
      </c>
      <c r="P26" s="36">
        <v>1.3605348014882254E-3</v>
      </c>
      <c r="Q26" s="38">
        <v>2.6093200382726107</v>
      </c>
      <c r="R26" s="38">
        <v>6.155732790525537</v>
      </c>
      <c r="S26" s="49">
        <f t="shared" si="3"/>
        <v>1401.9451938009197</v>
      </c>
      <c r="T26" s="38">
        <v>83.507241379310344</v>
      </c>
      <c r="U26" s="62">
        <f t="shared" si="4"/>
        <v>2.296643344703813E-2</v>
      </c>
      <c r="V26" s="49">
        <f t="shared" si="19"/>
        <v>103.34433107184593</v>
      </c>
      <c r="W26" s="37">
        <f>N26*0.1%</f>
        <v>8.6300000000000008</v>
      </c>
      <c r="X26" s="39">
        <f>N26+W26</f>
        <v>8638.6299999999992</v>
      </c>
      <c r="Y26" s="39">
        <f t="shared" si="10"/>
        <v>8630</v>
      </c>
    </row>
    <row r="27" spans="2:26" ht="21.6" customHeight="1">
      <c r="B27" s="575"/>
      <c r="C27" s="338"/>
      <c r="D27" s="35"/>
      <c r="E27" s="571"/>
      <c r="F27" s="35"/>
      <c r="G27" s="21" t="s">
        <v>242</v>
      </c>
      <c r="H27" s="21" t="s">
        <v>200</v>
      </c>
      <c r="I27" s="379">
        <v>410000</v>
      </c>
      <c r="J27" s="379">
        <f>L27/M27</f>
        <v>325071.03308077942</v>
      </c>
      <c r="K27" s="59">
        <f t="shared" si="17"/>
        <v>0.79285617824580346</v>
      </c>
      <c r="L27" s="379">
        <f t="shared" si="18"/>
        <v>2091242.908912333</v>
      </c>
      <c r="M27" s="43">
        <v>6.4331875070291602</v>
      </c>
      <c r="N27" s="39">
        <v>7725</v>
      </c>
      <c r="O27" s="49">
        <f>L27*P27</f>
        <v>5376.4838365536043</v>
      </c>
      <c r="P27" s="36">
        <v>2.5709513771166562E-3</v>
      </c>
      <c r="Q27" s="38">
        <v>3.6939754664931845</v>
      </c>
      <c r="R27" s="38">
        <v>4.2301575931232094</v>
      </c>
      <c r="S27" s="49">
        <f t="shared" si="3"/>
        <v>1826.1730987418082</v>
      </c>
      <c r="T27" s="38">
        <v>39.36866666666667</v>
      </c>
      <c r="U27" s="62">
        <f t="shared" si="4"/>
        <v>3.6496350364963501E-2</v>
      </c>
      <c r="V27" s="49">
        <f t="shared" si="19"/>
        <v>196.22203783042352</v>
      </c>
      <c r="W27" s="37">
        <f>N27*0.1%</f>
        <v>7.7250000000000005</v>
      </c>
      <c r="X27" s="39">
        <f>N27+W27</f>
        <v>7732.7250000000004</v>
      </c>
      <c r="Y27" s="39">
        <f t="shared" si="10"/>
        <v>7725</v>
      </c>
    </row>
    <row r="28" spans="2:26" ht="21.6" customHeight="1">
      <c r="B28" s="581"/>
      <c r="C28" s="338">
        <v>933374</v>
      </c>
      <c r="D28" s="35">
        <f>(C28/30)*91</f>
        <v>2831234.4666666668</v>
      </c>
      <c r="E28" s="572"/>
      <c r="F28" s="35"/>
      <c r="G28" s="51" t="s">
        <v>243</v>
      </c>
      <c r="H28" s="51"/>
      <c r="I28" s="376"/>
      <c r="J28" s="376"/>
      <c r="K28" s="52"/>
      <c r="L28" s="376">
        <f>SUM(L25:L27)</f>
        <v>54943445.548166811</v>
      </c>
      <c r="M28" s="54"/>
      <c r="N28" s="53">
        <f>SUM(N25:N27)</f>
        <v>88195</v>
      </c>
      <c r="O28" s="376">
        <f>SUM(O25:O27)</f>
        <v>8432496.9723529723</v>
      </c>
      <c r="P28" s="55"/>
      <c r="Q28" s="56"/>
      <c r="R28" s="56"/>
      <c r="S28" s="376">
        <f>SUM(S25:S27)</f>
        <v>17162.122035331176</v>
      </c>
      <c r="T28" s="56"/>
      <c r="U28" s="56"/>
      <c r="V28" s="376">
        <f>SUM(V25:V27)</f>
        <v>1159.8510437807643</v>
      </c>
      <c r="W28" s="53">
        <f>SUM(W25:W27)</f>
        <v>88.194999999999993</v>
      </c>
      <c r="X28" s="53">
        <f>SUM(X25:X27)</f>
        <v>88283.195000000007</v>
      </c>
      <c r="Y28" s="53">
        <f t="shared" si="10"/>
        <v>88195</v>
      </c>
      <c r="Z28" s="373"/>
    </row>
    <row r="29" spans="2:26" ht="21.6" customHeight="1">
      <c r="B29" s="580" t="s">
        <v>424</v>
      </c>
      <c r="C29" s="338"/>
      <c r="D29" s="35"/>
      <c r="E29" s="573" t="s">
        <v>282</v>
      </c>
      <c r="F29" s="35"/>
      <c r="G29" s="21" t="s">
        <v>313</v>
      </c>
      <c r="H29" s="460" t="s">
        <v>284</v>
      </c>
      <c r="I29" s="379">
        <v>16000000</v>
      </c>
      <c r="J29" s="379">
        <f>L29/M29</f>
        <v>8918394.4462294579</v>
      </c>
      <c r="K29" s="59">
        <f t="shared" ref="K29:K31" si="20">J29/I29</f>
        <v>0.55739965288934112</v>
      </c>
      <c r="L29" s="379">
        <f t="shared" ref="L29:L31" si="21">N29/Q29*1000</f>
        <v>35673577.784917831</v>
      </c>
      <c r="M29" s="43">
        <v>4</v>
      </c>
      <c r="N29" s="39">
        <v>65996.118902097995</v>
      </c>
      <c r="O29" s="49">
        <f>L29*P29</f>
        <v>178367.88892458915</v>
      </c>
      <c r="P29" s="36">
        <v>5.0000000000000001E-3</v>
      </c>
      <c r="Q29" s="38">
        <v>1.85</v>
      </c>
      <c r="R29" s="38">
        <v>0.7</v>
      </c>
      <c r="S29" s="49">
        <f t="shared" si="3"/>
        <v>94280.169860139998</v>
      </c>
      <c r="T29" s="38">
        <v>4.5340551583248212</v>
      </c>
      <c r="U29" s="62">
        <f t="shared" si="4"/>
        <v>8.1604653468023189E-2</v>
      </c>
      <c r="V29" s="49">
        <f t="shared" ref="V29:V31" si="22">N29/T29</f>
        <v>14555.649765513948</v>
      </c>
      <c r="W29" s="37">
        <f>N29*0.1%</f>
        <v>65.99611890209799</v>
      </c>
      <c r="X29" s="39">
        <f>N29+W29</f>
        <v>66062.115021000092</v>
      </c>
      <c r="Y29" s="39">
        <f t="shared" si="10"/>
        <v>65996.118902097995</v>
      </c>
    </row>
    <row r="30" spans="2:26" ht="21.6" customHeight="1">
      <c r="B30" s="575"/>
      <c r="C30" s="338"/>
      <c r="D30" s="35"/>
      <c r="E30" s="571"/>
      <c r="F30" s="35"/>
      <c r="G30" s="21" t="s">
        <v>309</v>
      </c>
      <c r="H30" s="21" t="s">
        <v>200</v>
      </c>
      <c r="I30" s="379">
        <v>630000</v>
      </c>
      <c r="J30" s="379">
        <f>L30/M30</f>
        <v>451733.33333333331</v>
      </c>
      <c r="K30" s="59">
        <f t="shared" si="20"/>
        <v>0.71703703703703703</v>
      </c>
      <c r="L30" s="379">
        <f t="shared" si="21"/>
        <v>2258666.6666666665</v>
      </c>
      <c r="M30" s="43">
        <v>5</v>
      </c>
      <c r="N30" s="39">
        <v>5285.28</v>
      </c>
      <c r="O30" s="49">
        <f>L30*P30</f>
        <v>8357.0666666666657</v>
      </c>
      <c r="P30" s="36">
        <v>3.7000000000000002E-3</v>
      </c>
      <c r="Q30" s="38">
        <v>2.34</v>
      </c>
      <c r="R30" s="38">
        <v>0.77641745414118957</v>
      </c>
      <c r="S30" s="49">
        <f t="shared" si="3"/>
        <v>6807.265823056684</v>
      </c>
      <c r="T30" s="38">
        <v>4.5340551583248212</v>
      </c>
      <c r="U30" s="62">
        <f t="shared" si="4"/>
        <v>0.13948494456915578</v>
      </c>
      <c r="V30" s="49">
        <f t="shared" si="22"/>
        <v>1165.6849807607393</v>
      </c>
      <c r="W30" s="37">
        <f>N30*0.1%</f>
        <v>5.2852800000000002</v>
      </c>
      <c r="X30" s="39">
        <f>N30+W30</f>
        <v>5290.5652799999998</v>
      </c>
      <c r="Y30" s="39">
        <f t="shared" si="10"/>
        <v>5285.28</v>
      </c>
      <c r="Z30" s="515"/>
    </row>
    <row r="31" spans="2:26" ht="21.6" customHeight="1">
      <c r="B31" s="575"/>
      <c r="C31" s="338"/>
      <c r="D31" s="35"/>
      <c r="E31" s="571"/>
      <c r="F31" s="35"/>
      <c r="G31" s="21" t="s">
        <v>242</v>
      </c>
      <c r="H31" s="21" t="s">
        <v>200</v>
      </c>
      <c r="I31" s="379">
        <v>630000</v>
      </c>
      <c r="J31" s="379">
        <f>L31/M31</f>
        <v>429282.70042194088</v>
      </c>
      <c r="K31" s="59">
        <f t="shared" si="20"/>
        <v>0.68140111178085849</v>
      </c>
      <c r="L31" s="379">
        <f t="shared" si="21"/>
        <v>2146413.5021097045</v>
      </c>
      <c r="M31" s="43">
        <v>5</v>
      </c>
      <c r="N31" s="39">
        <v>5087</v>
      </c>
      <c r="O31" s="49">
        <f>L31*P31</f>
        <v>16312.742616033755</v>
      </c>
      <c r="P31" s="36">
        <v>7.6E-3</v>
      </c>
      <c r="Q31" s="38">
        <v>2.37</v>
      </c>
      <c r="R31" s="38">
        <v>0.6182080924855492</v>
      </c>
      <c r="S31" s="49">
        <f t="shared" si="3"/>
        <v>8228.6208508648888</v>
      </c>
      <c r="T31" s="38">
        <v>4.1134615384615385</v>
      </c>
      <c r="U31" s="62">
        <f t="shared" si="4"/>
        <v>7.5810142466966865E-2</v>
      </c>
      <c r="V31" s="49">
        <f t="shared" si="22"/>
        <v>1236.6713417484807</v>
      </c>
      <c r="W31" s="37">
        <f>N31*0.1%</f>
        <v>5.0869999999999997</v>
      </c>
      <c r="X31" s="39">
        <f>N31+W31</f>
        <v>5092.0870000000004</v>
      </c>
      <c r="Y31" s="39">
        <f t="shared" si="10"/>
        <v>5087</v>
      </c>
    </row>
    <row r="32" spans="2:26" ht="21.6" customHeight="1">
      <c r="B32" s="581"/>
      <c r="C32" s="338">
        <v>880768</v>
      </c>
      <c r="D32" s="35">
        <f>(C32/30)*91</f>
        <v>2671662.9333333336</v>
      </c>
      <c r="E32" s="572"/>
      <c r="F32" s="35"/>
      <c r="G32" s="51" t="s">
        <v>243</v>
      </c>
      <c r="H32" s="51"/>
      <c r="I32" s="376"/>
      <c r="J32" s="376"/>
      <c r="K32" s="52"/>
      <c r="L32" s="376">
        <f>SUM(L29:L31)</f>
        <v>40078657.953694202</v>
      </c>
      <c r="M32" s="54"/>
      <c r="N32" s="53">
        <f>SUM(N29:N31)</f>
        <v>76368.398902097993</v>
      </c>
      <c r="O32" s="376">
        <f>SUM(O29:O31)</f>
        <v>203037.69820728956</v>
      </c>
      <c r="P32" s="55"/>
      <c r="Q32" s="56"/>
      <c r="R32" s="56"/>
      <c r="S32" s="376">
        <f>SUM(S29:S31)</f>
        <v>109316.05653406157</v>
      </c>
      <c r="T32" s="56"/>
      <c r="U32" s="56"/>
      <c r="V32" s="376">
        <f>SUM(V29:V31)</f>
        <v>16958.006088023169</v>
      </c>
      <c r="W32" s="53">
        <f>SUM(W29:W31)</f>
        <v>76.368398902097994</v>
      </c>
      <c r="X32" s="53">
        <f>SUM(X29:X31)</f>
        <v>76444.767301000087</v>
      </c>
      <c r="Y32" s="53">
        <f t="shared" si="10"/>
        <v>76368.398902097993</v>
      </c>
      <c r="Z32" s="373"/>
    </row>
    <row r="33" spans="2:26" ht="21.6" customHeight="1">
      <c r="B33" s="580" t="s">
        <v>425</v>
      </c>
      <c r="C33" s="338"/>
      <c r="D33" s="35"/>
      <c r="E33" s="573" t="s">
        <v>282</v>
      </c>
      <c r="F33" s="35"/>
      <c r="G33" s="21" t="s">
        <v>315</v>
      </c>
      <c r="H33" s="21" t="s">
        <v>284</v>
      </c>
      <c r="I33" s="379">
        <v>11700000</v>
      </c>
      <c r="J33" s="379">
        <f>L33/M33</f>
        <v>6881720.4301075265</v>
      </c>
      <c r="K33" s="59">
        <f t="shared" ref="K33:K35" si="23">J33/I33</f>
        <v>0.58818123334252359</v>
      </c>
      <c r="L33" s="379">
        <f t="shared" ref="L33:L35" si="24">N33/Q33*1000</f>
        <v>20645161.290322579</v>
      </c>
      <c r="M33" s="43">
        <v>3</v>
      </c>
      <c r="N33" s="39">
        <v>160000</v>
      </c>
      <c r="O33" s="49">
        <f>L33*P33</f>
        <v>43354.838709677417</v>
      </c>
      <c r="P33" s="36">
        <v>2.0999999999999999E-3</v>
      </c>
      <c r="Q33" s="38">
        <v>7.75</v>
      </c>
      <c r="R33" s="38">
        <v>6.5</v>
      </c>
      <c r="S33" s="49">
        <f t="shared" si="3"/>
        <v>24615.384615384617</v>
      </c>
      <c r="T33" s="38">
        <v>62.696982622432863</v>
      </c>
      <c r="U33" s="62">
        <f t="shared" si="4"/>
        <v>5.8862102067982855E-2</v>
      </c>
      <c r="V33" s="49">
        <f t="shared" ref="V33:V35" si="25">N33/T33</f>
        <v>2551.9569412699661</v>
      </c>
      <c r="W33" s="37">
        <f>N33*0.1%</f>
        <v>160</v>
      </c>
      <c r="X33" s="39">
        <f>N33+W33</f>
        <v>160160</v>
      </c>
      <c r="Y33" s="39">
        <f t="shared" si="10"/>
        <v>160000</v>
      </c>
      <c r="Z33" s="452"/>
    </row>
    <row r="34" spans="2:26" ht="21.6" customHeight="1">
      <c r="B34" s="575"/>
      <c r="C34" s="338"/>
      <c r="D34" s="35"/>
      <c r="E34" s="571"/>
      <c r="F34" s="35"/>
      <c r="G34" s="21" t="s">
        <v>316</v>
      </c>
      <c r="H34" s="21" t="s">
        <v>200</v>
      </c>
      <c r="I34" s="379">
        <v>7700000</v>
      </c>
      <c r="J34" s="379">
        <f>L34/M34</f>
        <v>3288888.888888889</v>
      </c>
      <c r="K34" s="59">
        <f t="shared" si="23"/>
        <v>0.42712842712842713</v>
      </c>
      <c r="L34" s="379">
        <f t="shared" si="24"/>
        <v>8222222.2222222229</v>
      </c>
      <c r="M34" s="43">
        <v>2.5</v>
      </c>
      <c r="N34" s="39">
        <v>74000</v>
      </c>
      <c r="O34" s="49">
        <f>L34*P34</f>
        <v>17266.666666666668</v>
      </c>
      <c r="P34" s="36">
        <v>2.0999999999999999E-3</v>
      </c>
      <c r="Q34" s="38">
        <v>9</v>
      </c>
      <c r="R34" s="38">
        <v>3</v>
      </c>
      <c r="S34" s="49">
        <f t="shared" si="3"/>
        <v>24666.666666666668</v>
      </c>
      <c r="T34" s="38">
        <v>45.549059233449476</v>
      </c>
      <c r="U34" s="62">
        <f t="shared" si="4"/>
        <v>9.4090072502903022E-2</v>
      </c>
      <c r="V34" s="49">
        <f t="shared" si="25"/>
        <v>1624.6219185501257</v>
      </c>
      <c r="W34" s="37">
        <f>N34*0.1%</f>
        <v>74</v>
      </c>
      <c r="X34" s="39">
        <f>N34+W34</f>
        <v>74074</v>
      </c>
      <c r="Y34" s="39">
        <f t="shared" si="10"/>
        <v>74000</v>
      </c>
      <c r="Z34" s="452"/>
    </row>
    <row r="35" spans="2:26" ht="21.6" customHeight="1">
      <c r="B35" s="575"/>
      <c r="C35" s="338"/>
      <c r="D35" s="35"/>
      <c r="E35" s="571"/>
      <c r="F35" s="35"/>
      <c r="G35" s="21" t="s">
        <v>242</v>
      </c>
      <c r="H35" s="21" t="s">
        <v>200</v>
      </c>
      <c r="I35" s="379">
        <v>150000</v>
      </c>
      <c r="J35" s="379">
        <f>L35/M35</f>
        <v>112888.92156862745</v>
      </c>
      <c r="K35" s="59">
        <f t="shared" si="23"/>
        <v>0.75259281045751636</v>
      </c>
      <c r="L35" s="379">
        <f t="shared" si="24"/>
        <v>959555.83333333337</v>
      </c>
      <c r="M35" s="43">
        <v>8.5</v>
      </c>
      <c r="N35" s="39">
        <v>11514.67</v>
      </c>
      <c r="O35" s="49">
        <f>L35*P35</f>
        <v>2878.6675</v>
      </c>
      <c r="P35" s="36">
        <v>3.0000000000000001E-3</v>
      </c>
      <c r="Q35" s="38">
        <v>12</v>
      </c>
      <c r="R35" s="38">
        <v>5.5</v>
      </c>
      <c r="S35" s="49">
        <f t="shared" si="3"/>
        <v>2093.5763636363636</v>
      </c>
      <c r="T35" s="38">
        <v>188.88000000000002</v>
      </c>
      <c r="U35" s="62">
        <f t="shared" si="4"/>
        <v>2.1177467174925878E-2</v>
      </c>
      <c r="V35" s="49">
        <f t="shared" si="25"/>
        <v>60.962886488775936</v>
      </c>
      <c r="W35" s="37">
        <f>N35*0.1%</f>
        <v>11.514670000000001</v>
      </c>
      <c r="X35" s="39">
        <f>N35+W35</f>
        <v>11526.184670000001</v>
      </c>
      <c r="Y35" s="39">
        <f t="shared" si="10"/>
        <v>11514.67</v>
      </c>
    </row>
    <row r="36" spans="2:26" ht="21.6" customHeight="1">
      <c r="B36" s="581"/>
      <c r="C36" s="338">
        <v>260287</v>
      </c>
      <c r="D36" s="35">
        <f>(C36/30)*91</f>
        <v>789537.2333333334</v>
      </c>
      <c r="E36" s="572"/>
      <c r="F36" s="35"/>
      <c r="G36" s="51" t="s">
        <v>243</v>
      </c>
      <c r="H36" s="51"/>
      <c r="I36" s="376"/>
      <c r="J36" s="376"/>
      <c r="K36" s="52"/>
      <c r="L36" s="376">
        <f>SUM(L33:L35)</f>
        <v>29826939.345878135</v>
      </c>
      <c r="M36" s="54"/>
      <c r="N36" s="53">
        <f>SUM(N33:N35)</f>
        <v>245514.67</v>
      </c>
      <c r="O36" s="376">
        <f>SUM(O33:O35)</f>
        <v>63500.172876344084</v>
      </c>
      <c r="P36" s="55"/>
      <c r="Q36" s="56"/>
      <c r="R36" s="56"/>
      <c r="S36" s="376">
        <f>SUM(S33:S35)</f>
        <v>51375.627645687644</v>
      </c>
      <c r="T36" s="56"/>
      <c r="U36" s="56"/>
      <c r="V36" s="376">
        <f>SUM(V33:V35)</f>
        <v>4237.5417463088679</v>
      </c>
      <c r="W36" s="53">
        <f>SUM(W33:W35)</f>
        <v>245.51467</v>
      </c>
      <c r="X36" s="53">
        <f>SUM(X33:X35)</f>
        <v>245760.18466999999</v>
      </c>
      <c r="Y36" s="53">
        <f t="shared" si="10"/>
        <v>245514.67</v>
      </c>
      <c r="Z36" s="373"/>
    </row>
    <row r="37" spans="2:26" ht="21.6" customHeight="1">
      <c r="B37" s="580" t="s">
        <v>426</v>
      </c>
      <c r="C37" s="338">
        <f>C3*0.99</f>
        <v>0</v>
      </c>
      <c r="D37" s="35">
        <f t="shared" ref="D37:D39" si="26">(C37/30)*91</f>
        <v>0</v>
      </c>
      <c r="E37" s="573" t="s">
        <v>282</v>
      </c>
      <c r="F37" s="35"/>
      <c r="G37" s="21" t="s">
        <v>313</v>
      </c>
      <c r="H37" s="460" t="s">
        <v>284</v>
      </c>
      <c r="I37" s="379">
        <v>22700000</v>
      </c>
      <c r="J37" s="379">
        <f t="shared" ref="J37:J38" si="27">L37/M37</f>
        <v>19032130.322580643</v>
      </c>
      <c r="K37" s="59">
        <f t="shared" ref="K37:K38" si="28">J37/I37</f>
        <v>0.83841983799914732</v>
      </c>
      <c r="L37" s="379">
        <f>N37/(Q37/1000)</f>
        <v>58999604</v>
      </c>
      <c r="M37" s="43">
        <v>3.1</v>
      </c>
      <c r="N37" s="39">
        <v>58999.603999999999</v>
      </c>
      <c r="O37" s="49">
        <f>L37*P37</f>
        <v>424797.14879999997</v>
      </c>
      <c r="P37" s="36">
        <v>7.1999999999999998E-3</v>
      </c>
      <c r="Q37" s="38">
        <v>1</v>
      </c>
      <c r="R37" s="38">
        <v>0.65</v>
      </c>
      <c r="S37" s="49">
        <f t="shared" ref="S37:S38" si="29">N37/R37</f>
        <v>90768.621538461535</v>
      </c>
      <c r="T37" s="38">
        <v>23.706363636363601</v>
      </c>
      <c r="U37" s="62">
        <f t="shared" ref="U37:U38" si="30">V37/O37</f>
        <v>5.8587175586830549E-3</v>
      </c>
      <c r="V37" s="49">
        <f t="shared" ref="V37:V38" si="31">N37/T37</f>
        <v>2488.7665145530582</v>
      </c>
      <c r="W37" s="37">
        <f>N37*0.1%</f>
        <v>58.999603999999998</v>
      </c>
      <c r="X37" s="39">
        <f>N37+W37</f>
        <v>59058.603603999996</v>
      </c>
      <c r="Y37" s="53">
        <f t="shared" si="10"/>
        <v>58999.603999999999</v>
      </c>
      <c r="Z37" s="373"/>
    </row>
    <row r="38" spans="2:26" ht="21.6" customHeight="1">
      <c r="B38" s="575"/>
      <c r="C38" s="338">
        <f>C4*0.99</f>
        <v>0</v>
      </c>
      <c r="D38" s="35">
        <f t="shared" si="26"/>
        <v>0</v>
      </c>
      <c r="E38" s="571"/>
      <c r="F38" s="35"/>
      <c r="G38" s="21" t="s">
        <v>317</v>
      </c>
      <c r="H38" s="21" t="s">
        <v>200</v>
      </c>
      <c r="I38" s="379">
        <f>I37*5%</f>
        <v>1135000</v>
      </c>
      <c r="J38" s="379">
        <f t="shared" si="27"/>
        <v>925885.18518518517</v>
      </c>
      <c r="K38" s="59">
        <f t="shared" si="28"/>
        <v>0.81575787240985476</v>
      </c>
      <c r="L38" s="379">
        <f>N38/(Q38/1000)</f>
        <v>5555311.111111111</v>
      </c>
      <c r="M38" s="43">
        <v>6</v>
      </c>
      <c r="N38" s="39">
        <v>5999.7359999999999</v>
      </c>
      <c r="O38" s="49">
        <f t="shared" ref="O38" si="32">L38*P38</f>
        <v>36665.05333333333</v>
      </c>
      <c r="P38" s="36">
        <v>6.6E-3</v>
      </c>
      <c r="Q38" s="38">
        <v>1.08</v>
      </c>
      <c r="R38" s="38">
        <v>0.66746524559777576</v>
      </c>
      <c r="S38" s="49">
        <f t="shared" si="29"/>
        <v>8988.8365567658748</v>
      </c>
      <c r="T38" s="38">
        <v>18.706363636363637</v>
      </c>
      <c r="U38" s="62">
        <f t="shared" si="30"/>
        <v>8.7476308499781323E-3</v>
      </c>
      <c r="V38" s="49">
        <f t="shared" si="31"/>
        <v>320.73235165476018</v>
      </c>
      <c r="W38" s="37">
        <f>N38*0.1%</f>
        <v>5.9997360000000004</v>
      </c>
      <c r="X38" s="39">
        <f>N38+W38</f>
        <v>6005.7357359999996</v>
      </c>
      <c r="Y38" s="53">
        <f t="shared" ref="Y38" si="33">N38</f>
        <v>5999.7359999999999</v>
      </c>
      <c r="Z38" s="373"/>
    </row>
    <row r="39" spans="2:26" ht="21.6" customHeight="1">
      <c r="B39" s="581"/>
      <c r="C39" s="338">
        <f>C6*0.99</f>
        <v>0</v>
      </c>
      <c r="D39" s="35">
        <f t="shared" si="26"/>
        <v>0</v>
      </c>
      <c r="E39" s="572"/>
      <c r="F39" s="35"/>
      <c r="G39" s="51" t="s">
        <v>243</v>
      </c>
      <c r="H39" s="51"/>
      <c r="I39" s="376"/>
      <c r="J39" s="376"/>
      <c r="K39" s="56"/>
      <c r="L39" s="376">
        <f>L37+L38</f>
        <v>64554915.111111112</v>
      </c>
      <c r="M39" s="54"/>
      <c r="N39" s="53">
        <f>N38+N37</f>
        <v>64999.34</v>
      </c>
      <c r="O39" s="376">
        <f>O37+O38</f>
        <v>461462.20213333331</v>
      </c>
      <c r="P39" s="55"/>
      <c r="Q39" s="56"/>
      <c r="R39" s="56"/>
      <c r="S39" s="376">
        <f>S38+S37</f>
        <v>99757.458095227412</v>
      </c>
      <c r="T39" s="56"/>
      <c r="U39" s="56"/>
      <c r="V39" s="376">
        <f>V38+V37</f>
        <v>2809.4988662078185</v>
      </c>
      <c r="W39" s="53">
        <f t="shared" ref="W39:X39" si="34">W38+W37</f>
        <v>64.999340000000004</v>
      </c>
      <c r="X39" s="53">
        <f t="shared" si="34"/>
        <v>65064.339339999999</v>
      </c>
      <c r="Y39" s="53">
        <f t="shared" si="10"/>
        <v>64999.34</v>
      </c>
      <c r="Z39" s="373"/>
    </row>
    <row r="40" spans="2:26" ht="21.6" customHeight="1">
      <c r="B40" s="580" t="s">
        <v>427</v>
      </c>
      <c r="C40" s="338">
        <f>C6*0.99</f>
        <v>0</v>
      </c>
      <c r="D40" s="35">
        <f t="shared" ref="D40:D42" si="35">(C40/30)*91</f>
        <v>0</v>
      </c>
      <c r="E40" s="573" t="s">
        <v>282</v>
      </c>
      <c r="F40" s="35"/>
      <c r="G40" s="21" t="s">
        <v>313</v>
      </c>
      <c r="H40" s="460" t="s">
        <v>284</v>
      </c>
      <c r="I40" s="379">
        <v>3555313</v>
      </c>
      <c r="J40" s="379">
        <f t="shared" ref="J40:J49" si="36">L40/M40</f>
        <v>1147431.2470588235</v>
      </c>
      <c r="K40" s="59">
        <f t="shared" ref="K40:K49" si="37">J40/I40</f>
        <v>0.3227370549537617</v>
      </c>
      <c r="L40" s="379">
        <f>N40/(Q40/1000)</f>
        <v>5737156.2352941176</v>
      </c>
      <c r="M40" s="43">
        <v>5</v>
      </c>
      <c r="N40" s="39">
        <v>48765.828000000001</v>
      </c>
      <c r="O40" s="49">
        <f>L40*P40</f>
        <v>14342.890588235294</v>
      </c>
      <c r="P40" s="36">
        <v>2.5000000000000001E-3</v>
      </c>
      <c r="Q40" s="38">
        <v>8.5</v>
      </c>
      <c r="R40" s="38">
        <v>6</v>
      </c>
      <c r="S40" s="49">
        <f t="shared" si="3"/>
        <v>8127.6379999999999</v>
      </c>
      <c r="T40" s="38">
        <v>45</v>
      </c>
      <c r="U40" s="62">
        <f t="shared" si="4"/>
        <v>7.5555555555555556E-2</v>
      </c>
      <c r="V40" s="49">
        <f t="shared" ref="V40:V49" si="38">N40/T40</f>
        <v>1083.6850666666667</v>
      </c>
      <c r="W40" s="37">
        <f>N40*0.1%</f>
        <v>48.765827999999999</v>
      </c>
      <c r="X40" s="39">
        <f>N40+W40</f>
        <v>48814.593828000005</v>
      </c>
      <c r="Y40" s="53"/>
      <c r="Z40" s="373"/>
    </row>
    <row r="41" spans="2:26" ht="21.6" customHeight="1">
      <c r="B41" s="575"/>
      <c r="C41" s="338">
        <f>C7*0.99</f>
        <v>0</v>
      </c>
      <c r="D41" s="35">
        <f t="shared" si="35"/>
        <v>0</v>
      </c>
      <c r="E41" s="571"/>
      <c r="F41" s="35"/>
      <c r="G41" s="21" t="s">
        <v>317</v>
      </c>
      <c r="H41" s="21" t="s">
        <v>200</v>
      </c>
      <c r="I41" s="379">
        <f>I40*5%</f>
        <v>177765.65000000002</v>
      </c>
      <c r="J41" s="379">
        <f t="shared" si="36"/>
        <v>81734.989473684211</v>
      </c>
      <c r="K41" s="59">
        <f t="shared" si="37"/>
        <v>0.45979068213507052</v>
      </c>
      <c r="L41" s="379">
        <f t="shared" ref="L41" si="39">N41/(Q41/1000)</f>
        <v>408674.94736842107</v>
      </c>
      <c r="M41" s="43">
        <v>5</v>
      </c>
      <c r="N41" s="39">
        <v>3882.4120000000003</v>
      </c>
      <c r="O41" s="49">
        <f>L41*P41</f>
        <v>817.3498947368422</v>
      </c>
      <c r="P41" s="36">
        <v>2E-3</v>
      </c>
      <c r="Q41" s="38">
        <v>9.5</v>
      </c>
      <c r="R41" s="38">
        <v>6.8</v>
      </c>
      <c r="S41" s="49">
        <f t="shared" si="3"/>
        <v>570.94294117647064</v>
      </c>
      <c r="T41" s="38">
        <v>40</v>
      </c>
      <c r="U41" s="62">
        <f t="shared" si="4"/>
        <v>0.11874999999999999</v>
      </c>
      <c r="V41" s="49">
        <f t="shared" si="38"/>
        <v>97.060300000000012</v>
      </c>
      <c r="W41" s="37">
        <f>N41*0.1%</f>
        <v>3.8824120000000004</v>
      </c>
      <c r="X41" s="39">
        <f>N41+W41</f>
        <v>3886.2944120000002</v>
      </c>
      <c r="Y41" s="53"/>
      <c r="Z41" s="373"/>
    </row>
    <row r="42" spans="2:26" ht="21.6" customHeight="1">
      <c r="B42" s="581"/>
      <c r="C42" s="338">
        <f>C10*0.99</f>
        <v>0</v>
      </c>
      <c r="D42" s="35">
        <f t="shared" si="35"/>
        <v>0</v>
      </c>
      <c r="E42" s="572"/>
      <c r="F42" s="35"/>
      <c r="G42" s="51" t="s">
        <v>243</v>
      </c>
      <c r="H42" s="51"/>
      <c r="I42" s="376"/>
      <c r="J42" s="376"/>
      <c r="K42" s="56"/>
      <c r="L42" s="376">
        <f>L40+L41</f>
        <v>6145831.1826625383</v>
      </c>
      <c r="M42" s="54"/>
      <c r="N42" s="53">
        <f>N41+N40</f>
        <v>52648.240000000005</v>
      </c>
      <c r="O42" s="376">
        <f>O40+O41</f>
        <v>15160.240482972136</v>
      </c>
      <c r="P42" s="55"/>
      <c r="Q42" s="56"/>
      <c r="R42" s="56"/>
      <c r="S42" s="376">
        <f>S41+S40</f>
        <v>8698.5809411764712</v>
      </c>
      <c r="T42" s="56"/>
      <c r="U42" s="56"/>
      <c r="V42" s="376">
        <f>V41+V40</f>
        <v>1180.7453666666668</v>
      </c>
      <c r="W42" s="53">
        <f t="shared" ref="W42:X42" si="40">W41+W40</f>
        <v>52.648240000000001</v>
      </c>
      <c r="X42" s="53">
        <f t="shared" si="40"/>
        <v>52700.888240000007</v>
      </c>
      <c r="Y42" s="53"/>
      <c r="Z42" s="373"/>
    </row>
    <row r="43" spans="2:26" ht="21.6" customHeight="1">
      <c r="B43" s="580" t="s">
        <v>428</v>
      </c>
      <c r="C43" s="338">
        <f>C10*0.99</f>
        <v>0</v>
      </c>
      <c r="D43" s="35">
        <f t="shared" ref="D43:D47" si="41">(C43/30)*91</f>
        <v>0</v>
      </c>
      <c r="E43" s="573" t="s">
        <v>282</v>
      </c>
      <c r="F43" s="35"/>
      <c r="G43" s="21" t="s">
        <v>313</v>
      </c>
      <c r="H43" s="460" t="s">
        <v>284</v>
      </c>
      <c r="I43" s="379">
        <v>3000000</v>
      </c>
      <c r="J43" s="379">
        <f t="shared" si="36"/>
        <v>1946969.7101648336</v>
      </c>
      <c r="K43" s="59">
        <f t="shared" si="37"/>
        <v>0.64898990338827789</v>
      </c>
      <c r="L43" s="379">
        <f t="shared" ref="L43:L46" si="42">N43/(Q43/1000)</f>
        <v>11681818.260989001</v>
      </c>
      <c r="M43" s="43">
        <v>6</v>
      </c>
      <c r="N43" s="478">
        <v>32709.0911307692</v>
      </c>
      <c r="O43" s="49">
        <f>L43*P43</f>
        <v>52568.1821744505</v>
      </c>
      <c r="P43" s="36">
        <v>4.4999999999999997E-3</v>
      </c>
      <c r="Q43" s="38">
        <v>2.8</v>
      </c>
      <c r="R43" s="38">
        <v>1.85</v>
      </c>
      <c r="S43" s="49">
        <f>N43/R43</f>
        <v>17680.589800415783</v>
      </c>
      <c r="T43" s="38">
        <v>60</v>
      </c>
      <c r="U43" s="62">
        <f t="shared" si="4"/>
        <v>1.037037037037037E-2</v>
      </c>
      <c r="V43" s="49">
        <f t="shared" si="38"/>
        <v>545.15151884615329</v>
      </c>
      <c r="W43" s="37">
        <f>N43*0.1%</f>
        <v>32.709091130769202</v>
      </c>
      <c r="X43" s="39">
        <f>N43+W43</f>
        <v>32741.800221899968</v>
      </c>
      <c r="Y43" s="53">
        <f t="shared" ref="Y43:Y53" si="43">N43</f>
        <v>32709.0911307692</v>
      </c>
      <c r="Z43" s="373"/>
    </row>
    <row r="44" spans="2:26" ht="21.6" customHeight="1">
      <c r="B44" s="575"/>
      <c r="C44" s="338">
        <f>C10*0.99</f>
        <v>0</v>
      </c>
      <c r="D44" s="35">
        <f t="shared" si="41"/>
        <v>0</v>
      </c>
      <c r="E44" s="571"/>
      <c r="F44" s="35"/>
      <c r="G44" s="21" t="s">
        <v>313</v>
      </c>
      <c r="H44" s="460" t="s">
        <v>284</v>
      </c>
      <c r="I44" s="379">
        <v>1200000</v>
      </c>
      <c r="J44" s="379">
        <f t="shared" si="36"/>
        <v>697030.2480212088</v>
      </c>
      <c r="K44" s="59">
        <f t="shared" si="37"/>
        <v>0.58085854001767401</v>
      </c>
      <c r="L44" s="379">
        <f t="shared" si="42"/>
        <v>4530696.6121378569</v>
      </c>
      <c r="M44" s="43">
        <v>6.5</v>
      </c>
      <c r="N44" s="478">
        <v>12685.950513985999</v>
      </c>
      <c r="O44" s="49">
        <f>L44*P44</f>
        <v>20388.134754620354</v>
      </c>
      <c r="P44" s="36">
        <v>4.4999999999999997E-3</v>
      </c>
      <c r="Q44" s="38">
        <v>2.8</v>
      </c>
      <c r="R44" s="38">
        <v>1.9210904480135249</v>
      </c>
      <c r="S44" s="49">
        <f t="shared" ref="S44:S46" si="44">N44/R44</f>
        <v>6603.5154810663489</v>
      </c>
      <c r="T44" s="38">
        <v>60</v>
      </c>
      <c r="U44" s="62">
        <f t="shared" si="4"/>
        <v>1.037037037037037E-2</v>
      </c>
      <c r="V44" s="49">
        <f t="shared" si="38"/>
        <v>211.43250856643331</v>
      </c>
      <c r="W44" s="37">
        <f>N44*0.1%</f>
        <v>12.685950513986</v>
      </c>
      <c r="X44" s="39">
        <f>N44+W44</f>
        <v>12698.636464499985</v>
      </c>
      <c r="Y44" s="53">
        <f t="shared" si="43"/>
        <v>12685.950513985999</v>
      </c>
      <c r="Z44" s="373"/>
    </row>
    <row r="45" spans="2:26" ht="21.6" customHeight="1">
      <c r="B45" s="575"/>
      <c r="C45" s="338">
        <f>C11*0.99</f>
        <v>2204418.15</v>
      </c>
      <c r="D45" s="35">
        <f t="shared" ref="D45" si="45">(C45/30)*91</f>
        <v>6686735.0549999997</v>
      </c>
      <c r="E45" s="571"/>
      <c r="F45" s="35"/>
      <c r="G45" s="21" t="s">
        <v>313</v>
      </c>
      <c r="H45" s="460" t="s">
        <v>284</v>
      </c>
      <c r="I45" s="379">
        <v>1500000</v>
      </c>
      <c r="J45" s="379">
        <f t="shared" si="36"/>
        <v>762786.30921078916</v>
      </c>
      <c r="K45" s="59">
        <f t="shared" si="37"/>
        <v>0.50852420614052607</v>
      </c>
      <c r="L45" s="379">
        <f t="shared" si="42"/>
        <v>3813931.5460539456</v>
      </c>
      <c r="M45" s="43">
        <v>5</v>
      </c>
      <c r="N45" s="478">
        <v>10679.008328951048</v>
      </c>
      <c r="O45" s="49">
        <f>L45*P45</f>
        <v>17162.691957242754</v>
      </c>
      <c r="P45" s="36">
        <v>4.4999999999999997E-3</v>
      </c>
      <c r="Q45" s="38">
        <v>2.8</v>
      </c>
      <c r="R45" s="38">
        <v>1.9210904480135249</v>
      </c>
      <c r="S45" s="49">
        <f t="shared" si="44"/>
        <v>5558.8264154837261</v>
      </c>
      <c r="T45" s="38">
        <v>60</v>
      </c>
      <c r="U45" s="62">
        <f t="shared" si="4"/>
        <v>1.0370370370370372E-2</v>
      </c>
      <c r="V45" s="49">
        <f t="shared" si="38"/>
        <v>177.98347214918414</v>
      </c>
      <c r="W45" s="37">
        <f>N45*0.1%</f>
        <v>10.679008328951047</v>
      </c>
      <c r="X45" s="39">
        <f>N45+W45</f>
        <v>10689.687337279998</v>
      </c>
      <c r="Y45" s="53">
        <f t="shared" ref="Y45" si="46">N45</f>
        <v>10679.008328951048</v>
      </c>
      <c r="Z45" s="373"/>
    </row>
    <row r="46" spans="2:26" ht="21.6" customHeight="1">
      <c r="B46" s="575"/>
      <c r="C46" s="338">
        <f>C11*0.99</f>
        <v>2204418.15</v>
      </c>
      <c r="D46" s="35">
        <f t="shared" si="41"/>
        <v>6686735.0549999997</v>
      </c>
      <c r="E46" s="571"/>
      <c r="F46" s="35"/>
      <c r="G46" s="21" t="s">
        <v>317</v>
      </c>
      <c r="H46" s="21" t="s">
        <v>200</v>
      </c>
      <c r="I46" s="379">
        <f>4000000*5%</f>
        <v>200000</v>
      </c>
      <c r="J46" s="379">
        <f t="shared" si="36"/>
        <v>146689.67484822866</v>
      </c>
      <c r="K46" s="59">
        <f t="shared" si="37"/>
        <v>0.73344837424114329</v>
      </c>
      <c r="L46" s="379">
        <f t="shared" si="42"/>
        <v>1026827.7239376007</v>
      </c>
      <c r="M46" s="43">
        <v>7</v>
      </c>
      <c r="N46" s="478">
        <v>2669.7520822377619</v>
      </c>
      <c r="O46" s="49">
        <f>L46*P46</f>
        <v>4107.3108957504028</v>
      </c>
      <c r="P46" s="36">
        <v>4.0000000000000001E-3</v>
      </c>
      <c r="Q46" s="38">
        <v>2.6</v>
      </c>
      <c r="R46" s="38">
        <v>1.9210904480135249</v>
      </c>
      <c r="S46" s="49">
        <f t="shared" si="44"/>
        <v>1389.7066038709315</v>
      </c>
      <c r="T46" s="38">
        <v>55.430487804878048</v>
      </c>
      <c r="U46" s="62">
        <f t="shared" si="4"/>
        <v>1.1726398697555717E-2</v>
      </c>
      <c r="V46" s="49">
        <f t="shared" si="38"/>
        <v>48.163965138383929</v>
      </c>
      <c r="W46" s="37">
        <f>N46*0.1%</f>
        <v>2.6697520822377618</v>
      </c>
      <c r="X46" s="39">
        <f>N46+W46</f>
        <v>2672.4218343199996</v>
      </c>
      <c r="Y46" s="53">
        <f t="shared" si="43"/>
        <v>2669.7520822377619</v>
      </c>
      <c r="Z46" s="373"/>
    </row>
    <row r="47" spans="2:26" ht="21.6" customHeight="1">
      <c r="B47" s="581"/>
      <c r="C47" s="338">
        <f>C13*0.99</f>
        <v>0</v>
      </c>
      <c r="D47" s="35">
        <f t="shared" si="41"/>
        <v>0</v>
      </c>
      <c r="E47" s="572"/>
      <c r="F47" s="35"/>
      <c r="G47" s="51" t="s">
        <v>243</v>
      </c>
      <c r="H47" s="51"/>
      <c r="I47" s="376"/>
      <c r="J47" s="376"/>
      <c r="K47" s="56"/>
      <c r="L47" s="376">
        <f>SUM(L43:L46)</f>
        <v>21053274.143118404</v>
      </c>
      <c r="M47" s="54"/>
      <c r="N47" s="53">
        <f>SUM(N43:N46)</f>
        <v>58743.802055944012</v>
      </c>
      <c r="O47" s="376">
        <f>SUM(O43:O46)</f>
        <v>94226.31978206402</v>
      </c>
      <c r="P47" s="55"/>
      <c r="Q47" s="56"/>
      <c r="R47" s="56"/>
      <c r="S47" s="376">
        <f>SUM(S43:S46)</f>
        <v>31232.638300836788</v>
      </c>
      <c r="T47" s="56"/>
      <c r="U47" s="56"/>
      <c r="V47" s="376">
        <f t="shared" ref="V47:X47" si="47">SUM(V43:V46)</f>
        <v>982.73146470015467</v>
      </c>
      <c r="W47" s="53">
        <f t="shared" si="47"/>
        <v>58.743802055944016</v>
      </c>
      <c r="X47" s="53">
        <f t="shared" si="47"/>
        <v>58802.545857999947</v>
      </c>
      <c r="Y47" s="53">
        <f t="shared" si="43"/>
        <v>58743.802055944012</v>
      </c>
      <c r="Z47" s="373"/>
    </row>
    <row r="48" spans="2:26" ht="21.6" customHeight="1">
      <c r="B48" s="580" t="s">
        <v>429</v>
      </c>
      <c r="C48" s="338">
        <f>C13*0.99</f>
        <v>0</v>
      </c>
      <c r="D48" s="35">
        <f t="shared" ref="D48" si="48">(C48/30)*91</f>
        <v>0</v>
      </c>
      <c r="E48" s="573" t="s">
        <v>282</v>
      </c>
      <c r="F48" s="35"/>
      <c r="G48" s="21" t="s">
        <v>313</v>
      </c>
      <c r="H48" s="460" t="s">
        <v>284</v>
      </c>
      <c r="I48" s="379">
        <v>8600000</v>
      </c>
      <c r="J48" s="379">
        <f t="shared" si="36"/>
        <v>3323065.7381858607</v>
      </c>
      <c r="K48" s="59">
        <f t="shared" si="37"/>
        <v>0.38640299281230939</v>
      </c>
      <c r="L48" s="379">
        <f t="shared" ref="L48:L49" si="49">N48/Q48*1000</f>
        <v>6646131.4763717214</v>
      </c>
      <c r="M48" s="43">
        <v>2</v>
      </c>
      <c r="N48" s="39">
        <v>26252.219331668301</v>
      </c>
      <c r="O48" s="49">
        <f t="shared" ref="O48" si="50">L48*P48</f>
        <v>16615.328690929302</v>
      </c>
      <c r="P48" s="36">
        <v>2.5000000000000001E-3</v>
      </c>
      <c r="Q48" s="38">
        <v>3.95</v>
      </c>
      <c r="R48" s="38">
        <v>2.2000000000000002</v>
      </c>
      <c r="S48" s="49">
        <f>N48/R48</f>
        <v>11932.826968940135</v>
      </c>
      <c r="T48" s="38">
        <v>49.519220779220781</v>
      </c>
      <c r="U48" s="62">
        <f t="shared" si="4"/>
        <v>3.1906802553383441E-2</v>
      </c>
      <c r="V48" s="49">
        <f t="shared" si="38"/>
        <v>530.14201190104825</v>
      </c>
      <c r="W48" s="37">
        <f>N48*0.1%</f>
        <v>26.2522193316683</v>
      </c>
      <c r="X48" s="39">
        <f>N48+W48</f>
        <v>26278.47155099997</v>
      </c>
      <c r="Y48" s="53">
        <f t="shared" si="43"/>
        <v>26252.219331668301</v>
      </c>
    </row>
    <row r="49" spans="2:27" ht="21.6" customHeight="1">
      <c r="B49" s="575"/>
      <c r="C49" s="338">
        <f>C14*0.99</f>
        <v>0</v>
      </c>
      <c r="D49" s="35">
        <f t="shared" ref="D49" si="51">(C49/30)*91</f>
        <v>0</v>
      </c>
      <c r="E49" s="571"/>
      <c r="F49" s="35"/>
      <c r="G49" s="21" t="s">
        <v>317</v>
      </c>
      <c r="H49" s="21" t="s">
        <v>200</v>
      </c>
      <c r="I49" s="379">
        <v>880000</v>
      </c>
      <c r="J49" s="379">
        <f t="shared" si="36"/>
        <v>467398.3046026057</v>
      </c>
      <c r="K49" s="59">
        <f t="shared" si="37"/>
        <v>0.53113443704841556</v>
      </c>
      <c r="L49" s="379">
        <f t="shared" si="49"/>
        <v>724467.37213403883</v>
      </c>
      <c r="M49" s="43">
        <v>1.55</v>
      </c>
      <c r="N49" s="39">
        <v>4107.7299999999996</v>
      </c>
      <c r="O49" s="49">
        <f>L49*P49</f>
        <v>1593.8282186948854</v>
      </c>
      <c r="P49" s="36">
        <v>2.2000000000000001E-3</v>
      </c>
      <c r="Q49" s="38">
        <v>5.67</v>
      </c>
      <c r="R49" s="38">
        <v>2.3041424950718108</v>
      </c>
      <c r="S49" s="49">
        <f t="shared" si="3"/>
        <v>1782.7586656579495</v>
      </c>
      <c r="T49" s="38">
        <v>49.519220779220781</v>
      </c>
      <c r="U49" s="62">
        <f t="shared" si="4"/>
        <v>5.2045906351462626E-2</v>
      </c>
      <c r="V49" s="49">
        <f t="shared" si="38"/>
        <v>82.952234210512501</v>
      </c>
      <c r="W49" s="37">
        <f>N49*0.1%</f>
        <v>4.1077299999999992</v>
      </c>
      <c r="X49" s="39">
        <f>N49+W49</f>
        <v>4111.8377299999993</v>
      </c>
      <c r="Y49" s="53">
        <f t="shared" si="43"/>
        <v>4107.7299999999996</v>
      </c>
      <c r="AA49" s="7"/>
    </row>
    <row r="50" spans="2:27" ht="21.6" customHeight="1">
      <c r="B50" s="581"/>
      <c r="C50" s="338">
        <f>C16*0.99</f>
        <v>683527.68000000005</v>
      </c>
      <c r="D50" s="35">
        <f t="shared" ref="D50:D52" si="52">(C50/30)*91</f>
        <v>2073367.2960000001</v>
      </c>
      <c r="E50" s="572"/>
      <c r="F50" s="35"/>
      <c r="G50" s="51" t="s">
        <v>243</v>
      </c>
      <c r="H50" s="51"/>
      <c r="I50" s="376"/>
      <c r="J50" s="56"/>
      <c r="K50" s="52"/>
      <c r="L50" s="376">
        <f>L49+L48</f>
        <v>7370598.8485057605</v>
      </c>
      <c r="M50" s="54"/>
      <c r="N50" s="53">
        <f>N49+N48</f>
        <v>30359.9493316683</v>
      </c>
      <c r="O50" s="376">
        <f>O49+O48</f>
        <v>18209.156909624187</v>
      </c>
      <c r="P50" s="55"/>
      <c r="Q50" s="56"/>
      <c r="R50" s="56"/>
      <c r="S50" s="376">
        <f>S49+S48</f>
        <v>13715.585634598085</v>
      </c>
      <c r="T50" s="56"/>
      <c r="U50" s="363">
        <f>V50/O50</f>
        <v>3.3669556979187686E-2</v>
      </c>
      <c r="V50" s="376">
        <f>V49+V48</f>
        <v>613.09424611156078</v>
      </c>
      <c r="W50" s="53">
        <f t="shared" ref="W50:X50" si="53">W49+W48</f>
        <v>30.3599493316683</v>
      </c>
      <c r="X50" s="53">
        <f t="shared" si="53"/>
        <v>30390.309280999969</v>
      </c>
      <c r="Y50" s="53">
        <f t="shared" si="43"/>
        <v>30359.9493316683</v>
      </c>
      <c r="Z50" s="373"/>
    </row>
    <row r="51" spans="2:27" ht="21.6" customHeight="1">
      <c r="B51" s="580" t="s">
        <v>430</v>
      </c>
      <c r="C51" s="338">
        <f>C16*0.99</f>
        <v>683527.68000000005</v>
      </c>
      <c r="D51" s="35">
        <f t="shared" si="52"/>
        <v>2073367.2960000001</v>
      </c>
      <c r="E51" s="573" t="s">
        <v>282</v>
      </c>
      <c r="F51" s="35"/>
      <c r="G51" s="21" t="s">
        <v>313</v>
      </c>
      <c r="H51" s="460" t="s">
        <v>284</v>
      </c>
      <c r="I51" s="379">
        <v>3200000</v>
      </c>
      <c r="J51" s="379">
        <f t="shared" ref="J51:J52" si="54">L51/M51</f>
        <v>918217.85317184741</v>
      </c>
      <c r="K51" s="59">
        <f t="shared" ref="K51:K52" si="55">J51/I51</f>
        <v>0.28694307911620232</v>
      </c>
      <c r="L51" s="379">
        <f t="shared" ref="L51:L52" si="56">N51/(Q51/1000)</f>
        <v>5417485.3337139003</v>
      </c>
      <c r="M51" s="43">
        <v>5.9</v>
      </c>
      <c r="N51" s="39">
        <v>27087.4266685695</v>
      </c>
      <c r="O51" s="49">
        <f t="shared" ref="O51:O52" si="57">L51*P51</f>
        <v>14085.46186765614</v>
      </c>
      <c r="P51" s="36">
        <v>2.5999999999999999E-3</v>
      </c>
      <c r="Q51" s="38">
        <v>5</v>
      </c>
      <c r="R51" s="38">
        <v>4.9000000000000004</v>
      </c>
      <c r="S51" s="49">
        <f t="shared" ref="S51:S52" si="58">N51/R51</f>
        <v>5528.0462588917344</v>
      </c>
      <c r="T51" s="38">
        <v>20</v>
      </c>
      <c r="U51" s="62">
        <f t="shared" ref="U51:U52" si="59">V51/O51</f>
        <v>9.6153846153846159E-2</v>
      </c>
      <c r="V51" s="49">
        <f t="shared" ref="V51:V52" si="60">N51/T51</f>
        <v>1354.3713334284751</v>
      </c>
      <c r="W51" s="37">
        <f>N51*0.1%</f>
        <v>27.087426668569499</v>
      </c>
      <c r="X51" s="39">
        <f>N51+W51</f>
        <v>27114.514095238068</v>
      </c>
      <c r="Y51" s="53">
        <f t="shared" si="43"/>
        <v>27087.4266685695</v>
      </c>
      <c r="Z51" s="373"/>
    </row>
    <row r="52" spans="2:27" ht="21.6" customHeight="1">
      <c r="B52" s="575"/>
      <c r="C52" s="338">
        <f>C17*0.99</f>
        <v>0</v>
      </c>
      <c r="D52" s="35">
        <f t="shared" si="52"/>
        <v>0</v>
      </c>
      <c r="E52" s="571"/>
      <c r="F52" s="35"/>
      <c r="G52" s="21" t="s">
        <v>317</v>
      </c>
      <c r="H52" s="21" t="s">
        <v>200</v>
      </c>
      <c r="I52" s="379">
        <f>I51*5%</f>
        <v>160000</v>
      </c>
      <c r="J52" s="379">
        <f t="shared" si="54"/>
        <v>116028.06411028984</v>
      </c>
      <c r="K52" s="59">
        <f t="shared" si="55"/>
        <v>0.72517540068931152</v>
      </c>
      <c r="L52" s="379">
        <f t="shared" si="56"/>
        <v>684565.57825071004</v>
      </c>
      <c r="M52" s="43">
        <v>5.9</v>
      </c>
      <c r="N52" s="478">
        <v>3354.3713334284798</v>
      </c>
      <c r="O52" s="49">
        <f t="shared" si="57"/>
        <v>1574.500829976633</v>
      </c>
      <c r="P52" s="36">
        <v>2.3E-3</v>
      </c>
      <c r="Q52" s="38">
        <v>4.9000000000000004</v>
      </c>
      <c r="R52" s="38">
        <v>4.0090700808625339</v>
      </c>
      <c r="S52" s="49">
        <f t="shared" si="58"/>
        <v>836.69560914904275</v>
      </c>
      <c r="T52" s="38">
        <v>18.476583850931679</v>
      </c>
      <c r="U52" s="62">
        <f t="shared" si="59"/>
        <v>0.11530458226460892</v>
      </c>
      <c r="V52" s="49">
        <f t="shared" si="60"/>
        <v>181.54716047573569</v>
      </c>
      <c r="W52" s="37">
        <f>N52*0.1%</f>
        <v>3.3543713334284799</v>
      </c>
      <c r="X52" s="39">
        <f>N52+W52</f>
        <v>3357.7257047619082</v>
      </c>
      <c r="Y52" s="53">
        <f t="shared" si="43"/>
        <v>3354.3713334284798</v>
      </c>
      <c r="Z52" s="373"/>
    </row>
    <row r="53" spans="2:27" ht="21.6" customHeight="1">
      <c r="B53" s="581"/>
      <c r="C53" s="338">
        <f>C19*0.99</f>
        <v>0</v>
      </c>
      <c r="D53" s="35">
        <f t="shared" ref="D53" si="61">(C53/30)*91</f>
        <v>0</v>
      </c>
      <c r="E53" s="572"/>
      <c r="F53" s="35"/>
      <c r="G53" s="51" t="s">
        <v>243</v>
      </c>
      <c r="H53" s="51"/>
      <c r="I53" s="376"/>
      <c r="J53" s="376"/>
      <c r="K53" s="56"/>
      <c r="L53" s="376">
        <f>L52+L51</f>
        <v>6102050.9119646102</v>
      </c>
      <c r="M53" s="54"/>
      <c r="N53" s="53">
        <f>N51+N52</f>
        <v>30441.79800199798</v>
      </c>
      <c r="O53" s="376">
        <f>O52+O51</f>
        <v>15659.962697632773</v>
      </c>
      <c r="P53" s="54"/>
      <c r="Q53" s="54"/>
      <c r="R53" s="54"/>
      <c r="S53" s="376">
        <f>S52+S51</f>
        <v>6364.7418680407773</v>
      </c>
      <c r="T53" s="56"/>
      <c r="U53" s="56"/>
      <c r="V53" s="376">
        <f>V52+V51</f>
        <v>1535.9184939042107</v>
      </c>
      <c r="W53" s="53">
        <f>N53*0.1%</f>
        <v>30.441798001997981</v>
      </c>
      <c r="X53" s="53">
        <f>N53+W53</f>
        <v>30472.239799999978</v>
      </c>
      <c r="Y53" s="53">
        <f t="shared" si="43"/>
        <v>30441.79800199798</v>
      </c>
      <c r="Z53" s="477"/>
    </row>
    <row r="54" spans="2:27">
      <c r="B54" s="8"/>
      <c r="Q54" s="8"/>
      <c r="R54" s="8"/>
      <c r="S54" s="374"/>
      <c r="T54" s="8"/>
      <c r="U54" s="8"/>
      <c r="V54" s="374"/>
      <c r="W54" s="8"/>
      <c r="X54" s="8"/>
      <c r="Y54" s="221"/>
    </row>
    <row r="55" spans="2:27" s="613" customFormat="1">
      <c r="B55" s="608"/>
      <c r="C55" s="608"/>
      <c r="D55" s="608"/>
      <c r="E55" s="609" t="s">
        <v>318</v>
      </c>
      <c r="F55" s="609"/>
      <c r="G55" s="609"/>
      <c r="H55" s="609"/>
      <c r="I55" s="610"/>
      <c r="J55" s="610"/>
      <c r="K55" s="609"/>
      <c r="L55" s="610">
        <f>L6+L7+L12+L13+L17+L18+L25+L26+L21+L22+L29+L30+L33+L34+L39+L42+L47+L50+L53</f>
        <v>524179509.64945281</v>
      </c>
      <c r="M55" s="609"/>
      <c r="N55" s="609">
        <f>N6+N7+N12+N13+N17+N18+N25+N26+N21+N22+N29+N30+N33+N34+N39+N42+N47+N50+N53</f>
        <v>2814593.4327510023</v>
      </c>
      <c r="O55" s="610">
        <v>600711225.66359687</v>
      </c>
      <c r="P55" s="609"/>
      <c r="Q55" s="609"/>
      <c r="R55" s="609"/>
      <c r="S55" s="611">
        <f>S6+S7+S12+S13+S17+S18+S25+S26+S21+S22+S29+S30+S33+S34+S39+S42+S47+S50+S53</f>
        <v>1163368.4918983942</v>
      </c>
      <c r="T55" s="609"/>
      <c r="U55" s="609"/>
      <c r="V55" s="611">
        <f>V6+V7+V12+V13+V17+V18+V25+V26+V21+V22+V29+V30+V33+V34+V39+V42+V47+V50+V53</f>
        <v>60922.020939485184</v>
      </c>
      <c r="W55" s="609">
        <f>W6+W7+W12+W13+W17+W18+W25+W26+W21+W22+W29+W30+W33+W34+W39+W42+W47+W50+W53</f>
        <v>2814.5934327510022</v>
      </c>
      <c r="X55" s="609">
        <f>X6+X7+X12+X13+X17+X18+X25+X26+X21+X22+X29+X30+X33+X34+X39+X42+X47+X50+X53</f>
        <v>2817408.0261837537</v>
      </c>
      <c r="Y55" s="612"/>
      <c r="AA55" s="614"/>
    </row>
    <row r="56" spans="2:27" s="613" customFormat="1">
      <c r="B56" s="615"/>
      <c r="C56" s="615"/>
      <c r="D56" s="615"/>
      <c r="E56" s="616" t="s">
        <v>319</v>
      </c>
      <c r="F56" s="616"/>
      <c r="G56" s="616"/>
      <c r="H56" s="616"/>
      <c r="I56" s="617"/>
      <c r="J56" s="617"/>
      <c r="K56" s="616"/>
      <c r="L56" s="617">
        <f>L8+L14+L19+L27+L23+L31+L35</f>
        <v>32128461.795322862</v>
      </c>
      <c r="M56" s="616"/>
      <c r="N56" s="616">
        <f>N8+N14+N19+N27+N23+N31+N35</f>
        <v>202248.90494873503</v>
      </c>
      <c r="O56" s="617">
        <v>30164749.534213666</v>
      </c>
      <c r="P56" s="616"/>
      <c r="Q56" s="616"/>
      <c r="R56" s="616"/>
      <c r="S56" s="618">
        <f>S8+S14+S19+S27+S23+S31+S35</f>
        <v>73352.955871601531</v>
      </c>
      <c r="T56" s="616"/>
      <c r="U56" s="616"/>
      <c r="V56" s="618">
        <f>V8+V14+V19+V27+V23+V31+V35</f>
        <v>6342.0345805563229</v>
      </c>
      <c r="W56" s="616">
        <f>W8+W14+W19+W27+W23+W31+W35</f>
        <v>202.24890494873497</v>
      </c>
      <c r="X56" s="616">
        <f>X8+X14+X19+X27+X23+X31+X35</f>
        <v>202451.15385368373</v>
      </c>
      <c r="Y56" s="612"/>
      <c r="AA56" s="614"/>
    </row>
    <row r="57" spans="2:27" s="613" customFormat="1">
      <c r="B57" s="619"/>
      <c r="C57" s="619"/>
      <c r="D57" s="619"/>
      <c r="E57" s="620" t="s">
        <v>292</v>
      </c>
      <c r="F57" s="620"/>
      <c r="G57" s="620"/>
      <c r="H57" s="620"/>
      <c r="I57" s="621"/>
      <c r="J57" s="621"/>
      <c r="K57" s="620"/>
      <c r="L57" s="621">
        <f>L10</f>
        <v>6503860.6666666651</v>
      </c>
      <c r="M57" s="620"/>
      <c r="N57" s="620">
        <f>N10</f>
        <v>58534.745999999992</v>
      </c>
      <c r="O57" s="621">
        <v>16809640</v>
      </c>
      <c r="P57" s="620"/>
      <c r="Q57" s="620"/>
      <c r="R57" s="620"/>
      <c r="S57" s="622">
        <f>S10</f>
        <v>7316.843249999999</v>
      </c>
      <c r="T57" s="620"/>
      <c r="U57" s="620"/>
      <c r="V57" s="622">
        <f>V10</f>
        <v>1721.5155489032923</v>
      </c>
      <c r="W57" s="620">
        <f>W10</f>
        <v>58.534745999999991</v>
      </c>
      <c r="X57" s="620">
        <f>X10</f>
        <v>58593.280745999989</v>
      </c>
      <c r="Y57" s="612"/>
      <c r="AA57" s="614"/>
    </row>
    <row r="58" spans="2:27" s="8" customFormat="1" ht="20.85" customHeight="1" thickBot="1">
      <c r="B58" s="461" t="s">
        <v>320</v>
      </c>
      <c r="C58" s="462"/>
      <c r="D58" s="461"/>
      <c r="E58" s="461"/>
      <c r="F58" s="461"/>
      <c r="G58" s="461"/>
      <c r="H58" s="461"/>
      <c r="I58" s="463"/>
      <c r="J58" s="463"/>
      <c r="K58" s="216"/>
      <c r="L58" s="463">
        <f>L11+L16+L20+L28+L24+L32+L36+L39+L42+L47+L50+L53</f>
        <v>576551830.39101219</v>
      </c>
      <c r="M58" s="216"/>
      <c r="N58" s="216">
        <f>N11+N16+N20+N28+N24+N32+N36+N39+N42+N47+N50+N53</f>
        <v>3203159.0676997378</v>
      </c>
      <c r="O58" s="463">
        <v>647685615.19781053</v>
      </c>
      <c r="P58" s="216"/>
      <c r="Q58" s="216"/>
      <c r="R58" s="216"/>
      <c r="S58" s="463">
        <f>S11+S16+S20+S28+S24+S32+S36+S39+S42+S47+S50+S53</f>
        <v>1263697.0577892265</v>
      </c>
      <c r="T58" s="216"/>
      <c r="U58" s="216"/>
      <c r="V58" s="463">
        <f>V11+V16+V20+V28+V24+V32+V36+V39+V42+V47+V50+V53</f>
        <v>70589.318455762972</v>
      </c>
      <c r="W58" s="216">
        <f>W11+W16+W20+W28+W24+W32+W36+W39+W42+W47+W50+W53</f>
        <v>3203.1590676997371</v>
      </c>
      <c r="X58" s="216">
        <f>X11+X16+X20+X28+X24+X32+X36+X39+X42+X47+X50+X53</f>
        <v>3206362.2267674371</v>
      </c>
      <c r="Y58" s="13">
        <f>SUM(Y11+Y16+Y20+Y28+Y24+Y32+Y36+Y39+Y47+Y50+Y53)</f>
        <v>3150510.8276997376</v>
      </c>
      <c r="AA58" s="464"/>
    </row>
    <row r="59" spans="2:27" ht="15" thickTop="1"/>
    <row r="60" spans="2:27" ht="19.8">
      <c r="G60" s="336"/>
      <c r="H60" s="307"/>
      <c r="I60" s="367"/>
      <c r="J60" s="367"/>
      <c r="K60" s="307"/>
      <c r="L60" s="367"/>
      <c r="M60" s="367"/>
      <c r="N60" s="367"/>
      <c r="O60" s="367"/>
      <c r="P60" s="367"/>
      <c r="Q60" s="367"/>
      <c r="R60" s="367"/>
      <c r="S60" s="367"/>
      <c r="T60" s="367"/>
      <c r="U60" s="367"/>
      <c r="V60" s="367"/>
      <c r="W60" s="367"/>
      <c r="X60" s="367"/>
    </row>
    <row r="61" spans="2:27" ht="19.8">
      <c r="G61" s="336"/>
      <c r="H61" s="307"/>
      <c r="I61" s="367"/>
      <c r="J61" s="367"/>
      <c r="K61" s="307"/>
      <c r="L61" s="367"/>
      <c r="M61" s="367"/>
      <c r="N61" s="367"/>
      <c r="O61" s="367"/>
      <c r="P61" s="367"/>
      <c r="Q61" s="367"/>
      <c r="R61" s="367"/>
      <c r="S61" s="367"/>
      <c r="T61" s="367"/>
      <c r="U61" s="367"/>
      <c r="V61" s="367"/>
      <c r="W61" s="367"/>
      <c r="X61" s="367"/>
    </row>
    <row r="62" spans="2:27" ht="19.8">
      <c r="G62" s="336"/>
      <c r="H62" s="307"/>
      <c r="I62" s="367"/>
      <c r="J62" s="367"/>
      <c r="K62" s="307"/>
      <c r="L62" s="367"/>
      <c r="M62" s="367"/>
      <c r="N62" s="367"/>
      <c r="O62" s="367"/>
      <c r="P62" s="367"/>
      <c r="Q62" s="367"/>
      <c r="R62" s="367"/>
      <c r="S62" s="367"/>
      <c r="T62" s="367"/>
      <c r="U62" s="367"/>
      <c r="V62" s="367"/>
      <c r="W62" s="367"/>
      <c r="X62" s="367"/>
    </row>
    <row r="63" spans="2:27" ht="19.8">
      <c r="G63" s="336"/>
      <c r="H63" s="307"/>
      <c r="I63" s="367"/>
      <c r="J63" s="367"/>
      <c r="K63" s="307"/>
      <c r="L63" s="367"/>
      <c r="M63" s="367"/>
      <c r="N63" s="367"/>
      <c r="O63" s="367"/>
      <c r="P63" s="367"/>
      <c r="Q63" s="367"/>
      <c r="R63" s="367"/>
      <c r="S63" s="367"/>
      <c r="T63" s="367"/>
      <c r="U63" s="367"/>
      <c r="V63" s="367"/>
      <c r="W63" s="367"/>
      <c r="X63" s="367"/>
    </row>
    <row r="64" spans="2:27" ht="19.8">
      <c r="G64" s="336"/>
      <c r="H64" s="307"/>
      <c r="I64" s="367"/>
      <c r="J64" s="367"/>
      <c r="K64" s="307"/>
      <c r="L64" s="367"/>
      <c r="M64" s="367"/>
      <c r="N64" s="367"/>
      <c r="O64" s="367"/>
      <c r="P64" s="367"/>
      <c r="Q64" s="367"/>
      <c r="R64" s="367"/>
      <c r="S64" s="367"/>
      <c r="T64" s="367"/>
      <c r="U64" s="367"/>
      <c r="V64" s="367"/>
      <c r="W64" s="367"/>
      <c r="X64" s="367"/>
    </row>
    <row r="65" spans="7:24" ht="19.8">
      <c r="G65" s="336"/>
      <c r="H65" s="307"/>
      <c r="I65" s="367"/>
      <c r="J65" s="367"/>
      <c r="K65" s="307"/>
      <c r="L65" s="367"/>
      <c r="M65" s="367"/>
      <c r="N65" s="367"/>
      <c r="O65" s="367"/>
      <c r="P65" s="367"/>
      <c r="Q65" s="367"/>
      <c r="R65" s="367"/>
      <c r="S65" s="367"/>
      <c r="T65" s="367"/>
      <c r="U65" s="367"/>
      <c r="V65" s="367"/>
      <c r="W65" s="367"/>
      <c r="X65" s="367"/>
    </row>
    <row r="66" spans="7:24" ht="19.8">
      <c r="G66" s="336"/>
      <c r="H66" s="307"/>
      <c r="I66" s="367"/>
      <c r="J66" s="367"/>
      <c r="K66" s="307"/>
      <c r="L66" s="367"/>
      <c r="M66" s="367"/>
      <c r="N66" s="367"/>
      <c r="O66" s="367"/>
      <c r="P66" s="367"/>
      <c r="Q66" s="367"/>
      <c r="R66" s="367"/>
      <c r="S66" s="367"/>
      <c r="T66" s="367"/>
      <c r="U66" s="367"/>
      <c r="V66" s="367"/>
      <c r="W66" s="367"/>
      <c r="X66" s="367"/>
    </row>
    <row r="67" spans="7:24" ht="19.8">
      <c r="G67" s="336"/>
      <c r="H67" s="307"/>
      <c r="I67" s="367"/>
      <c r="J67" s="367"/>
      <c r="K67" s="307"/>
      <c r="L67" s="367"/>
    </row>
    <row r="68" spans="7:24" ht="19.8">
      <c r="G68" s="336"/>
      <c r="H68" s="307"/>
      <c r="I68" s="367"/>
      <c r="J68" s="367"/>
      <c r="K68" s="307"/>
      <c r="L68" s="367"/>
    </row>
    <row r="69" spans="7:24" ht="19.8">
      <c r="G69" s="336"/>
      <c r="H69" s="307"/>
      <c r="I69" s="367"/>
      <c r="J69" s="367"/>
      <c r="K69" s="307"/>
      <c r="L69" s="367"/>
    </row>
    <row r="70" spans="7:24" ht="19.8">
      <c r="G70" s="336"/>
      <c r="J70" s="378"/>
    </row>
    <row r="71" spans="7:24" ht="19.8">
      <c r="G71" s="336"/>
    </row>
    <row r="72" spans="7:24" ht="19.8">
      <c r="G72" s="336"/>
    </row>
  </sheetData>
  <mergeCells count="25">
    <mergeCell ref="B51:B53"/>
    <mergeCell ref="E51:E53"/>
    <mergeCell ref="E25:E28"/>
    <mergeCell ref="B25:B28"/>
    <mergeCell ref="B17:B20"/>
    <mergeCell ref="B21:B24"/>
    <mergeCell ref="E17:E20"/>
    <mergeCell ref="E21:E24"/>
    <mergeCell ref="B29:B32"/>
    <mergeCell ref="E29:E32"/>
    <mergeCell ref="B33:B36"/>
    <mergeCell ref="E33:E36"/>
    <mergeCell ref="B48:B50"/>
    <mergeCell ref="E48:E50"/>
    <mergeCell ref="B37:B39"/>
    <mergeCell ref="E37:E39"/>
    <mergeCell ref="B40:B42"/>
    <mergeCell ref="E40:E42"/>
    <mergeCell ref="B43:B47"/>
    <mergeCell ref="E43:E47"/>
    <mergeCell ref="I3:M4"/>
    <mergeCell ref="B6:B11"/>
    <mergeCell ref="E6:E11"/>
    <mergeCell ref="E12:E16"/>
    <mergeCell ref="B12:B16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7" tint="0.79998168889431442"/>
  </sheetPr>
  <dimension ref="B2:T22"/>
  <sheetViews>
    <sheetView zoomScale="70" zoomScaleNormal="70" workbookViewId="0">
      <selection activeCell="D3" sqref="D3"/>
    </sheetView>
  </sheetViews>
  <sheetFormatPr baseColWidth="10" defaultColWidth="8.5546875" defaultRowHeight="14.4"/>
  <cols>
    <col min="1" max="1" width="8.5546875" style="1"/>
    <col min="2" max="2" width="14.5546875" style="2" customWidth="1"/>
    <col min="3" max="3" width="15.88671875" style="2" bestFit="1" customWidth="1"/>
    <col min="4" max="10" width="14.5546875" style="2" customWidth="1"/>
    <col min="11" max="11" width="16.44140625" style="2" customWidth="1"/>
    <col min="12" max="14" width="14.5546875" style="2" customWidth="1"/>
    <col min="15" max="15" width="16" style="2" bestFit="1" customWidth="1"/>
    <col min="16" max="16" width="8.109375" style="1" bestFit="1" customWidth="1"/>
    <col min="17" max="17" width="28.44140625" style="1" hidden="1" customWidth="1"/>
    <col min="18" max="18" width="9.44140625" style="1" bestFit="1" customWidth="1"/>
    <col min="19" max="19" width="13.5546875" style="1" customWidth="1"/>
    <col min="20" max="21" width="8.5546875" style="1" customWidth="1"/>
    <col min="22" max="16384" width="8.5546875" style="1"/>
  </cols>
  <sheetData>
    <row r="2" spans="2:20">
      <c r="F2" s="582" t="s">
        <v>321</v>
      </c>
      <c r="G2" s="582"/>
      <c r="H2" s="582"/>
      <c r="I2" s="582"/>
      <c r="J2" s="582"/>
      <c r="K2" s="582"/>
      <c r="L2" s="582"/>
    </row>
    <row r="3" spans="2:20">
      <c r="F3" s="582"/>
      <c r="G3" s="582"/>
      <c r="H3" s="582"/>
      <c r="I3" s="582"/>
      <c r="J3" s="582"/>
      <c r="K3" s="582"/>
      <c r="L3" s="582"/>
      <c r="O3" s="28"/>
    </row>
    <row r="4" spans="2:20" ht="15" thickBot="1">
      <c r="O4" s="28"/>
    </row>
    <row r="5" spans="2:20" ht="22.35" customHeight="1" thickBot="1">
      <c r="B5" s="180" t="s">
        <v>237</v>
      </c>
      <c r="C5" s="181" t="s">
        <v>198</v>
      </c>
      <c r="D5" s="181" t="s">
        <v>322</v>
      </c>
      <c r="E5" s="181" t="s">
        <v>323</v>
      </c>
      <c r="F5" s="181" t="s">
        <v>274</v>
      </c>
      <c r="G5" s="181" t="s">
        <v>324</v>
      </c>
      <c r="H5" s="181" t="s">
        <v>273</v>
      </c>
      <c r="I5" s="181" t="s">
        <v>276</v>
      </c>
      <c r="J5" s="181" t="s">
        <v>277</v>
      </c>
      <c r="K5" s="181" t="s">
        <v>325</v>
      </c>
      <c r="L5" s="181" t="s">
        <v>200</v>
      </c>
      <c r="M5" s="191" t="s">
        <v>326</v>
      </c>
      <c r="N5" s="191" t="s">
        <v>327</v>
      </c>
      <c r="O5" s="191" t="s">
        <v>280</v>
      </c>
      <c r="P5" s="190" t="s">
        <v>278</v>
      </c>
      <c r="Q5" s="40" t="s">
        <v>328</v>
      </c>
    </row>
    <row r="6" spans="2:20" s="3" customFormat="1" ht="41.85" customHeight="1" thickBot="1">
      <c r="B6" s="339" t="s">
        <v>417</v>
      </c>
      <c r="C6" s="225">
        <f>D6/E6*1000</f>
        <v>216388095.12322873</v>
      </c>
      <c r="D6" s="27">
        <v>173110.47609858299</v>
      </c>
      <c r="E6" s="227">
        <v>0.8</v>
      </c>
      <c r="F6" s="223">
        <v>3.8188976219298912E-3</v>
      </c>
      <c r="G6" s="224">
        <v>0.25484569049283551</v>
      </c>
      <c r="H6" s="225">
        <f>C6*F6</f>
        <v>826363.98188003723</v>
      </c>
      <c r="I6" s="227">
        <v>0.59</v>
      </c>
      <c r="J6" s="225">
        <f>D6/I6</f>
        <v>293407.58660776779</v>
      </c>
      <c r="K6" s="223">
        <v>7.8141098638902454E-3</v>
      </c>
      <c r="L6" s="225">
        <f>D6/P6</f>
        <v>3545.1664161086014</v>
      </c>
      <c r="M6" s="227">
        <f>D6*0.02</f>
        <v>3462.2095219716598</v>
      </c>
      <c r="N6" s="227">
        <f>D6*0.1%</f>
        <v>173.11047609858301</v>
      </c>
      <c r="O6" s="227">
        <f>SUM(D6,M6,N6)</f>
        <v>176745.79609665324</v>
      </c>
      <c r="P6" s="227">
        <v>48.83</v>
      </c>
      <c r="Q6" s="222">
        <f>SUM(D6,M6)</f>
        <v>176572.68562055466</v>
      </c>
      <c r="S6" s="1"/>
    </row>
    <row r="7" spans="2:20" s="3" customFormat="1" ht="41.85" customHeight="1" thickBot="1">
      <c r="B7" s="339" t="s">
        <v>418</v>
      </c>
      <c r="C7" s="225">
        <f t="shared" ref="C7:C10" si="0">H7/F7</f>
        <v>170857710.59903601</v>
      </c>
      <c r="D7" s="27">
        <v>130210.37113773399</v>
      </c>
      <c r="E7" s="227">
        <f t="shared" ref="E7:E10" si="1">D7/C7*1000</f>
        <v>0.76209830203863593</v>
      </c>
      <c r="F7" s="223">
        <v>3.1189872368506226E-3</v>
      </c>
      <c r="G7" s="224">
        <v>0.24434159044785314</v>
      </c>
      <c r="H7" s="225">
        <f t="shared" ref="H7:H10" si="2">D7/G7</f>
        <v>532903.01867591066</v>
      </c>
      <c r="I7" s="227">
        <v>1.0900000000000001</v>
      </c>
      <c r="J7" s="225">
        <f t="shared" ref="J7:J10" si="3">D7/I7</f>
        <v>119459.0560896642</v>
      </c>
      <c r="K7" s="223">
        <v>6.7848952002771933E-3</v>
      </c>
      <c r="L7" s="225">
        <f t="shared" ref="L7:L10" si="4">D7/P7</f>
        <v>2381.7518042387778</v>
      </c>
      <c r="M7" s="227"/>
      <c r="N7" s="227">
        <f t="shared" ref="N7:N10" si="5">D7*0.1%</f>
        <v>130.210371137734</v>
      </c>
      <c r="O7" s="227">
        <f t="shared" ref="O7:O10" si="6">SUM(D7,M7,N7)</f>
        <v>130340.58150887172</v>
      </c>
      <c r="P7" s="227">
        <v>54.67</v>
      </c>
      <c r="Q7" s="222">
        <f>SUM(D7,M7)</f>
        <v>130210.37113773399</v>
      </c>
      <c r="S7" s="1"/>
      <c r="T7" s="30"/>
    </row>
    <row r="8" spans="2:20" ht="41.85" customHeight="1" thickBot="1">
      <c r="B8" s="339" t="s">
        <v>419</v>
      </c>
      <c r="C8" s="225">
        <f t="shared" si="0"/>
        <v>37142857.142857142</v>
      </c>
      <c r="D8" s="27">
        <v>39000</v>
      </c>
      <c r="E8" s="227">
        <f t="shared" si="1"/>
        <v>1.05</v>
      </c>
      <c r="F8" s="223">
        <v>3.0000000000000001E-3</v>
      </c>
      <c r="G8" s="224">
        <v>0.35</v>
      </c>
      <c r="H8" s="225">
        <f t="shared" si="2"/>
        <v>111428.57142857143</v>
      </c>
      <c r="I8" s="227">
        <v>0.59</v>
      </c>
      <c r="J8" s="225">
        <f t="shared" si="3"/>
        <v>66101.694915254237</v>
      </c>
      <c r="K8" s="223">
        <v>0.01</v>
      </c>
      <c r="L8" s="225">
        <f t="shared" si="4"/>
        <v>1298.2689747003994</v>
      </c>
      <c r="M8" s="227">
        <f>D8*0.02</f>
        <v>780</v>
      </c>
      <c r="N8" s="227">
        <f t="shared" si="5"/>
        <v>39</v>
      </c>
      <c r="O8" s="227">
        <f t="shared" si="6"/>
        <v>39819</v>
      </c>
      <c r="P8" s="227">
        <v>30.04</v>
      </c>
      <c r="Q8" s="222">
        <f>SUM(D8,M8)</f>
        <v>39780</v>
      </c>
      <c r="R8" s="3"/>
    </row>
    <row r="9" spans="2:20" ht="41.85" customHeight="1" thickBot="1">
      <c r="B9" s="339" t="s">
        <v>421</v>
      </c>
      <c r="C9" s="225">
        <f t="shared" si="0"/>
        <v>16840332.448145576</v>
      </c>
      <c r="D9" s="301">
        <v>79396.722227122693</v>
      </c>
      <c r="E9" s="227">
        <v>4.5</v>
      </c>
      <c r="F9" s="302">
        <v>1.1827824726342688E-2</v>
      </c>
      <c r="G9" s="303">
        <v>0.39860893802407832</v>
      </c>
      <c r="H9" s="225">
        <f t="shared" si="2"/>
        <v>199184.50053000735</v>
      </c>
      <c r="I9" s="304">
        <v>0.7</v>
      </c>
      <c r="J9" s="225">
        <f t="shared" si="3"/>
        <v>113423.88889588957</v>
      </c>
      <c r="K9" s="223">
        <v>2.1075560968754393E-2</v>
      </c>
      <c r="L9" s="225">
        <f t="shared" si="4"/>
        <v>3374.2763377442707</v>
      </c>
      <c r="M9" s="227">
        <f>D9*0.02</f>
        <v>1587.934444542454</v>
      </c>
      <c r="N9" s="227">
        <f t="shared" si="5"/>
        <v>79.396722227122694</v>
      </c>
      <c r="O9" s="227">
        <f t="shared" si="6"/>
        <v>81064.05339389226</v>
      </c>
      <c r="P9" s="227">
        <v>23.53</v>
      </c>
      <c r="Q9" s="222">
        <f>SUM(D9,M9)</f>
        <v>80984.656671665143</v>
      </c>
      <c r="R9" s="453"/>
    </row>
    <row r="10" spans="2:20" ht="41.85" customHeight="1">
      <c r="B10" s="339" t="s">
        <v>425</v>
      </c>
      <c r="C10" s="225">
        <f t="shared" si="0"/>
        <v>4142586.8130639051</v>
      </c>
      <c r="D10" s="301">
        <v>62673</v>
      </c>
      <c r="E10" s="227">
        <f t="shared" si="1"/>
        <v>15.128952711952058</v>
      </c>
      <c r="F10" s="302">
        <v>1.6873650107991359E-2</v>
      </c>
      <c r="G10" s="303">
        <v>0.89660225352112677</v>
      </c>
      <c r="H10" s="225">
        <f t="shared" si="2"/>
        <v>69900.560425619347</v>
      </c>
      <c r="I10" s="304">
        <v>1.49</v>
      </c>
      <c r="J10" s="225">
        <f t="shared" si="3"/>
        <v>42062.416107382553</v>
      </c>
      <c r="K10" s="223">
        <v>1.9211267605633804E-2</v>
      </c>
      <c r="L10" s="225">
        <f t="shared" si="4"/>
        <v>1172.3344556677889</v>
      </c>
      <c r="M10" s="304"/>
      <c r="N10" s="227">
        <f t="shared" si="5"/>
        <v>62.673000000000002</v>
      </c>
      <c r="O10" s="227">
        <f t="shared" si="6"/>
        <v>62735.673000000003</v>
      </c>
      <c r="P10" s="227">
        <v>53.46</v>
      </c>
      <c r="Q10" s="222">
        <f>SUM(D10,M10)</f>
        <v>62673</v>
      </c>
      <c r="R10" s="3"/>
      <c r="S10" s="30"/>
    </row>
    <row r="11" spans="2:20" ht="26.1" customHeight="1">
      <c r="B11" s="217"/>
      <c r="C11" s="44"/>
      <c r="D11" s="218"/>
      <c r="E11" s="218"/>
      <c r="L11" s="219"/>
      <c r="M11" s="44"/>
      <c r="N11" s="220"/>
      <c r="O11" s="218"/>
      <c r="P11" s="220"/>
      <c r="Q11" s="218"/>
      <c r="R11" s="3"/>
      <c r="S11" s="30"/>
    </row>
    <row r="12" spans="2:20" ht="18.600000000000001" thickBot="1">
      <c r="B12" s="10" t="s">
        <v>243</v>
      </c>
      <c r="C12" s="226">
        <f>SUM(C6:C10)</f>
        <v>445371582.12633139</v>
      </c>
      <c r="D12" s="41">
        <f>SUM(D6:D10)</f>
        <v>484390.56946343969</v>
      </c>
      <c r="E12" s="41"/>
      <c r="F12" s="10"/>
      <c r="G12" s="10"/>
      <c r="H12" s="226">
        <f>SUM(H6:H10)</f>
        <v>1739780.6329401459</v>
      </c>
      <c r="I12" s="226"/>
      <c r="J12" s="226">
        <f>SUM(J6:J10)</f>
        <v>634454.64261595823</v>
      </c>
      <c r="K12" s="10"/>
      <c r="L12" s="226">
        <f>SUM(L6:L10)</f>
        <v>11771.797988459839</v>
      </c>
      <c r="M12" s="228">
        <f>SUM(M6:M10)</f>
        <v>5830.1439665141133</v>
      </c>
      <c r="N12" s="228">
        <f>SUM(N6:N10)</f>
        <v>484.39056946343976</v>
      </c>
      <c r="O12" s="228">
        <f>SUM(O6:O10)</f>
        <v>490705.10399941722</v>
      </c>
      <c r="P12" s="13">
        <f>O12/L12</f>
        <v>41.684805029823529</v>
      </c>
      <c r="Q12" s="41">
        <f>SUM(Q6:Q10)</f>
        <v>490220.71342995379</v>
      </c>
      <c r="R12" s="3"/>
    </row>
    <row r="13" spans="2:20" ht="15" thickTop="1"/>
    <row r="14" spans="2:20">
      <c r="O14" s="18"/>
    </row>
    <row r="16" spans="2:20">
      <c r="D16" s="18"/>
    </row>
    <row r="17" spans="3:5">
      <c r="D17" s="28"/>
      <c r="E17" s="28"/>
    </row>
    <row r="20" spans="3:5">
      <c r="C20" s="18"/>
    </row>
    <row r="22" spans="3:5">
      <c r="C22" s="28"/>
    </row>
  </sheetData>
  <mergeCells count="1">
    <mergeCell ref="F2:L3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F10:M47"/>
  <sheetViews>
    <sheetView showGridLines="0" topLeftCell="A28" workbookViewId="0">
      <selection activeCell="L53" sqref="L53"/>
    </sheetView>
  </sheetViews>
  <sheetFormatPr baseColWidth="10" defaultColWidth="8.88671875" defaultRowHeight="14.4"/>
  <cols>
    <col min="6" max="6" width="10.5546875" bestFit="1" customWidth="1"/>
    <col min="7" max="7" width="10.77734375" bestFit="1" customWidth="1"/>
    <col min="8" max="8" width="14.21875" hidden="1" customWidth="1"/>
    <col min="9" max="9" width="19.44140625" bestFit="1" customWidth="1"/>
    <col min="10" max="10" width="19.44140625" hidden="1" customWidth="1"/>
    <col min="11" max="11" width="27.6640625" customWidth="1"/>
    <col min="12" max="12" width="9.88671875" bestFit="1" customWidth="1"/>
    <col min="13" max="13" width="14.21875" bestFit="1" customWidth="1"/>
  </cols>
  <sheetData>
    <row r="10" spans="6:12" ht="15" thickBot="1">
      <c r="F10" s="17"/>
    </row>
    <row r="11" spans="6:12" ht="18.600000000000001" thickBot="1">
      <c r="G11" s="465" t="s">
        <v>232</v>
      </c>
      <c r="H11" s="518"/>
      <c r="I11" s="466">
        <v>12295427</v>
      </c>
      <c r="J11" s="531"/>
      <c r="K11" t="s">
        <v>409</v>
      </c>
    </row>
    <row r="12" spans="6:12" ht="28.2" thickBot="1">
      <c r="F12" s="484"/>
      <c r="G12" s="483" t="s">
        <v>410</v>
      </c>
      <c r="H12" s="514"/>
      <c r="I12" s="372">
        <v>11240076.417490862</v>
      </c>
      <c r="J12" s="532"/>
    </row>
    <row r="13" spans="6:12" ht="28.2" thickBot="1">
      <c r="F13" s="484">
        <v>44593</v>
      </c>
      <c r="G13" s="483" t="s">
        <v>233</v>
      </c>
      <c r="H13" s="483"/>
      <c r="I13" s="483">
        <v>4164.1499999999996</v>
      </c>
      <c r="J13" s="533"/>
      <c r="K13" t="s">
        <v>407</v>
      </c>
    </row>
    <row r="14" spans="6:12" ht="15" thickBot="1">
      <c r="F14" s="484">
        <v>44593</v>
      </c>
      <c r="G14" s="483" t="s">
        <v>234</v>
      </c>
      <c r="H14" s="483"/>
      <c r="I14" s="483">
        <v>4164.1499999999996</v>
      </c>
      <c r="J14" s="533"/>
      <c r="K14" t="s">
        <v>407</v>
      </c>
    </row>
    <row r="15" spans="6:12" ht="28.2" thickBot="1">
      <c r="F15" s="484">
        <v>44614</v>
      </c>
      <c r="G15" s="483" t="s">
        <v>235</v>
      </c>
      <c r="H15" s="483"/>
      <c r="I15" s="483">
        <v>41732.630000000005</v>
      </c>
      <c r="J15" s="533"/>
      <c r="K15" t="s">
        <v>408</v>
      </c>
    </row>
    <row r="16" spans="6:12" ht="28.2" thickBot="1">
      <c r="G16" s="483" t="s">
        <v>411</v>
      </c>
      <c r="H16" s="514"/>
      <c r="I16" s="372">
        <f>I12+I13+I14+I15</f>
        <v>11290137.347490864</v>
      </c>
      <c r="J16" s="532"/>
      <c r="K16" s="23"/>
      <c r="L16" s="506"/>
    </row>
    <row r="20" spans="7:13" ht="15" thickBot="1"/>
    <row r="21" spans="7:13" ht="15" thickBot="1">
      <c r="H21" s="585" t="s">
        <v>414</v>
      </c>
      <c r="I21" s="586"/>
      <c r="J21" s="585" t="s">
        <v>415</v>
      </c>
      <c r="K21" s="586"/>
      <c r="L21" s="585" t="s">
        <v>416</v>
      </c>
      <c r="M21" s="586"/>
    </row>
    <row r="22" spans="7:13" ht="16.2" thickBot="1">
      <c r="G22" s="343" t="s">
        <v>196</v>
      </c>
      <c r="H22" s="535" t="s">
        <v>413</v>
      </c>
      <c r="I22" s="192" t="s">
        <v>197</v>
      </c>
      <c r="J22" s="535" t="s">
        <v>413</v>
      </c>
      <c r="K22" s="192" t="s">
        <v>412</v>
      </c>
      <c r="L22" s="535" t="s">
        <v>413</v>
      </c>
      <c r="M22" s="192" t="s">
        <v>412</v>
      </c>
    </row>
    <row r="23" spans="7:13" ht="18.600000000000001" thickBot="1">
      <c r="G23" s="523" t="s">
        <v>217</v>
      </c>
      <c r="H23" s="583">
        <f>I23+I24</f>
        <v>4319066.7318055155</v>
      </c>
      <c r="I23" s="527">
        <v>4220226.1887622755</v>
      </c>
      <c r="J23" s="583">
        <f>K23+K24</f>
        <v>4319026</v>
      </c>
      <c r="K23" s="527">
        <v>4220185.45695676</v>
      </c>
      <c r="L23" s="583">
        <f>J23-H23</f>
        <v>-40.731805515475571</v>
      </c>
      <c r="M23" s="527">
        <f>K23-I23</f>
        <v>-40.731805515475571</v>
      </c>
    </row>
    <row r="24" spans="7:13" ht="18.600000000000001" thickBot="1">
      <c r="G24" s="523" t="s">
        <v>230</v>
      </c>
      <c r="H24" s="584"/>
      <c r="I24" s="528">
        <v>98840.543043239988</v>
      </c>
      <c r="J24" s="584"/>
      <c r="K24" s="528">
        <v>98840.543043239988</v>
      </c>
      <c r="L24" s="584"/>
      <c r="M24" s="527">
        <f t="shared" ref="M24:M36" si="0">K24-I24</f>
        <v>0</v>
      </c>
    </row>
    <row r="25" spans="7:13" ht="18.600000000000001" thickBot="1">
      <c r="G25" s="524" t="s">
        <v>218</v>
      </c>
      <c r="H25" s="587">
        <f>I25+I26</f>
        <v>2464017.0285533699</v>
      </c>
      <c r="I25" s="529">
        <v>2374624.9237072333</v>
      </c>
      <c r="J25" s="587">
        <f>K25+K26</f>
        <v>2464003</v>
      </c>
      <c r="K25" s="529">
        <v>2391627</v>
      </c>
      <c r="L25" s="583">
        <f>J25-H25</f>
        <v>-14.028553369920701</v>
      </c>
      <c r="M25" s="527">
        <f t="shared" si="0"/>
        <v>17002.076292766724</v>
      </c>
    </row>
    <row r="26" spans="7:13" ht="18.600000000000001" thickBot="1">
      <c r="G26" s="525" t="s">
        <v>220</v>
      </c>
      <c r="H26" s="588"/>
      <c r="I26" s="530">
        <v>89392.104846136572</v>
      </c>
      <c r="J26" s="588"/>
      <c r="K26" s="530">
        <v>72376</v>
      </c>
      <c r="L26" s="584"/>
      <c r="M26" s="527">
        <f t="shared" si="0"/>
        <v>-17016.104846136572</v>
      </c>
    </row>
    <row r="27" spans="7:13" ht="18.600000000000001" thickBot="1">
      <c r="G27" s="344" t="s">
        <v>219</v>
      </c>
      <c r="H27" s="516"/>
      <c r="I27" s="526">
        <v>1838594.4886836414</v>
      </c>
      <c r="J27" s="517"/>
      <c r="K27" s="526">
        <v>1838638</v>
      </c>
      <c r="L27" s="517"/>
      <c r="M27" s="527">
        <f t="shared" si="0"/>
        <v>43.51131635857746</v>
      </c>
    </row>
    <row r="28" spans="7:13" ht="16.2" customHeight="1" thickBot="1">
      <c r="G28" s="344" t="s">
        <v>221</v>
      </c>
      <c r="H28" s="519"/>
      <c r="I28" s="33">
        <v>827679.84752160974</v>
      </c>
      <c r="J28" s="517"/>
      <c r="K28" s="33">
        <v>827791</v>
      </c>
      <c r="L28" s="517"/>
      <c r="M28" s="527">
        <f t="shared" si="0"/>
        <v>111.15247839025687</v>
      </c>
    </row>
    <row r="29" spans="7:13" ht="18.600000000000001" thickBot="1">
      <c r="G29" s="344" t="s">
        <v>222</v>
      </c>
      <c r="H29" s="519"/>
      <c r="I29" s="33">
        <v>262512.647</v>
      </c>
      <c r="J29" s="517"/>
      <c r="K29" s="33">
        <v>262587</v>
      </c>
      <c r="L29" s="517"/>
      <c r="M29" s="527">
        <f t="shared" si="0"/>
        <v>74.353000000002794</v>
      </c>
    </row>
    <row r="30" spans="7:13" ht="18.600000000000001" thickBot="1">
      <c r="G30" s="344" t="s">
        <v>223</v>
      </c>
      <c r="H30" s="519"/>
      <c r="I30" s="33">
        <v>163571.43291367567</v>
      </c>
      <c r="J30" s="517"/>
      <c r="K30" s="33">
        <v>163571</v>
      </c>
      <c r="L30" s="517"/>
      <c r="M30" s="527">
        <f t="shared" si="0"/>
        <v>-0.43291367567144334</v>
      </c>
    </row>
    <row r="31" spans="7:13" ht="18.600000000000001" thickBot="1">
      <c r="G31" s="344" t="s">
        <v>224</v>
      </c>
      <c r="H31" s="519"/>
      <c r="I31" s="33">
        <v>153746.08039000002</v>
      </c>
      <c r="J31" s="517"/>
      <c r="K31" s="33">
        <v>160718</v>
      </c>
      <c r="L31" s="517"/>
      <c r="M31" s="527">
        <f t="shared" si="0"/>
        <v>6971.9196099999826</v>
      </c>
    </row>
    <row r="32" spans="7:13" ht="18.600000000000001" thickBot="1">
      <c r="G32" s="509" t="s">
        <v>225</v>
      </c>
      <c r="H32" s="521"/>
      <c r="I32" s="510">
        <v>743542.11477183353</v>
      </c>
      <c r="J32" s="534"/>
      <c r="K32" s="510">
        <v>737476</v>
      </c>
      <c r="L32" s="534"/>
      <c r="M32" s="527">
        <f t="shared" si="0"/>
        <v>-6066.1147718335269</v>
      </c>
    </row>
    <row r="33" spans="7:13" ht="18.600000000000001" thickBot="1">
      <c r="G33" s="345" t="s">
        <v>226</v>
      </c>
      <c r="H33" s="520"/>
      <c r="I33" s="33">
        <v>109530.09066999999</v>
      </c>
      <c r="J33" s="517"/>
      <c r="K33" s="33">
        <v>121369</v>
      </c>
      <c r="L33" s="517"/>
      <c r="M33" s="527">
        <f t="shared" si="0"/>
        <v>11838.90933000001</v>
      </c>
    </row>
    <row r="34" spans="7:13" ht="18.600000000000001" thickBot="1">
      <c r="G34" s="345" t="s">
        <v>227</v>
      </c>
      <c r="H34" s="520"/>
      <c r="I34" s="33">
        <v>125470.06672200002</v>
      </c>
      <c r="J34" s="517"/>
      <c r="K34" s="33">
        <v>125470</v>
      </c>
      <c r="L34" s="517"/>
      <c r="M34" s="527">
        <f t="shared" si="0"/>
        <v>-6.6722000017762184E-2</v>
      </c>
    </row>
    <row r="35" spans="7:13" ht="18.600000000000001" thickBot="1">
      <c r="G35" s="345" t="s">
        <v>228</v>
      </c>
      <c r="H35" s="520"/>
      <c r="I35" s="33">
        <v>117722.07852999994</v>
      </c>
      <c r="J35" s="517"/>
      <c r="K35" s="33">
        <v>126472</v>
      </c>
      <c r="L35" s="517"/>
      <c r="M35" s="527">
        <f t="shared" si="0"/>
        <v>8749.9214700000593</v>
      </c>
    </row>
    <row r="36" spans="7:13" ht="18.600000000000001" thickBot="1">
      <c r="G36" s="345" t="s">
        <v>229</v>
      </c>
      <c r="H36" s="520"/>
      <c r="I36" s="33">
        <v>87519.53042999997</v>
      </c>
      <c r="J36" s="517"/>
      <c r="K36" s="33">
        <v>96939</v>
      </c>
      <c r="L36" s="517"/>
      <c r="M36" s="527">
        <f t="shared" si="0"/>
        <v>9419.4695700000302</v>
      </c>
    </row>
    <row r="37" spans="7:13" ht="18.600000000000001" thickBot="1">
      <c r="G37" s="346" t="s">
        <v>231</v>
      </c>
      <c r="H37" s="522"/>
      <c r="I37" s="372">
        <v>11212972.13799165</v>
      </c>
      <c r="J37" s="532"/>
      <c r="K37" s="372">
        <f>SUM(K23:K36)</f>
        <v>11244060</v>
      </c>
      <c r="L37" s="372"/>
      <c r="M37" s="372">
        <f t="shared" ref="M37" si="1">SUM(M23:M36)</f>
        <v>31087.862008354379</v>
      </c>
    </row>
    <row r="38" spans="7:13" ht="18.600000000000001" thickBot="1">
      <c r="G38" s="465" t="s">
        <v>232</v>
      </c>
      <c r="H38" s="518"/>
      <c r="I38" s="466">
        <v>12295427</v>
      </c>
      <c r="J38" s="531"/>
      <c r="K38" s="466"/>
    </row>
    <row r="41" spans="7:13" ht="15" thickBot="1"/>
    <row r="42" spans="7:13" ht="15" thickBot="1">
      <c r="H42" s="585" t="s">
        <v>414</v>
      </c>
      <c r="I42" s="586"/>
      <c r="J42" s="585" t="s">
        <v>415</v>
      </c>
      <c r="K42" s="586"/>
      <c r="L42" s="585" t="s">
        <v>416</v>
      </c>
      <c r="M42" s="586"/>
    </row>
    <row r="43" spans="7:13" ht="16.2" thickBot="1">
      <c r="G43" s="343" t="s">
        <v>196</v>
      </c>
      <c r="H43" s="535" t="s">
        <v>413</v>
      </c>
      <c r="I43" s="192" t="s">
        <v>197</v>
      </c>
      <c r="J43" s="535" t="s">
        <v>413</v>
      </c>
      <c r="K43" s="192" t="s">
        <v>412</v>
      </c>
      <c r="L43" s="535" t="s">
        <v>413</v>
      </c>
      <c r="M43" s="192" t="s">
        <v>412</v>
      </c>
    </row>
    <row r="44" spans="7:13" ht="18.600000000000001" thickBot="1">
      <c r="G44" s="509" t="s">
        <v>225</v>
      </c>
      <c r="H44" s="521"/>
      <c r="I44" s="510">
        <v>743542.11477183353</v>
      </c>
      <c r="J44" s="534"/>
      <c r="K44" s="510">
        <v>737476</v>
      </c>
      <c r="L44" s="534"/>
      <c r="M44" s="527">
        <f t="shared" ref="M44:M45" si="2">K44-I44</f>
        <v>-6066.1147718335269</v>
      </c>
    </row>
    <row r="45" spans="7:13" ht="18.600000000000001" thickBot="1">
      <c r="G45" s="345" t="s">
        <v>229</v>
      </c>
      <c r="H45" s="520"/>
      <c r="I45" s="33">
        <v>87519.53042999997</v>
      </c>
      <c r="J45" s="517"/>
      <c r="K45" s="33">
        <v>96939</v>
      </c>
      <c r="L45" s="517"/>
      <c r="M45" s="527">
        <f t="shared" si="2"/>
        <v>9419.4695700000302</v>
      </c>
    </row>
    <row r="46" spans="7:13" ht="18.600000000000001" thickBot="1">
      <c r="G46" s="346" t="s">
        <v>231</v>
      </c>
      <c r="H46" s="522"/>
      <c r="I46" s="372"/>
      <c r="J46" s="532"/>
      <c r="K46" s="372"/>
      <c r="L46" s="372"/>
      <c r="M46" s="372">
        <f>SUM(M44:M45)</f>
        <v>3353.3547981665033</v>
      </c>
    </row>
    <row r="47" spans="7:13" ht="18.600000000000001" thickBot="1">
      <c r="G47" s="465" t="s">
        <v>232</v>
      </c>
      <c r="H47" s="518"/>
      <c r="I47" s="466"/>
      <c r="J47" s="531"/>
      <c r="K47" s="466"/>
    </row>
  </sheetData>
  <mergeCells count="12">
    <mergeCell ref="L23:L24"/>
    <mergeCell ref="L25:L26"/>
    <mergeCell ref="L21:M21"/>
    <mergeCell ref="H42:I42"/>
    <mergeCell ref="J42:K42"/>
    <mergeCell ref="L42:M42"/>
    <mergeCell ref="H23:H24"/>
    <mergeCell ref="H25:H26"/>
    <mergeCell ref="H21:I21"/>
    <mergeCell ref="J23:J24"/>
    <mergeCell ref="J25:J26"/>
    <mergeCell ref="J21:K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7" tint="0.79998168889431442"/>
  </sheetPr>
  <dimension ref="B2:Y84"/>
  <sheetViews>
    <sheetView zoomScale="52" zoomScaleNormal="52" workbookViewId="0">
      <selection activeCell="G2" sqref="G2"/>
    </sheetView>
  </sheetViews>
  <sheetFormatPr baseColWidth="10" defaultColWidth="8.5546875" defaultRowHeight="14.4"/>
  <cols>
    <col min="1" max="1" width="8.5546875" style="3"/>
    <col min="2" max="2" width="5.88671875" style="3" bestFit="1" customWidth="1"/>
    <col min="3" max="4" width="12.44140625" style="3" customWidth="1"/>
    <col min="5" max="5" width="13" style="3" bestFit="1" customWidth="1"/>
    <col min="6" max="6" width="55.44140625" style="232" customWidth="1"/>
    <col min="7" max="7" width="20.88671875" style="232" bestFit="1" customWidth="1"/>
    <col min="8" max="9" width="15.5546875" style="232" customWidth="1"/>
    <col min="10" max="10" width="12.88671875" style="232" customWidth="1"/>
    <col min="11" max="13" width="14.5546875" style="232" customWidth="1"/>
    <col min="14" max="14" width="15.44140625" style="232" bestFit="1" customWidth="1"/>
    <col min="15" max="15" width="15.5546875" style="232" customWidth="1"/>
    <col min="16" max="16" width="14.44140625" style="232" customWidth="1"/>
    <col min="17" max="17" width="16.88671875" style="229" bestFit="1" customWidth="1"/>
    <col min="18" max="18" width="10.109375" style="232" bestFit="1" customWidth="1"/>
    <col min="19" max="19" width="19.5546875" style="229" customWidth="1"/>
    <col min="20" max="20" width="11.44140625" style="232" customWidth="1"/>
    <col min="21" max="21" width="14.44140625" style="3" hidden="1" customWidth="1"/>
    <col min="22" max="22" width="12.88671875" style="3" bestFit="1" customWidth="1"/>
    <col min="23" max="24" width="13.5546875" style="3" bestFit="1" customWidth="1"/>
    <col min="25" max="25" width="12.5546875" style="3" bestFit="1" customWidth="1"/>
    <col min="26" max="16384" width="8.5546875" style="3"/>
  </cols>
  <sheetData>
    <row r="2" spans="2:24" ht="14.85" customHeight="1">
      <c r="G2" s="60"/>
      <c r="H2" s="60"/>
      <c r="I2" s="60"/>
      <c r="J2" s="60"/>
      <c r="K2" s="60"/>
      <c r="L2" s="60"/>
      <c r="M2" s="60"/>
      <c r="N2" s="60"/>
      <c r="O2" s="60"/>
    </row>
    <row r="3" spans="2:24" ht="14.85" customHeight="1">
      <c r="F3" s="64"/>
      <c r="G3" s="60"/>
      <c r="H3" s="60"/>
      <c r="I3" s="60"/>
      <c r="J3" s="60"/>
      <c r="K3" s="60"/>
      <c r="L3" s="60"/>
      <c r="M3" s="60"/>
      <c r="N3" s="60"/>
      <c r="O3" s="60"/>
    </row>
    <row r="4" spans="2:24">
      <c r="F4" s="64"/>
    </row>
    <row r="5" spans="2:24">
      <c r="F5" s="235"/>
      <c r="G5" s="233"/>
      <c r="J5"/>
      <c r="O5" s="233"/>
      <c r="P5" s="233"/>
      <c r="R5" s="233"/>
    </row>
    <row r="6" spans="2:24" ht="25.8">
      <c r="C6" s="234" t="s">
        <v>333</v>
      </c>
      <c r="F6" s="235"/>
      <c r="G6" s="236"/>
      <c r="H6" s="233"/>
      <c r="I6" s="233"/>
      <c r="N6" s="233"/>
      <c r="O6" s="236"/>
    </row>
    <row r="7" spans="2:24" ht="15" thickBot="1">
      <c r="F7" s="235"/>
      <c r="G7" s="237"/>
      <c r="N7" s="259"/>
      <c r="O7" s="237"/>
    </row>
    <row r="8" spans="2:24" ht="32.1" customHeight="1" thickBot="1">
      <c r="C8" s="182" t="s">
        <v>237</v>
      </c>
      <c r="D8" s="183" t="s">
        <v>334</v>
      </c>
      <c r="E8" s="184" t="s">
        <v>238</v>
      </c>
      <c r="F8" s="184" t="s">
        <v>23</v>
      </c>
      <c r="G8" s="184" t="s">
        <v>198</v>
      </c>
      <c r="H8" s="184" t="s">
        <v>273</v>
      </c>
      <c r="I8" s="184" t="s">
        <v>323</v>
      </c>
      <c r="J8" s="184" t="s">
        <v>274</v>
      </c>
      <c r="K8" s="184" t="s">
        <v>335</v>
      </c>
      <c r="L8" s="184" t="s">
        <v>276</v>
      </c>
      <c r="M8" s="184" t="s">
        <v>277</v>
      </c>
      <c r="N8" s="184" t="s">
        <v>336</v>
      </c>
      <c r="O8" s="184" t="s">
        <v>200</v>
      </c>
      <c r="P8" s="184" t="s">
        <v>337</v>
      </c>
      <c r="Q8" s="231" t="s">
        <v>192</v>
      </c>
      <c r="R8" s="184" t="s">
        <v>338</v>
      </c>
      <c r="S8" s="231" t="s">
        <v>280</v>
      </c>
      <c r="T8" s="184" t="s">
        <v>278</v>
      </c>
      <c r="U8" s="185" t="s">
        <v>339</v>
      </c>
    </row>
    <row r="9" spans="2:24" ht="24.6" customHeight="1" thickBot="1">
      <c r="B9" s="366"/>
      <c r="C9" s="356" t="s">
        <v>432</v>
      </c>
      <c r="D9" s="593" t="s">
        <v>340</v>
      </c>
      <c r="E9" s="46" t="s">
        <v>341</v>
      </c>
      <c r="F9" s="230">
        <v>1398210.04937488</v>
      </c>
      <c r="G9" s="47">
        <f>F9/I9*1000</f>
        <v>800794.05645551404</v>
      </c>
      <c r="H9" s="47">
        <f>G9*J9</f>
        <v>147452.43949108492</v>
      </c>
      <c r="I9" s="230">
        <v>1746.0295042194209</v>
      </c>
      <c r="J9" s="223">
        <v>0.18413278458102073</v>
      </c>
      <c r="K9" s="31">
        <f>F9/H9</f>
        <v>9.4824477248436221</v>
      </c>
      <c r="L9" s="31">
        <v>11.5</v>
      </c>
      <c r="M9" s="47">
        <f>F9/L9</f>
        <v>121583.48255433739</v>
      </c>
      <c r="N9" s="32">
        <f>O9/H9</f>
        <v>0.48985578884448827</v>
      </c>
      <c r="O9" s="47">
        <f>F9/T9</f>
        <v>72230.431063949582</v>
      </c>
      <c r="P9" s="227">
        <f>SUM(F9)*0.02</f>
        <v>27964.200987497603</v>
      </c>
      <c r="Q9" s="227">
        <f>F9*0.1%</f>
        <v>1398.2100493748801</v>
      </c>
      <c r="R9" s="227"/>
      <c r="S9" s="227">
        <f>SUM(F9+Q9+R9)+(P9)</f>
        <v>1427572.4604117526</v>
      </c>
      <c r="T9" s="227">
        <v>19.357631247375053</v>
      </c>
      <c r="U9" s="6">
        <f>SUM(F9+R9)+(P9)</f>
        <v>1426174.2503623776</v>
      </c>
    </row>
    <row r="10" spans="2:24" ht="24.6" customHeight="1" thickBot="1">
      <c r="B10" s="366"/>
      <c r="C10" s="357">
        <v>1</v>
      </c>
      <c r="D10" s="593"/>
      <c r="E10" s="46" t="s">
        <v>342</v>
      </c>
      <c r="F10" s="230">
        <v>349020.02268772398</v>
      </c>
      <c r="G10" s="47">
        <f>F10/I10*1000</f>
        <v>2282914.3747166069</v>
      </c>
      <c r="H10" s="47">
        <f t="shared" ref="H10:H12" si="0">G10*J10</f>
        <v>103795.3825870249</v>
      </c>
      <c r="I10" s="230">
        <v>152.88353630479466</v>
      </c>
      <c r="J10" s="223">
        <v>4.5466174174802199E-2</v>
      </c>
      <c r="K10" s="31">
        <f t="shared" ref="K10:K12" si="1">F10/H10</f>
        <v>3.362577544286192</v>
      </c>
      <c r="L10" s="31">
        <v>3.9361932141277571</v>
      </c>
      <c r="M10" s="47">
        <f t="shared" ref="M10:M12" si="2">F10/L10</f>
        <v>88669.433562108621</v>
      </c>
      <c r="N10" s="32">
        <f t="shared" ref="N10:N59" si="3">O10/H10</f>
        <v>0.34701522644852351</v>
      </c>
      <c r="O10" s="47">
        <f t="shared" ref="O10:O12" si="4">F10/T10</f>
        <v>36018.578192747576</v>
      </c>
      <c r="P10" s="227">
        <f>SUM(F10)*0.02</f>
        <v>6980.4004537544797</v>
      </c>
      <c r="Q10" s="227">
        <f t="shared" ref="Q10" si="5">F10*0.1%</f>
        <v>349.02002268772401</v>
      </c>
      <c r="R10" s="227"/>
      <c r="S10" s="227">
        <f t="shared" ref="S10" si="6">SUM(F10+Q10+R10)+(P10)</f>
        <v>356349.44316416618</v>
      </c>
      <c r="T10" s="227">
        <v>9.69</v>
      </c>
      <c r="U10" s="6">
        <f>SUM(F10+R10)+(P10)</f>
        <v>356000.42314147844</v>
      </c>
      <c r="X10" s="64"/>
    </row>
    <row r="11" spans="2:24" ht="24.6" customHeight="1" thickBot="1">
      <c r="B11" s="366"/>
      <c r="C11" s="357"/>
      <c r="D11" s="593"/>
      <c r="E11" s="46" t="s">
        <v>343</v>
      </c>
      <c r="F11" s="230">
        <v>129246.046426395</v>
      </c>
      <c r="G11" s="47">
        <f t="shared" ref="G11:G12" si="7">F11/I11*1000</f>
        <v>307124.3661337641</v>
      </c>
      <c r="H11" s="47">
        <f t="shared" si="0"/>
        <v>16537.187788354586</v>
      </c>
      <c r="I11" s="230">
        <v>420.82641652112852</v>
      </c>
      <c r="J11" s="223">
        <v>5.3845248413641085E-2</v>
      </c>
      <c r="K11" s="31">
        <f t="shared" si="1"/>
        <v>7.8154791540439232</v>
      </c>
      <c r="L11" s="31">
        <v>8.7835851183765499</v>
      </c>
      <c r="M11" s="47">
        <f t="shared" si="2"/>
        <v>14714.498087573978</v>
      </c>
      <c r="N11" s="32">
        <f t="shared" si="3"/>
        <v>0.3313047543045326</v>
      </c>
      <c r="O11" s="47">
        <f t="shared" si="4"/>
        <v>5478.8489371087326</v>
      </c>
      <c r="P11" s="227">
        <f>SUM(F11)*0.02</f>
        <v>2584.9209285278998</v>
      </c>
      <c r="Q11" s="227">
        <f>F11*0.1%</f>
        <v>129.246046426395</v>
      </c>
      <c r="R11" s="227"/>
      <c r="S11" s="227">
        <f>SUM(F11+Q11+R11)+(P11)</f>
        <v>131960.21340134929</v>
      </c>
      <c r="T11" s="227">
        <v>23.59</v>
      </c>
      <c r="U11" s="6"/>
    </row>
    <row r="12" spans="2:24" ht="24.6" customHeight="1">
      <c r="C12" s="355"/>
      <c r="D12" s="354" t="s">
        <v>344</v>
      </c>
      <c r="E12" s="46" t="s">
        <v>345</v>
      </c>
      <c r="F12" s="230">
        <v>36236.165658018603</v>
      </c>
      <c r="G12" s="47">
        <f t="shared" si="7"/>
        <v>362361.65658018604</v>
      </c>
      <c r="H12" s="47">
        <f t="shared" si="0"/>
        <v>23807.160837318221</v>
      </c>
      <c r="I12" s="230">
        <v>100</v>
      </c>
      <c r="J12" s="223">
        <v>6.5699999999999995E-2</v>
      </c>
      <c r="K12" s="31">
        <f t="shared" si="1"/>
        <v>1.5220700152207003</v>
      </c>
      <c r="L12" s="31">
        <v>2.77</v>
      </c>
      <c r="M12" s="47">
        <f t="shared" si="2"/>
        <v>13081.648251992276</v>
      </c>
      <c r="N12" s="32">
        <f t="shared" si="3"/>
        <v>7.7735955833539344E-2</v>
      </c>
      <c r="O12" s="47">
        <f t="shared" si="4"/>
        <v>1850.6724033717367</v>
      </c>
      <c r="P12" s="227"/>
      <c r="Q12" s="227">
        <f>F12*0.1%</f>
        <v>36.236165658018606</v>
      </c>
      <c r="R12" s="227"/>
      <c r="S12" s="227">
        <f>SUM(F12+Q12+R12)+(P12)</f>
        <v>36272.401823676621</v>
      </c>
      <c r="T12" s="227">
        <v>19.579999999999998</v>
      </c>
      <c r="U12" s="6">
        <f>SUM(F12+R12)+(P12)</f>
        <v>36236.165658018603</v>
      </c>
      <c r="V12" s="64"/>
    </row>
    <row r="13" spans="2:24" ht="24.6" customHeight="1" thickBot="1">
      <c r="C13" s="358" t="s">
        <v>346</v>
      </c>
      <c r="D13" s="239"/>
      <c r="E13" s="239"/>
      <c r="F13" s="240">
        <f>SUM(F9:F12)</f>
        <v>1912712.2841470176</v>
      </c>
      <c r="G13" s="241">
        <f>SUM(G9:G12)</f>
        <v>3753194.4538860708</v>
      </c>
      <c r="H13" s="241">
        <f>SUM(H9:H12)</f>
        <v>291592.17070378264</v>
      </c>
      <c r="I13" s="240">
        <f t="shared" ref="I13:I70" si="8">F13/G13*1000</f>
        <v>509.62248496519771</v>
      </c>
      <c r="J13" s="242">
        <f>H13/G13</f>
        <v>7.7691730147865665E-2</v>
      </c>
      <c r="K13" s="240">
        <f>F13/H13</f>
        <v>6.5595460931976426</v>
      </c>
      <c r="L13" s="240"/>
      <c r="M13" s="241">
        <f>SUM(M9:M12)</f>
        <v>238049.06245601227</v>
      </c>
      <c r="N13" s="243">
        <f>O13/H13</f>
        <v>0.39637048662252816</v>
      </c>
      <c r="O13" s="241">
        <f>SUM(O9:O12)</f>
        <v>115578.53059717763</v>
      </c>
      <c r="P13" s="244">
        <f>SUM(P9:P12)</f>
        <v>37529.522369779981</v>
      </c>
      <c r="Q13" s="244">
        <f>SUM(Q9:Q12)</f>
        <v>1912.7122841470175</v>
      </c>
      <c r="R13" s="245"/>
      <c r="S13" s="244">
        <f>SUM(S9:S12)</f>
        <v>1952154.5188009446</v>
      </c>
      <c r="T13" s="240">
        <f>F13/O13</f>
        <v>16.549027524959079</v>
      </c>
      <c r="U13" s="240">
        <f>SUM(U9:U12)</f>
        <v>1818410.8391618747</v>
      </c>
      <c r="W13" s="63"/>
    </row>
    <row r="14" spans="2:24" ht="24.6" customHeight="1" thickTop="1">
      <c r="C14" s="356" t="s">
        <v>432</v>
      </c>
      <c r="D14" s="593" t="s">
        <v>340</v>
      </c>
      <c r="E14" s="46" t="s">
        <v>341</v>
      </c>
      <c r="F14" s="230">
        <v>365000</v>
      </c>
      <c r="G14" s="47">
        <f t="shared" ref="G14:G17" si="9">H14/J14</f>
        <v>271591.42916718905</v>
      </c>
      <c r="H14" s="47">
        <f t="shared" ref="H14:H17" si="10">F14/K14</f>
        <v>36355.487892509671</v>
      </c>
      <c r="I14" s="230">
        <f t="shared" si="8"/>
        <v>1343.9304808669406</v>
      </c>
      <c r="J14" s="223">
        <v>0.13386095431652809</v>
      </c>
      <c r="K14" s="31">
        <v>10.039749736798361</v>
      </c>
      <c r="L14" s="31">
        <v>13.81</v>
      </c>
      <c r="M14" s="47">
        <f>F14/L14</f>
        <v>26430.123099203476</v>
      </c>
      <c r="N14" s="32">
        <f t="shared" si="3"/>
        <v>0.40401407391542699</v>
      </c>
      <c r="O14" s="47">
        <f>F14/T14</f>
        <v>14688.128772635813</v>
      </c>
      <c r="P14" s="227"/>
      <c r="Q14" s="227">
        <f t="shared" ref="Q14:Q17" si="11">F14*0.1%</f>
        <v>365</v>
      </c>
      <c r="R14" s="227"/>
      <c r="S14" s="227">
        <f t="shared" ref="S14:S17" si="12">SUM(F14+Q14+R14)+(P14)</f>
        <v>365365</v>
      </c>
      <c r="T14" s="227">
        <v>24.85</v>
      </c>
      <c r="U14" s="4">
        <f>SUM(F14+R14)+(P14)</f>
        <v>365000</v>
      </c>
      <c r="W14" s="63"/>
      <c r="X14" s="63"/>
    </row>
    <row r="15" spans="2:24" ht="24.6" customHeight="1">
      <c r="C15" s="357">
        <v>2</v>
      </c>
      <c r="D15" s="593"/>
      <c r="E15" s="46" t="s">
        <v>342</v>
      </c>
      <c r="F15" s="230">
        <v>415415</v>
      </c>
      <c r="G15" s="47">
        <f t="shared" si="9"/>
        <v>2261968.6500105425</v>
      </c>
      <c r="H15" s="47">
        <f t="shared" si="10"/>
        <v>105559.72913687379</v>
      </c>
      <c r="I15" s="230">
        <f t="shared" si="8"/>
        <v>183.65197059564193</v>
      </c>
      <c r="J15" s="223">
        <v>4.6667193701549224E-2</v>
      </c>
      <c r="K15" s="31">
        <v>3.935354925564019</v>
      </c>
      <c r="L15" s="31">
        <v>1.9</v>
      </c>
      <c r="M15" s="47">
        <f t="shared" ref="M15:M17" si="13">F15/L15</f>
        <v>218639.47368421053</v>
      </c>
      <c r="N15" s="32">
        <f t="shared" si="3"/>
        <v>0.2334136966526702</v>
      </c>
      <c r="O15" s="47">
        <f t="shared" ref="O15:O17" si="14">F15/T15</f>
        <v>24639.086595492292</v>
      </c>
      <c r="P15" s="227"/>
      <c r="Q15" s="227">
        <f t="shared" si="11"/>
        <v>415.41500000000002</v>
      </c>
      <c r="R15" s="227"/>
      <c r="S15" s="227">
        <f t="shared" si="12"/>
        <v>415830.41499999998</v>
      </c>
      <c r="T15" s="227">
        <v>16.86</v>
      </c>
      <c r="U15" s="4">
        <f>SUM(F15+R15)+(P15)</f>
        <v>415415</v>
      </c>
      <c r="W15" s="63"/>
      <c r="X15" s="63"/>
    </row>
    <row r="16" spans="2:24" ht="24.6" customHeight="1" thickBot="1">
      <c r="C16" s="341"/>
      <c r="D16" s="593"/>
      <c r="E16" s="46" t="s">
        <v>343</v>
      </c>
      <c r="F16" s="230">
        <v>40000</v>
      </c>
      <c r="G16" s="47">
        <f t="shared" si="9"/>
        <v>231562.61444846421</v>
      </c>
      <c r="H16" s="47">
        <f t="shared" si="10"/>
        <v>3679.1213759290363</v>
      </c>
      <c r="I16" s="230">
        <f t="shared" si="8"/>
        <v>172.73945578508858</v>
      </c>
      <c r="J16" s="223">
        <v>1.5888235606131701E-2</v>
      </c>
      <c r="K16" s="31">
        <v>10.872161016949153</v>
      </c>
      <c r="L16" s="31">
        <v>8.19</v>
      </c>
      <c r="M16" s="47">
        <f t="shared" si="13"/>
        <v>4884.0048840048839</v>
      </c>
      <c r="N16" s="32">
        <f t="shared" si="3"/>
        <v>0.43593267910782491</v>
      </c>
      <c r="O16" s="47">
        <f t="shared" si="14"/>
        <v>1603.8492381716119</v>
      </c>
      <c r="P16" s="227"/>
      <c r="Q16" s="227">
        <f t="shared" si="11"/>
        <v>40</v>
      </c>
      <c r="R16" s="227"/>
      <c r="S16" s="227">
        <f t="shared" si="12"/>
        <v>40040</v>
      </c>
      <c r="T16" s="227">
        <v>24.94</v>
      </c>
      <c r="U16" s="4"/>
      <c r="W16" s="63"/>
      <c r="X16" s="63"/>
    </row>
    <row r="17" spans="2:24" ht="24.6" customHeight="1">
      <c r="C17" s="341"/>
      <c r="D17" s="354" t="s">
        <v>344</v>
      </c>
      <c r="E17" s="46" t="s">
        <v>345</v>
      </c>
      <c r="F17" s="230">
        <v>14000</v>
      </c>
      <c r="G17" s="47">
        <f t="shared" si="9"/>
        <v>164767.13695915189</v>
      </c>
      <c r="H17" s="47">
        <f t="shared" si="10"/>
        <v>5173.6881005173691</v>
      </c>
      <c r="I17" s="230">
        <f t="shared" si="8"/>
        <v>84.968399999999988</v>
      </c>
      <c r="J17" s="223">
        <v>3.1399999999999997E-2</v>
      </c>
      <c r="K17" s="31">
        <v>2.706</v>
      </c>
      <c r="L17" s="31">
        <v>2.67</v>
      </c>
      <c r="M17" s="47">
        <f t="shared" si="13"/>
        <v>5243.4456928838954</v>
      </c>
      <c r="N17" s="32">
        <f t="shared" si="3"/>
        <v>0.15992907801418438</v>
      </c>
      <c r="O17" s="47">
        <f t="shared" si="14"/>
        <v>827.42316784869968</v>
      </c>
      <c r="P17" s="227"/>
      <c r="Q17" s="227">
        <f t="shared" si="11"/>
        <v>14</v>
      </c>
      <c r="R17" s="227"/>
      <c r="S17" s="227">
        <f t="shared" si="12"/>
        <v>14014</v>
      </c>
      <c r="T17" s="227">
        <v>16.920000000000002</v>
      </c>
      <c r="U17" s="6">
        <f>SUM(F17+R17)+(P17)</f>
        <v>14000</v>
      </c>
      <c r="W17" s="63"/>
      <c r="X17" s="63"/>
    </row>
    <row r="18" spans="2:24" ht="24.6" customHeight="1" thickBot="1">
      <c r="C18" s="238" t="s">
        <v>347</v>
      </c>
      <c r="D18" s="239"/>
      <c r="E18" s="239"/>
      <c r="F18" s="240">
        <f>SUM(F14:F17)</f>
        <v>834415</v>
      </c>
      <c r="G18" s="241">
        <f>SUM(G14:G17)</f>
        <v>2929889.8305853475</v>
      </c>
      <c r="H18" s="241">
        <f>SUM(H14:H17)</f>
        <v>150768.02650582988</v>
      </c>
      <c r="I18" s="240">
        <f t="shared" si="8"/>
        <v>284.79398484184526</v>
      </c>
      <c r="J18" s="242">
        <f>H18/G18</f>
        <v>5.1458599204635871E-2</v>
      </c>
      <c r="K18" s="240">
        <f>F18/H18</f>
        <v>5.5344294101225433</v>
      </c>
      <c r="L18" s="240"/>
      <c r="M18" s="241">
        <f>SUM(M14:M17)</f>
        <v>255197.04736030279</v>
      </c>
      <c r="N18" s="243">
        <f>O18/H18</f>
        <v>0.27697177406864648</v>
      </c>
      <c r="O18" s="241">
        <f>SUM(O14:O17)</f>
        <v>41758.487774148416</v>
      </c>
      <c r="P18" s="245"/>
      <c r="Q18" s="244">
        <f>SUM(Q14:Q17)</f>
        <v>834.41499999999996</v>
      </c>
      <c r="R18" s="245"/>
      <c r="S18" s="244">
        <f>SUM(S14:S17)</f>
        <v>835249.41500000004</v>
      </c>
      <c r="T18" s="240">
        <f t="shared" ref="T18:T43" si="15">F18/O18</f>
        <v>19.981925698865091</v>
      </c>
      <c r="U18" s="240">
        <f>SUM(U14:U17)</f>
        <v>794415</v>
      </c>
      <c r="W18" s="63"/>
    </row>
    <row r="19" spans="2:24" ht="24.6" customHeight="1" thickTop="1">
      <c r="B19" s="366"/>
      <c r="C19" s="356" t="s">
        <v>432</v>
      </c>
      <c r="D19" s="593" t="s">
        <v>340</v>
      </c>
      <c r="E19" s="46" t="s">
        <v>341</v>
      </c>
      <c r="F19" s="230">
        <v>160451</v>
      </c>
      <c r="G19" s="47">
        <f>F19/I19*1000</f>
        <v>290159.88211889379</v>
      </c>
      <c r="H19" s="47">
        <f>G19*J19</f>
        <v>49896.812736452943</v>
      </c>
      <c r="I19" s="230">
        <v>552.97444577212354</v>
      </c>
      <c r="J19" s="223">
        <v>0.1719631686230407</v>
      </c>
      <c r="K19" s="31">
        <f>F19/H19</f>
        <v>3.2156562954727539</v>
      </c>
      <c r="L19" s="31">
        <v>4.3821649962490623</v>
      </c>
      <c r="M19" s="47">
        <f t="shared" ref="M19:M69" si="16">F19/L19</f>
        <v>36614.550145268127</v>
      </c>
      <c r="N19" s="32">
        <f t="shared" si="3"/>
        <v>0.3056707505202238</v>
      </c>
      <c r="O19" s="47">
        <f t="shared" ref="O19:O69" si="17">F19/T19</f>
        <v>15251.996197718632</v>
      </c>
      <c r="P19" s="227">
        <f>SUM(F19)*0.02</f>
        <v>3209.02</v>
      </c>
      <c r="Q19" s="227">
        <f t="shared" ref="Q19:Q22" si="18">F19*0.1%</f>
        <v>160.45099999999999</v>
      </c>
      <c r="R19" s="227"/>
      <c r="S19" s="227">
        <f t="shared" ref="S19:S22" si="19">SUM(F19+Q19+R19)+(P19)</f>
        <v>163820.47099999999</v>
      </c>
      <c r="T19" s="227">
        <v>10.52</v>
      </c>
      <c r="U19" s="4">
        <f>SUM(F19+R19)+(P19)</f>
        <v>163660.01999999999</v>
      </c>
      <c r="W19" s="63"/>
      <c r="X19" s="63"/>
    </row>
    <row r="20" spans="2:24" ht="24.6" customHeight="1">
      <c r="B20" s="366"/>
      <c r="C20" s="357">
        <v>3</v>
      </c>
      <c r="D20" s="593"/>
      <c r="E20" s="46" t="s">
        <v>342</v>
      </c>
      <c r="F20" s="230">
        <v>387000</v>
      </c>
      <c r="G20" s="47">
        <f>F20/I20*1000</f>
        <v>2321535.692861428</v>
      </c>
      <c r="H20" s="47">
        <f t="shared" ref="H20:H22" si="20">G20*J20</f>
        <v>176381.55055040237</v>
      </c>
      <c r="I20" s="230">
        <v>166.7</v>
      </c>
      <c r="J20" s="223">
        <v>7.5976238958015696E-2</v>
      </c>
      <c r="K20" s="31">
        <f t="shared" ref="K20:K22" si="21">F20/H20</f>
        <v>2.1941070298586123</v>
      </c>
      <c r="L20" s="31">
        <v>2.5963569009491163</v>
      </c>
      <c r="M20" s="47">
        <f t="shared" si="16"/>
        <v>149055.00852310768</v>
      </c>
      <c r="N20" s="32">
        <f t="shared" si="3"/>
        <v>0.10181471136234858</v>
      </c>
      <c r="O20" s="47">
        <f t="shared" si="17"/>
        <v>17958.236658932714</v>
      </c>
      <c r="P20" s="227">
        <f>SUM(F20)*0.02</f>
        <v>7740</v>
      </c>
      <c r="Q20" s="227">
        <f t="shared" si="18"/>
        <v>387</v>
      </c>
      <c r="R20" s="227"/>
      <c r="S20" s="227">
        <f t="shared" si="19"/>
        <v>395127</v>
      </c>
      <c r="T20" s="227">
        <v>21.55</v>
      </c>
      <c r="U20" s="4">
        <f>SUM(F20+R20)+(P20)</f>
        <v>394740</v>
      </c>
      <c r="W20" s="63"/>
      <c r="X20" s="63"/>
    </row>
    <row r="21" spans="2:24" ht="24.6" customHeight="1" thickBot="1">
      <c r="B21" s="366"/>
      <c r="C21" s="341"/>
      <c r="D21" s="593"/>
      <c r="E21" s="46" t="s">
        <v>343</v>
      </c>
      <c r="F21" s="230">
        <v>35000</v>
      </c>
      <c r="G21" s="47">
        <f t="shared" ref="G21:G22" si="22">F21/I21*1000</f>
        <v>94073.377234242711</v>
      </c>
      <c r="H21" s="47">
        <f t="shared" si="20"/>
        <v>4904.7550769897916</v>
      </c>
      <c r="I21" s="230">
        <v>372.05</v>
      </c>
      <c r="J21" s="223">
        <v>5.2137546468401484E-2</v>
      </c>
      <c r="K21" s="31">
        <f t="shared" si="21"/>
        <v>7.1359322638146168</v>
      </c>
      <c r="L21" s="31">
        <v>9.009894308943089</v>
      </c>
      <c r="M21" s="47">
        <f t="shared" si="16"/>
        <v>3884.6182651953545</v>
      </c>
      <c r="N21" s="32">
        <f t="shared" si="3"/>
        <v>0.26786532521826639</v>
      </c>
      <c r="O21" s="47">
        <f t="shared" si="17"/>
        <v>1313.8138138138138</v>
      </c>
      <c r="P21" s="227">
        <f>SUM(F21)*0.02</f>
        <v>700</v>
      </c>
      <c r="Q21" s="227">
        <f t="shared" si="18"/>
        <v>35</v>
      </c>
      <c r="R21" s="227"/>
      <c r="S21" s="227">
        <f t="shared" si="19"/>
        <v>35735</v>
      </c>
      <c r="T21" s="227">
        <v>26.64</v>
      </c>
      <c r="U21" s="4"/>
      <c r="W21" s="63"/>
      <c r="X21" s="63"/>
    </row>
    <row r="22" spans="2:24" ht="24.6" customHeight="1" thickBot="1">
      <c r="C22" s="342"/>
      <c r="D22" s="354" t="s">
        <v>344</v>
      </c>
      <c r="E22" s="46" t="s">
        <v>345</v>
      </c>
      <c r="F22" s="230">
        <v>12000</v>
      </c>
      <c r="G22" s="47">
        <f t="shared" si="22"/>
        <v>209351.011863224</v>
      </c>
      <c r="H22" s="47">
        <f t="shared" si="20"/>
        <v>9316.1200279134682</v>
      </c>
      <c r="I22" s="230">
        <v>57.32</v>
      </c>
      <c r="J22" s="223">
        <v>4.4499999999999998E-2</v>
      </c>
      <c r="K22" s="31">
        <f t="shared" si="21"/>
        <v>1.2880898876404494</v>
      </c>
      <c r="L22" s="31">
        <v>1.78</v>
      </c>
      <c r="M22" s="47">
        <f t="shared" si="16"/>
        <v>6741.5730337078649</v>
      </c>
      <c r="N22" s="32">
        <f t="shared" si="3"/>
        <v>4.3370029886883821E-2</v>
      </c>
      <c r="O22" s="47">
        <f t="shared" si="17"/>
        <v>404.04040404040404</v>
      </c>
      <c r="P22" s="227"/>
      <c r="Q22" s="227">
        <f t="shared" si="18"/>
        <v>12</v>
      </c>
      <c r="R22" s="227"/>
      <c r="S22" s="227">
        <f t="shared" si="19"/>
        <v>12012</v>
      </c>
      <c r="T22" s="227">
        <v>29.7</v>
      </c>
      <c r="U22" s="6">
        <f>SUM(F22+R22)+(P22)</f>
        <v>12000</v>
      </c>
      <c r="W22" s="63"/>
      <c r="X22" s="63"/>
    </row>
    <row r="23" spans="2:24" ht="24.6" customHeight="1" thickBot="1">
      <c r="C23" s="238" t="s">
        <v>348</v>
      </c>
      <c r="D23" s="329"/>
      <c r="E23" s="329"/>
      <c r="F23" s="330">
        <f>SUM(F19:F22)</f>
        <v>594451</v>
      </c>
      <c r="G23" s="331">
        <f>SUM(G19:G22)</f>
        <v>2915119.9640777889</v>
      </c>
      <c r="H23" s="331">
        <f>SUM(H19:H22)</f>
        <v>240499.23839175858</v>
      </c>
      <c r="I23" s="330">
        <f t="shared" si="8"/>
        <v>203.91990975508867</v>
      </c>
      <c r="J23" s="332"/>
      <c r="K23" s="330"/>
      <c r="L23" s="330"/>
      <c r="M23" s="331">
        <f>SUM(M19:M22)</f>
        <v>196295.749967279</v>
      </c>
      <c r="N23" s="333">
        <f>O23/H23</f>
        <v>0.14523159120200557</v>
      </c>
      <c r="O23" s="331">
        <f>SUM(O19:O22)</f>
        <v>34928.087074505565</v>
      </c>
      <c r="P23" s="335">
        <f>SUM(P19:P22)</f>
        <v>11649.02</v>
      </c>
      <c r="Q23" s="335">
        <f>SUM(Q19:Q22)</f>
        <v>594.45100000000002</v>
      </c>
      <c r="R23" s="334"/>
      <c r="S23" s="335">
        <f>SUM(S19:S22)</f>
        <v>606694.47100000002</v>
      </c>
      <c r="T23" s="330">
        <f t="shared" si="15"/>
        <v>17.019283040951219</v>
      </c>
      <c r="U23" s="246">
        <f>SUM(U19:U22)</f>
        <v>570400.02</v>
      </c>
      <c r="W23" s="63"/>
    </row>
    <row r="24" spans="2:24" ht="24.6" customHeight="1" thickTop="1" thickBot="1">
      <c r="C24" s="356" t="s">
        <v>432</v>
      </c>
      <c r="D24" s="592" t="s">
        <v>340</v>
      </c>
      <c r="E24" s="46" t="s">
        <v>341</v>
      </c>
      <c r="F24" s="230">
        <v>153600</v>
      </c>
      <c r="G24" s="47">
        <f t="shared" ref="G24:G27" si="23">H24/J24</f>
        <v>335141.07202855009</v>
      </c>
      <c r="H24" s="47">
        <f t="shared" ref="H24:H27" si="24">F24/K24</f>
        <v>53118.482688610493</v>
      </c>
      <c r="I24" s="230">
        <f t="shared" si="8"/>
        <v>458.31446163935135</v>
      </c>
      <c r="J24" s="223">
        <v>0.15849589060240704</v>
      </c>
      <c r="K24" s="31">
        <v>2.8916488616670231</v>
      </c>
      <c r="L24" s="31">
        <v>7.58</v>
      </c>
      <c r="M24" s="47">
        <f t="shared" si="16"/>
        <v>20263.852242744062</v>
      </c>
      <c r="N24" s="32">
        <f t="shared" si="3"/>
        <v>0.10982335213319497</v>
      </c>
      <c r="O24" s="47">
        <f t="shared" si="17"/>
        <v>5833.6498290922909</v>
      </c>
      <c r="P24" s="227">
        <f>SUM(F24)*0.02</f>
        <v>3072</v>
      </c>
      <c r="Q24" s="227">
        <f t="shared" ref="Q24:Q27" si="25">F24*0.1%</f>
        <v>153.6</v>
      </c>
      <c r="R24" s="227"/>
      <c r="S24" s="227">
        <f t="shared" ref="S24:S27" si="26">SUM(F24+Q24+R24)+(P24)</f>
        <v>156825.60000000001</v>
      </c>
      <c r="T24" s="227">
        <v>26.33</v>
      </c>
      <c r="U24" s="6">
        <f>SUM(F24+R24)+(P24)</f>
        <v>156672</v>
      </c>
    </row>
    <row r="25" spans="2:24" ht="24.6" customHeight="1" thickBot="1">
      <c r="C25" s="357">
        <v>6</v>
      </c>
      <c r="D25" s="592"/>
      <c r="E25" s="46" t="s">
        <v>342</v>
      </c>
      <c r="F25" s="230">
        <v>73882.420564497996</v>
      </c>
      <c r="G25" s="47">
        <f t="shared" si="23"/>
        <v>527179.91256900516</v>
      </c>
      <c r="H25" s="47">
        <f t="shared" si="24"/>
        <v>23337.207402735719</v>
      </c>
      <c r="I25" s="230">
        <f t="shared" si="8"/>
        <v>140.14650179757592</v>
      </c>
      <c r="J25" s="223">
        <v>4.4268013341045118E-2</v>
      </c>
      <c r="K25" s="31">
        <v>3.1658638195004034</v>
      </c>
      <c r="L25" s="31">
        <v>3.78</v>
      </c>
      <c r="M25" s="47">
        <f t="shared" si="16"/>
        <v>19545.61390595185</v>
      </c>
      <c r="N25" s="32">
        <f t="shared" si="3"/>
        <v>0.11246407884548504</v>
      </c>
      <c r="O25" s="47">
        <f t="shared" si="17"/>
        <v>2624.5975333747069</v>
      </c>
      <c r="P25" s="227">
        <f>SUM(F25)*0.02</f>
        <v>1477.64841128996</v>
      </c>
      <c r="Q25" s="227">
        <f t="shared" si="25"/>
        <v>73.882420564497991</v>
      </c>
      <c r="R25" s="227"/>
      <c r="S25" s="227">
        <f t="shared" si="26"/>
        <v>75433.951396352451</v>
      </c>
      <c r="T25" s="227">
        <v>28.15</v>
      </c>
      <c r="U25" s="6">
        <f>SUM(F25+R25)+(P25)</f>
        <v>75360.068975787959</v>
      </c>
      <c r="V25" s="30"/>
    </row>
    <row r="26" spans="2:24" ht="24.6" customHeight="1" thickBot="1">
      <c r="C26" s="340"/>
      <c r="D26" s="592"/>
      <c r="E26" s="46" t="s">
        <v>343</v>
      </c>
      <c r="F26" s="230">
        <v>6721.2</v>
      </c>
      <c r="G26" s="47">
        <f t="shared" si="23"/>
        <v>67104.538370546128</v>
      </c>
      <c r="H26" s="47">
        <f t="shared" si="24"/>
        <v>2081.191072373902</v>
      </c>
      <c r="I26" s="230">
        <f t="shared" si="8"/>
        <v>100.16014062843331</v>
      </c>
      <c r="J26" s="223">
        <v>3.101416272147979E-2</v>
      </c>
      <c r="K26" s="31">
        <v>3.2294968440036071</v>
      </c>
      <c r="L26" s="31">
        <v>4.2300000000000004</v>
      </c>
      <c r="M26" s="47">
        <f t="shared" si="16"/>
        <v>1588.9361702127658</v>
      </c>
      <c r="N26" s="32">
        <f t="shared" si="3"/>
        <v>0.24064805096897224</v>
      </c>
      <c r="O26" s="47">
        <f t="shared" si="17"/>
        <v>500.83457526080474</v>
      </c>
      <c r="P26" s="227">
        <f>SUM(F26)*0.02</f>
        <v>134.42400000000001</v>
      </c>
      <c r="Q26" s="227">
        <f t="shared" si="25"/>
        <v>6.7211999999999996</v>
      </c>
      <c r="R26" s="227"/>
      <c r="S26" s="227">
        <f t="shared" si="26"/>
        <v>6862.3451999999997</v>
      </c>
      <c r="T26" s="227">
        <v>13.42</v>
      </c>
      <c r="U26" s="6"/>
      <c r="V26" s="30"/>
    </row>
    <row r="27" spans="2:24" ht="24.6" customHeight="1">
      <c r="C27" s="349"/>
      <c r="D27" s="45" t="s">
        <v>344</v>
      </c>
      <c r="E27" s="46" t="s">
        <v>345</v>
      </c>
      <c r="F27" s="230">
        <v>3475.3050985489599</v>
      </c>
      <c r="G27" s="47">
        <f t="shared" si="23"/>
        <v>56021.999333562118</v>
      </c>
      <c r="H27" s="47">
        <f t="shared" si="24"/>
        <v>1418.0288471311242</v>
      </c>
      <c r="I27" s="230">
        <f t="shared" si="8"/>
        <v>62.034649600000009</v>
      </c>
      <c r="J27" s="223">
        <v>2.5311999999999998E-2</v>
      </c>
      <c r="K27" s="31">
        <v>2.4508000000000005</v>
      </c>
      <c r="L27" s="31">
        <v>0.99</v>
      </c>
      <c r="M27" s="47">
        <f t="shared" si="16"/>
        <v>3510.4091904534948</v>
      </c>
      <c r="N27" s="32">
        <f t="shared" si="3"/>
        <v>8.7093105899076068E-2</v>
      </c>
      <c r="O27" s="47">
        <f t="shared" si="17"/>
        <v>123.50053655113574</v>
      </c>
      <c r="P27" s="227"/>
      <c r="Q27" s="227">
        <f t="shared" si="25"/>
        <v>3.4753050985489602</v>
      </c>
      <c r="R27" s="227"/>
      <c r="S27" s="227">
        <f t="shared" si="26"/>
        <v>3478.780403647509</v>
      </c>
      <c r="T27" s="227">
        <v>28.14</v>
      </c>
      <c r="U27" s="6">
        <f>SUM(F27+R27)+(P27)</f>
        <v>3475.3050985489599</v>
      </c>
    </row>
    <row r="28" spans="2:24" ht="24.6" customHeight="1" thickBot="1">
      <c r="C28" s="238" t="s">
        <v>349</v>
      </c>
      <c r="D28" s="329"/>
      <c r="E28" s="329"/>
      <c r="F28" s="330">
        <f>SUM(F24:F27)</f>
        <v>237678.92566304698</v>
      </c>
      <c r="G28" s="331">
        <f>SUM(G24:G27)</f>
        <v>985447.52230166341</v>
      </c>
      <c r="H28" s="331">
        <f>SUM(H24:H27)</f>
        <v>79954.910010851236</v>
      </c>
      <c r="I28" s="330">
        <f t="shared" si="8"/>
        <v>241.18882059585627</v>
      </c>
      <c r="J28" s="332">
        <f>H28/G28</f>
        <v>8.1135634522784439E-2</v>
      </c>
      <c r="K28" s="330">
        <f>F28/H28</f>
        <v>2.9726620370254926</v>
      </c>
      <c r="L28" s="330"/>
      <c r="M28" s="331">
        <f>SUM(M24:M27)</f>
        <v>44908.811509362167</v>
      </c>
      <c r="N28" s="333">
        <f>O28/H28</f>
        <v>0.11359630663140359</v>
      </c>
      <c r="O28" s="331">
        <f>SUM(O24:O27)</f>
        <v>9082.5824742789373</v>
      </c>
      <c r="P28" s="335">
        <f>SUM(P24:P27)</f>
        <v>4684.0724112899597</v>
      </c>
      <c r="Q28" s="335">
        <f>SUM(Q24:Q27)</f>
        <v>237.67892566304698</v>
      </c>
      <c r="R28" s="334"/>
      <c r="S28" s="335">
        <f>SUM(S24:S27)</f>
        <v>242600.677</v>
      </c>
      <c r="T28" s="330">
        <f>F28/O28</f>
        <v>26.168650418108779</v>
      </c>
      <c r="U28" s="240">
        <f>SUM(U24:U27)</f>
        <v>235507.37407433693</v>
      </c>
      <c r="W28" s="30"/>
    </row>
    <row r="29" spans="2:24" ht="24.6" customHeight="1" thickTop="1">
      <c r="C29" s="356" t="s">
        <v>432</v>
      </c>
      <c r="D29" s="592" t="s">
        <v>340</v>
      </c>
      <c r="E29" s="46" t="s">
        <v>341</v>
      </c>
      <c r="F29" s="230">
        <v>195287.35304803899</v>
      </c>
      <c r="G29" s="47">
        <f t="shared" ref="G29:G31" si="27">F29/I29*1000</f>
        <v>422398.89722731459</v>
      </c>
      <c r="H29" s="47">
        <f t="shared" ref="H29:H31" si="28">G29*J29</f>
        <v>76449.561532051666</v>
      </c>
      <c r="I29" s="230">
        <v>462.32922086192099</v>
      </c>
      <c r="J29" s="223">
        <v>0.18098901780728424</v>
      </c>
      <c r="K29" s="31">
        <v>2.5544600797502843</v>
      </c>
      <c r="L29" s="31">
        <v>3.5</v>
      </c>
      <c r="M29" s="47">
        <f t="shared" si="16"/>
        <v>55796.386585153996</v>
      </c>
      <c r="N29" s="32">
        <f t="shared" si="3"/>
        <v>0.24098679997644196</v>
      </c>
      <c r="O29" s="47">
        <f t="shared" si="17"/>
        <v>18423.335193211227</v>
      </c>
      <c r="P29" s="227">
        <f t="shared" ref="P29:P31" si="29">SUM(F29)*0.02</f>
        <v>3905.7470609607799</v>
      </c>
      <c r="Q29" s="227">
        <f t="shared" ref="Q29:Q32" si="30">F29*0.1%</f>
        <v>195.28735304803899</v>
      </c>
      <c r="R29" s="227"/>
      <c r="S29" s="227">
        <f t="shared" ref="S29:S32" si="31">SUM(F29+Q29+R29)+(P29)</f>
        <v>199388.3874620478</v>
      </c>
      <c r="T29" s="227">
        <v>10.6</v>
      </c>
      <c r="U29" s="4">
        <f>SUM(F29+R29)+(P29)</f>
        <v>199193.10010899976</v>
      </c>
      <c r="W29" s="247"/>
      <c r="X29" s="247"/>
    </row>
    <row r="30" spans="2:24" ht="24.6" customHeight="1">
      <c r="C30" s="357">
        <v>5</v>
      </c>
      <c r="D30" s="592"/>
      <c r="E30" s="46" t="s">
        <v>342</v>
      </c>
      <c r="F30" s="230">
        <v>43422.135161606297</v>
      </c>
      <c r="G30" s="47">
        <f t="shared" si="27"/>
        <v>334016.42432004842</v>
      </c>
      <c r="H30" s="47">
        <f t="shared" si="28"/>
        <v>26119.254807097848</v>
      </c>
      <c r="I30" s="230">
        <v>130</v>
      </c>
      <c r="J30" s="223">
        <v>7.81975163654553E-2</v>
      </c>
      <c r="K30" s="31">
        <v>1.7731066303259542</v>
      </c>
      <c r="L30" s="31">
        <v>1.75</v>
      </c>
      <c r="M30" s="47">
        <f t="shared" si="16"/>
        <v>24812.648663775028</v>
      </c>
      <c r="N30" s="32">
        <f t="shared" si="3"/>
        <v>0.18533521647230672</v>
      </c>
      <c r="O30" s="47">
        <f t="shared" si="17"/>
        <v>4840.8177437688173</v>
      </c>
      <c r="P30" s="227">
        <f t="shared" si="29"/>
        <v>868.44270323212595</v>
      </c>
      <c r="Q30" s="227">
        <f t="shared" si="30"/>
        <v>43.422135161606299</v>
      </c>
      <c r="R30" s="227"/>
      <c r="S30" s="227">
        <f t="shared" si="31"/>
        <v>44334.000000000029</v>
      </c>
      <c r="T30" s="227">
        <v>8.9700000000000006</v>
      </c>
      <c r="U30" s="4">
        <f>SUM(F30+R30)+(P30)</f>
        <v>44290.577864838422</v>
      </c>
      <c r="V30" s="30"/>
      <c r="W30" s="64"/>
      <c r="X30" s="64"/>
    </row>
    <row r="31" spans="2:24" ht="24.6" customHeight="1" thickBot="1">
      <c r="C31" s="340"/>
      <c r="D31" s="592"/>
      <c r="E31" s="46" t="s">
        <v>343</v>
      </c>
      <c r="F31" s="230">
        <v>9805.0930460332984</v>
      </c>
      <c r="G31" s="47">
        <f t="shared" si="27"/>
        <v>178274.41901878724</v>
      </c>
      <c r="H31" s="47">
        <f t="shared" si="28"/>
        <v>6051.089940585468</v>
      </c>
      <c r="I31" s="230">
        <v>55</v>
      </c>
      <c r="J31" s="223">
        <v>3.3942558746736295E-2</v>
      </c>
      <c r="K31" s="31">
        <v>1.6832115384615385</v>
      </c>
      <c r="L31" s="31">
        <v>1.7</v>
      </c>
      <c r="M31" s="47">
        <f t="shared" si="16"/>
        <v>5767.7017917842932</v>
      </c>
      <c r="N31" s="32">
        <f t="shared" si="3"/>
        <v>0.10802564102564102</v>
      </c>
      <c r="O31" s="47">
        <f t="shared" si="17"/>
        <v>653.67286973555326</v>
      </c>
      <c r="P31" s="227">
        <f t="shared" si="29"/>
        <v>196.10186092066598</v>
      </c>
      <c r="Q31" s="227">
        <f t="shared" si="30"/>
        <v>9.8050930460332992</v>
      </c>
      <c r="R31" s="227"/>
      <c r="S31" s="227">
        <f t="shared" si="31"/>
        <v>10010.999999999998</v>
      </c>
      <c r="T31" s="227">
        <v>15</v>
      </c>
      <c r="U31" s="4"/>
      <c r="V31" s="30"/>
      <c r="W31" s="64"/>
      <c r="X31" s="64"/>
    </row>
    <row r="32" spans="2:24" ht="24.6" customHeight="1">
      <c r="C32" s="349"/>
      <c r="D32" s="45" t="s">
        <v>344</v>
      </c>
      <c r="E32" s="46" t="s">
        <v>345</v>
      </c>
      <c r="F32" s="230">
        <v>4396.5473623072003</v>
      </c>
      <c r="G32" s="47">
        <f t="shared" ref="G32" si="32">H32/J32</f>
        <v>99221.424589622882</v>
      </c>
      <c r="H32" s="47">
        <f t="shared" ref="H32" si="33">F32/K32</f>
        <v>1793.9233565803816</v>
      </c>
      <c r="I32" s="230">
        <f t="shared" si="8"/>
        <v>44.31046400000001</v>
      </c>
      <c r="J32" s="223">
        <v>1.8079999999999999E-2</v>
      </c>
      <c r="K32" s="31">
        <v>2.4508000000000005</v>
      </c>
      <c r="L32" s="31">
        <v>1.89</v>
      </c>
      <c r="M32" s="47">
        <f t="shared" si="16"/>
        <v>2326.2155356122753</v>
      </c>
      <c r="N32" s="32">
        <f t="shared" si="3"/>
        <v>0.18087084870848713</v>
      </c>
      <c r="O32" s="47">
        <f t="shared" si="17"/>
        <v>324.46844002267159</v>
      </c>
      <c r="P32" s="5"/>
      <c r="Q32" s="227">
        <f t="shared" si="30"/>
        <v>4.3965473623072002</v>
      </c>
      <c r="R32" s="227"/>
      <c r="S32" s="227">
        <f t="shared" si="31"/>
        <v>4400.9439096695078</v>
      </c>
      <c r="T32" s="227">
        <v>13.55</v>
      </c>
      <c r="U32" s="6">
        <f>SUM(F32+R32)+(P32)</f>
        <v>4396.5473623072003</v>
      </c>
    </row>
    <row r="33" spans="3:23" ht="24.6" customHeight="1" thickBot="1">
      <c r="C33" s="238" t="s">
        <v>350</v>
      </c>
      <c r="D33" s="329"/>
      <c r="E33" s="329"/>
      <c r="F33" s="330">
        <f>SUM(F29:F32)</f>
        <v>252911.12861798579</v>
      </c>
      <c r="G33" s="331">
        <f>SUM(G29:G32)</f>
        <v>1033911.1651557731</v>
      </c>
      <c r="H33" s="331">
        <f>SUM(H29:H32)</f>
        <v>110413.82963631538</v>
      </c>
      <c r="I33" s="330">
        <f t="shared" si="8"/>
        <v>244.61591782876357</v>
      </c>
      <c r="J33" s="332">
        <f>H33/G33</f>
        <v>0.1067923757450477</v>
      </c>
      <c r="K33" s="330">
        <f>F33/H33</f>
        <v>2.2905747355293498</v>
      </c>
      <c r="L33" s="330"/>
      <c r="M33" s="331">
        <f>SUM(M29:M32)</f>
        <v>88702.952576325595</v>
      </c>
      <c r="N33" s="333">
        <f>O33/H33</f>
        <v>0.21955849486054707</v>
      </c>
      <c r="O33" s="331">
        <f>SUM(O29:O32)</f>
        <v>24242.294246738271</v>
      </c>
      <c r="P33" s="334"/>
      <c r="Q33" s="335">
        <f>SUM(Q29:Q32)</f>
        <v>252.91112861798578</v>
      </c>
      <c r="R33" s="334"/>
      <c r="S33" s="335">
        <f>SUM(S29:S32)</f>
        <v>258134.33137171733</v>
      </c>
      <c r="T33" s="330">
        <f t="shared" si="15"/>
        <v>10.43263999866738</v>
      </c>
      <c r="U33" s="240">
        <f>SUM(U29:U32)</f>
        <v>247880.22533614538</v>
      </c>
    </row>
    <row r="34" spans="3:23" ht="24.6" customHeight="1" thickTop="1">
      <c r="C34" s="356" t="s">
        <v>432</v>
      </c>
      <c r="D34" s="592" t="s">
        <v>340</v>
      </c>
      <c r="E34" s="46" t="s">
        <v>341</v>
      </c>
      <c r="F34" s="230">
        <v>58100.444000000003</v>
      </c>
      <c r="G34" s="47">
        <f t="shared" ref="G34:G37" si="34">H34/J34</f>
        <v>54442.302445930451</v>
      </c>
      <c r="H34" s="47">
        <f t="shared" ref="H34:H37" si="35">F34/K34</f>
        <v>7246.8005561609552</v>
      </c>
      <c r="I34" s="230">
        <f t="shared" si="8"/>
        <v>1067.1929986374594</v>
      </c>
      <c r="J34" s="223">
        <v>0.13310973692485065</v>
      </c>
      <c r="K34" s="31">
        <v>8.0173924409448816</v>
      </c>
      <c r="L34" s="31">
        <v>10.07</v>
      </c>
      <c r="M34" s="47">
        <f>F34/L34</f>
        <v>5769.656802383317</v>
      </c>
      <c r="N34" s="32">
        <f t="shared" si="3"/>
        <v>0.3335021814036972</v>
      </c>
      <c r="O34" s="47">
        <f>F34/T34</f>
        <v>2416.8237936772048</v>
      </c>
      <c r="P34" s="5"/>
      <c r="Q34" s="227">
        <f t="shared" ref="Q34:Q37" si="36">F34*0.1%</f>
        <v>58.100444000000003</v>
      </c>
      <c r="R34" s="227"/>
      <c r="S34" s="227">
        <f t="shared" ref="S34:S37" si="37">SUM(F34+Q34+R34)+(P34)</f>
        <v>58158.544444000006</v>
      </c>
      <c r="T34" s="227">
        <v>24.04</v>
      </c>
      <c r="U34" s="4">
        <f>SUM(F34+R34)+(P34)</f>
        <v>58100.444000000003</v>
      </c>
    </row>
    <row r="35" spans="3:23" ht="24.6" customHeight="1" thickBot="1">
      <c r="C35" s="357">
        <v>4</v>
      </c>
      <c r="D35" s="592"/>
      <c r="E35" s="46" t="s">
        <v>342</v>
      </c>
      <c r="F35" s="230">
        <v>29574.556</v>
      </c>
      <c r="G35" s="47">
        <f t="shared" si="34"/>
        <v>106274.33192171266</v>
      </c>
      <c r="H35" s="47">
        <f t="shared" si="35"/>
        <v>15809.011827734714</v>
      </c>
      <c r="I35" s="230">
        <f t="shared" si="8"/>
        <v>278.28503332099228</v>
      </c>
      <c r="J35" s="223">
        <v>0.14875663334567443</v>
      </c>
      <c r="K35" s="31">
        <v>1.8707403297728928</v>
      </c>
      <c r="L35" s="31">
        <v>1.63</v>
      </c>
      <c r="M35" s="47">
        <f>F35/L35</f>
        <v>18143.899386503068</v>
      </c>
      <c r="N35" s="32">
        <f t="shared" si="3"/>
        <v>0.26878453013978343</v>
      </c>
      <c r="O35" s="47">
        <f t="shared" si="17"/>
        <v>4249.2178160919539</v>
      </c>
      <c r="P35" s="227"/>
      <c r="Q35" s="227">
        <f t="shared" si="36"/>
        <v>29.574556000000001</v>
      </c>
      <c r="R35" s="227"/>
      <c r="S35" s="227">
        <f t="shared" si="37"/>
        <v>29604.130556</v>
      </c>
      <c r="T35" s="227">
        <v>6.96</v>
      </c>
      <c r="U35" s="4">
        <f>SUM(F35+R35)+(P35)</f>
        <v>29574.556</v>
      </c>
    </row>
    <row r="36" spans="3:23" ht="24.6" hidden="1" customHeight="1" thickBot="1">
      <c r="C36" s="340"/>
      <c r="D36" s="592"/>
      <c r="E36" s="46" t="s">
        <v>343</v>
      </c>
      <c r="F36" s="230">
        <v>0</v>
      </c>
      <c r="G36" s="47">
        <f t="shared" si="34"/>
        <v>0</v>
      </c>
      <c r="H36" s="47">
        <f t="shared" si="35"/>
        <v>0</v>
      </c>
      <c r="I36" s="230" t="e">
        <f t="shared" si="8"/>
        <v>#DIV/0!</v>
      </c>
      <c r="J36" s="223">
        <v>5.6050000000000003E-2</v>
      </c>
      <c r="K36" s="31">
        <v>6.6852500000000008</v>
      </c>
      <c r="L36" s="31"/>
      <c r="M36" s="47" t="e">
        <f t="shared" si="16"/>
        <v>#DIV/0!</v>
      </c>
      <c r="N36" s="32" t="e">
        <f t="shared" si="3"/>
        <v>#DIV/0!</v>
      </c>
      <c r="O36" s="47"/>
      <c r="P36" s="227"/>
      <c r="Q36" s="227">
        <f t="shared" si="36"/>
        <v>0</v>
      </c>
      <c r="R36" s="227"/>
      <c r="S36" s="227">
        <f t="shared" si="37"/>
        <v>0</v>
      </c>
      <c r="T36" s="227" t="e">
        <f t="shared" si="15"/>
        <v>#DIV/0!</v>
      </c>
      <c r="U36" s="4"/>
    </row>
    <row r="37" spans="3:23" ht="24.6" customHeight="1">
      <c r="C37" s="340"/>
      <c r="D37" s="536" t="s">
        <v>344</v>
      </c>
      <c r="E37" s="46" t="s">
        <v>345</v>
      </c>
      <c r="F37" s="230">
        <v>1627.8020440924699</v>
      </c>
      <c r="G37" s="47">
        <f t="shared" si="34"/>
        <v>14252.500655733897</v>
      </c>
      <c r="H37" s="47">
        <f t="shared" si="35"/>
        <v>552.99702544247521</v>
      </c>
      <c r="I37" s="230">
        <f t="shared" si="8"/>
        <v>114.21168</v>
      </c>
      <c r="J37" s="223">
        <v>3.8800000000000001E-2</v>
      </c>
      <c r="K37" s="31">
        <v>2.9436</v>
      </c>
      <c r="L37" s="31">
        <v>5.32</v>
      </c>
      <c r="M37" s="47">
        <f>F37/L37</f>
        <v>305.97782783693043</v>
      </c>
      <c r="N37" s="32">
        <f t="shared" si="3"/>
        <v>0.1242025316455696</v>
      </c>
      <c r="O37" s="47">
        <f t="shared" si="17"/>
        <v>68.683630552424887</v>
      </c>
      <c r="P37" s="5"/>
      <c r="Q37" s="227">
        <f t="shared" si="36"/>
        <v>1.6278020440924699</v>
      </c>
      <c r="R37" s="227"/>
      <c r="S37" s="227">
        <f t="shared" si="37"/>
        <v>1629.4298461365624</v>
      </c>
      <c r="T37" s="227">
        <v>23.7</v>
      </c>
      <c r="U37" s="6">
        <f>SUM(F37+R37)+(P37)</f>
        <v>1627.8020440924699</v>
      </c>
    </row>
    <row r="38" spans="3:23" ht="24.6" customHeight="1" thickBot="1">
      <c r="C38" s="248" t="s">
        <v>351</v>
      </c>
      <c r="D38" s="329"/>
      <c r="E38" s="329"/>
      <c r="F38" s="359">
        <f>SUM(F34:F37)</f>
        <v>89302.802044092474</v>
      </c>
      <c r="G38" s="331">
        <f>SUM(G34:G37)</f>
        <v>174969.13502337699</v>
      </c>
      <c r="H38" s="331">
        <f>SUM(H34:H37)</f>
        <v>23608.809409338144</v>
      </c>
      <c r="I38" s="359">
        <f t="shared" si="8"/>
        <v>510.39174441915748</v>
      </c>
      <c r="J38" s="332">
        <f>H38/G38</f>
        <v>0.13493128034372381</v>
      </c>
      <c r="K38" s="330">
        <f>F38/H38</f>
        <v>3.7826050647335889</v>
      </c>
      <c r="L38" s="330"/>
      <c r="M38" s="331">
        <f>M34+M35+M37</f>
        <v>24219.534016723315</v>
      </c>
      <c r="N38" s="333">
        <f>O38/H38</f>
        <v>0.28526323049809338</v>
      </c>
      <c r="O38" s="331">
        <f>O34+O35+O37</f>
        <v>6734.7252403215834</v>
      </c>
      <c r="P38" s="334"/>
      <c r="Q38" s="335">
        <f>SUM(Q34:Q37)</f>
        <v>89.302802044092488</v>
      </c>
      <c r="R38" s="334"/>
      <c r="S38" s="335">
        <f>SUM(S34:S37)</f>
        <v>89392.104846136572</v>
      </c>
      <c r="T38" s="330">
        <f>F38/O38</f>
        <v>13.260051280106605</v>
      </c>
      <c r="U38" s="246">
        <f>SUM(U34:U37)</f>
        <v>89302.802044092474</v>
      </c>
      <c r="W38" s="30"/>
    </row>
    <row r="39" spans="3:23" ht="24.6" customHeight="1">
      <c r="C39" s="356" t="s">
        <v>432</v>
      </c>
      <c r="D39" s="592" t="s">
        <v>340</v>
      </c>
      <c r="E39" s="46" t="s">
        <v>341</v>
      </c>
      <c r="F39" s="230">
        <v>39725.963000000003</v>
      </c>
      <c r="G39" s="47">
        <f t="shared" ref="G39:G42" si="38">H39/J39</f>
        <v>84315.791480618223</v>
      </c>
      <c r="H39" s="47">
        <f t="shared" ref="H39:H42" si="39">F39/K39</f>
        <v>15594.938284445678</v>
      </c>
      <c r="I39" s="230">
        <f t="shared" si="8"/>
        <v>471.15685332956707</v>
      </c>
      <c r="J39" s="223">
        <v>0.18495868935809617</v>
      </c>
      <c r="K39" s="31">
        <v>2.5473626298106291</v>
      </c>
      <c r="L39" s="31">
        <v>3.63</v>
      </c>
      <c r="M39" s="47">
        <f t="shared" si="16"/>
        <v>10943.791460055098</v>
      </c>
      <c r="N39" s="32">
        <f t="shared" si="3"/>
        <v>0.32533366919675982</v>
      </c>
      <c r="O39" s="47">
        <f t="shared" si="17"/>
        <v>5073.5584929757351</v>
      </c>
      <c r="P39" s="5"/>
      <c r="Q39" s="227">
        <f t="shared" ref="Q39:Q42" si="40">F39*0.1%</f>
        <v>39.725963000000007</v>
      </c>
      <c r="R39" s="227"/>
      <c r="S39" s="227">
        <f t="shared" ref="S39:S42" si="41">SUM(F39+Q39+R39)+(P39)</f>
        <v>39765.688963000001</v>
      </c>
      <c r="T39" s="227">
        <v>7.83</v>
      </c>
      <c r="U39" s="4">
        <f>SUM(F39+R39)+(P39)</f>
        <v>39725.963000000003</v>
      </c>
    </row>
    <row r="40" spans="3:23" ht="24.6" customHeight="1">
      <c r="C40" s="357">
        <v>7</v>
      </c>
      <c r="D40" s="592"/>
      <c r="E40" s="46" t="s">
        <v>342</v>
      </c>
      <c r="F40" s="230">
        <v>34426.834999999999</v>
      </c>
      <c r="G40" s="47">
        <f t="shared" si="38"/>
        <v>118711.32114851805</v>
      </c>
      <c r="H40" s="47">
        <f t="shared" si="39"/>
        <v>10753.913724018028</v>
      </c>
      <c r="I40" s="230">
        <f t="shared" si="8"/>
        <v>290.00464881465746</v>
      </c>
      <c r="J40" s="223">
        <v>9.0588779738740827E-2</v>
      </c>
      <c r="K40" s="31">
        <v>3.201330779054917</v>
      </c>
      <c r="L40" s="31">
        <v>3.56</v>
      </c>
      <c r="M40" s="47">
        <f t="shared" si="16"/>
        <v>9670.4592696629206</v>
      </c>
      <c r="N40" s="32">
        <f t="shared" si="3"/>
        <v>0.17351386336341015</v>
      </c>
      <c r="O40" s="47">
        <f t="shared" si="17"/>
        <v>1865.9531165311653</v>
      </c>
      <c r="P40" s="5"/>
      <c r="Q40" s="227">
        <f t="shared" si="40"/>
        <v>34.426834999999997</v>
      </c>
      <c r="R40" s="227"/>
      <c r="S40" s="227">
        <f t="shared" si="41"/>
        <v>34461.261834999998</v>
      </c>
      <c r="T40" s="227">
        <v>18.45</v>
      </c>
      <c r="U40" s="4">
        <f>SUM(F40+R40)+(P40)</f>
        <v>34426.834999999999</v>
      </c>
      <c r="V40" s="64"/>
    </row>
    <row r="41" spans="3:23" ht="24.6" customHeight="1" thickBot="1">
      <c r="C41" s="340"/>
      <c r="D41" s="592"/>
      <c r="E41" s="46" t="s">
        <v>343</v>
      </c>
      <c r="F41" s="230">
        <v>6350.2160000000003</v>
      </c>
      <c r="G41" s="47">
        <f t="shared" si="38"/>
        <v>71665.463668528988</v>
      </c>
      <c r="H41" s="47">
        <f t="shared" si="39"/>
        <v>2457.6453590828355</v>
      </c>
      <c r="I41" s="230">
        <f t="shared" si="8"/>
        <v>88.609152511331899</v>
      </c>
      <c r="J41" s="223">
        <v>3.4293301588755092E-2</v>
      </c>
      <c r="K41" s="31">
        <v>2.5838618157543394</v>
      </c>
      <c r="L41" s="31">
        <v>3.29</v>
      </c>
      <c r="M41" s="47">
        <f t="shared" si="16"/>
        <v>1930.1568389057752</v>
      </c>
      <c r="N41" s="32">
        <f t="shared" si="3"/>
        <v>5.8300131221893939E-2</v>
      </c>
      <c r="O41" s="47">
        <f t="shared" si="17"/>
        <v>143.28104693140796</v>
      </c>
      <c r="P41" s="5"/>
      <c r="Q41" s="227">
        <f t="shared" si="40"/>
        <v>6.3502160000000005</v>
      </c>
      <c r="R41" s="227"/>
      <c r="S41" s="227">
        <f t="shared" si="41"/>
        <v>6356.5662160000002</v>
      </c>
      <c r="T41" s="227">
        <v>44.32</v>
      </c>
      <c r="U41" s="4"/>
      <c r="V41" s="64"/>
    </row>
    <row r="42" spans="3:23" ht="24.6" customHeight="1">
      <c r="C42" s="349"/>
      <c r="D42" s="45" t="s">
        <v>344</v>
      </c>
      <c r="E42" s="46" t="s">
        <v>345</v>
      </c>
      <c r="F42" s="230">
        <v>602.01088878687995</v>
      </c>
      <c r="G42" s="47">
        <f t="shared" si="38"/>
        <v>8298.1960542499201</v>
      </c>
      <c r="H42" s="47">
        <f t="shared" si="39"/>
        <v>760.1147585692928</v>
      </c>
      <c r="I42" s="230">
        <f t="shared" si="8"/>
        <v>72.547200000000018</v>
      </c>
      <c r="J42" s="223">
        <v>9.1600000000000015E-2</v>
      </c>
      <c r="K42" s="31">
        <v>0.79200000000000004</v>
      </c>
      <c r="L42" s="31">
        <v>0.15</v>
      </c>
      <c r="M42" s="47">
        <f t="shared" si="16"/>
        <v>4013.4059252458665</v>
      </c>
      <c r="N42" s="32">
        <f t="shared" si="3"/>
        <v>1.616326530612245</v>
      </c>
      <c r="O42" s="47">
        <f t="shared" si="17"/>
        <v>1228.5936505854693</v>
      </c>
      <c r="P42" s="5"/>
      <c r="Q42" s="227">
        <f t="shared" si="40"/>
        <v>0.60201088878687992</v>
      </c>
      <c r="R42" s="227"/>
      <c r="S42" s="227">
        <f t="shared" si="41"/>
        <v>602.61289967566688</v>
      </c>
      <c r="T42" s="227">
        <v>0.49</v>
      </c>
      <c r="U42" s="6">
        <f>SUM(F42+R42)+(P42)</f>
        <v>602.01088878687995</v>
      </c>
    </row>
    <row r="43" spans="3:23" ht="24.6" customHeight="1" thickBot="1">
      <c r="C43" s="238" t="s">
        <v>352</v>
      </c>
      <c r="D43" s="329"/>
      <c r="E43" s="329"/>
      <c r="F43" s="330">
        <f>SUM(F39:F42)</f>
        <v>81105.024888786895</v>
      </c>
      <c r="G43" s="331">
        <f>SUM(G39:G42)</f>
        <v>282990.77235191519</v>
      </c>
      <c r="H43" s="331">
        <f>SUM(H39:H40)</f>
        <v>26348.852008463706</v>
      </c>
      <c r="I43" s="330">
        <f t="shared" si="8"/>
        <v>286.59953896987201</v>
      </c>
      <c r="J43" s="332">
        <f>H43/G43</f>
        <v>9.3108520074631274E-2</v>
      </c>
      <c r="K43" s="330">
        <f>F43/H43</f>
        <v>3.0781236640873222</v>
      </c>
      <c r="L43" s="330"/>
      <c r="M43" s="331">
        <f>SUM(M39:M40)</f>
        <v>20614.25072971802</v>
      </c>
      <c r="N43" s="333">
        <f>O43/H43</f>
        <v>0.26337054864013848</v>
      </c>
      <c r="O43" s="331">
        <f>SUM(O39:O40)</f>
        <v>6939.5116095069006</v>
      </c>
      <c r="P43" s="334"/>
      <c r="Q43" s="335">
        <f>SUM(Q39:Q42)</f>
        <v>81.105024888786886</v>
      </c>
      <c r="R43" s="334"/>
      <c r="S43" s="335">
        <f>SUM(S39:S42)</f>
        <v>81186.129913675672</v>
      </c>
      <c r="T43" s="330">
        <f t="shared" si="15"/>
        <v>11.687425492260248</v>
      </c>
      <c r="U43" s="240">
        <f>SUM(U39:U42)</f>
        <v>74754.808888786894</v>
      </c>
    </row>
    <row r="44" spans="3:23" ht="24.6" customHeight="1" thickTop="1">
      <c r="C44" s="356" t="s">
        <v>432</v>
      </c>
      <c r="D44" s="592" t="s">
        <v>340</v>
      </c>
      <c r="E44" s="46" t="s">
        <v>341</v>
      </c>
      <c r="F44" s="230">
        <v>32841.972999999904</v>
      </c>
      <c r="G44" s="47">
        <f t="shared" ref="G44:G46" si="42">H44/J44</f>
        <v>124047.24658267116</v>
      </c>
      <c r="H44" s="47">
        <f t="shared" ref="H44:H46" si="43">F44/K44</f>
        <v>17319.788095167092</v>
      </c>
      <c r="I44" s="230">
        <f t="shared" si="8"/>
        <v>264.75374427688246</v>
      </c>
      <c r="J44" s="223">
        <v>0.13962251136001103</v>
      </c>
      <c r="K44" s="31">
        <v>1.8962110171061572</v>
      </c>
      <c r="L44" s="31">
        <v>4.3899999999999997</v>
      </c>
      <c r="M44" s="47">
        <f t="shared" si="16"/>
        <v>7481.087243735742</v>
      </c>
      <c r="N44" s="32">
        <f t="shared" si="3"/>
        <v>0.19270437165712978</v>
      </c>
      <c r="O44" s="47">
        <f t="shared" si="17"/>
        <v>3337.5988821138112</v>
      </c>
      <c r="P44" s="227"/>
      <c r="Q44" s="227">
        <f t="shared" ref="Q44:Q46" si="44">F44*0.1%</f>
        <v>32.841972999999903</v>
      </c>
      <c r="R44" s="227"/>
      <c r="S44" s="227">
        <f t="shared" ref="S44:S46" si="45">SUM(F44+Q44+R44)+(P44)</f>
        <v>32874.814972999906</v>
      </c>
      <c r="T44" s="227">
        <v>9.84</v>
      </c>
      <c r="U44" s="4">
        <f>SUM(F44+R44)+(P44)</f>
        <v>32841.972999999904</v>
      </c>
    </row>
    <row r="45" spans="3:23" ht="24.6" customHeight="1">
      <c r="C45" s="357">
        <v>8</v>
      </c>
      <c r="D45" s="592"/>
      <c r="E45" s="46" t="s">
        <v>342</v>
      </c>
      <c r="F45" s="230">
        <v>44322.485000000001</v>
      </c>
      <c r="G45" s="47">
        <f t="shared" si="42"/>
        <v>635013.05509627901</v>
      </c>
      <c r="H45" s="47">
        <f t="shared" si="43"/>
        <v>32996.62275713063</v>
      </c>
      <c r="I45" s="230">
        <f t="shared" si="8"/>
        <v>69.797753989923791</v>
      </c>
      <c r="J45" s="223">
        <v>5.1962117144391258E-2</v>
      </c>
      <c r="K45" s="31">
        <v>1.3432430744877317</v>
      </c>
      <c r="L45" s="31">
        <v>0.49</v>
      </c>
      <c r="M45" s="47">
        <f t="shared" si="16"/>
        <v>90454.051020408166</v>
      </c>
      <c r="N45" s="32">
        <f t="shared" si="3"/>
        <v>0.38378373556792333</v>
      </c>
      <c r="O45" s="47">
        <f t="shared" si="17"/>
        <v>12663.567142857142</v>
      </c>
      <c r="P45" s="227"/>
      <c r="Q45" s="227">
        <f t="shared" si="44"/>
        <v>44.322485</v>
      </c>
      <c r="R45" s="227"/>
      <c r="S45" s="227">
        <f t="shared" si="45"/>
        <v>44366.807484999998</v>
      </c>
      <c r="T45" s="227">
        <v>3.5</v>
      </c>
      <c r="U45" s="4">
        <f>SUM(F45+R45)+(P45)</f>
        <v>44322.485000000001</v>
      </c>
    </row>
    <row r="46" spans="3:23" ht="24.6" customHeight="1">
      <c r="C46" s="340"/>
      <c r="D46" s="592"/>
      <c r="E46" s="46" t="s">
        <v>343</v>
      </c>
      <c r="F46" s="230">
        <v>59.631</v>
      </c>
      <c r="G46" s="47">
        <f t="shared" si="42"/>
        <v>915.90909090909099</v>
      </c>
      <c r="H46" s="47">
        <f t="shared" si="43"/>
        <v>53.181818181818187</v>
      </c>
      <c r="I46" s="230">
        <f t="shared" si="8"/>
        <v>65.105806451612906</v>
      </c>
      <c r="J46" s="223">
        <v>5.8064516129032261E-2</v>
      </c>
      <c r="K46" s="31">
        <v>1.1212666666666666</v>
      </c>
      <c r="L46" s="31">
        <v>4</v>
      </c>
      <c r="M46" s="47">
        <f t="shared" si="16"/>
        <v>14.90775</v>
      </c>
      <c r="N46" s="32">
        <f t="shared" si="3"/>
        <v>0.11212666666666665</v>
      </c>
      <c r="O46" s="47">
        <f t="shared" si="17"/>
        <v>5.9630999999999998</v>
      </c>
      <c r="P46" s="227"/>
      <c r="Q46" s="227">
        <f t="shared" si="44"/>
        <v>5.9631000000000003E-2</v>
      </c>
      <c r="R46" s="227"/>
      <c r="S46" s="227">
        <f t="shared" si="45"/>
        <v>59.690631000000003</v>
      </c>
      <c r="T46" s="227">
        <v>10</v>
      </c>
      <c r="U46" s="229"/>
      <c r="V46" s="64"/>
    </row>
    <row r="47" spans="3:23" ht="24.6" customHeight="1" thickBot="1">
      <c r="C47" s="238" t="s">
        <v>353</v>
      </c>
      <c r="D47" s="329"/>
      <c r="E47" s="329"/>
      <c r="F47" s="330">
        <f>SUM(F44:F46)</f>
        <v>77224.088999999891</v>
      </c>
      <c r="G47" s="331">
        <f>SUM(G44:G46)</f>
        <v>759976.21076985926</v>
      </c>
      <c r="H47" s="331">
        <f>SUM(H44:H46)</f>
        <v>50369.592670479535</v>
      </c>
      <c r="I47" s="330">
        <f t="shared" si="8"/>
        <v>101.61382409821954</v>
      </c>
      <c r="J47" s="332">
        <f>H47/G47</f>
        <v>6.6277854433699865E-2</v>
      </c>
      <c r="K47" s="330">
        <f>F47/H47</f>
        <v>1.5331489675766061</v>
      </c>
      <c r="L47" s="330"/>
      <c r="M47" s="331">
        <f>SUM(M44:M46)</f>
        <v>97950.046014143911</v>
      </c>
      <c r="N47" s="333">
        <f>O47/H47</f>
        <v>0.31779349953632574</v>
      </c>
      <c r="O47" s="331">
        <f>SUM(O44:O46)</f>
        <v>16007.129124970954</v>
      </c>
      <c r="P47" s="334"/>
      <c r="Q47" s="335">
        <f>SUM(Q44:Q46)</f>
        <v>77.224088999999907</v>
      </c>
      <c r="R47" s="334"/>
      <c r="S47" s="335">
        <f>SUM(S44:S46)</f>
        <v>77301.313088999916</v>
      </c>
      <c r="T47" s="330">
        <f>F47/O47</f>
        <v>4.8243559727103795</v>
      </c>
      <c r="U47" s="240">
        <f>SUM(U44:U45)</f>
        <v>77164.457999999897</v>
      </c>
      <c r="V47" s="64"/>
    </row>
    <row r="48" spans="3:23" ht="24.6" customHeight="1" thickTop="1">
      <c r="C48" s="356" t="s">
        <v>432</v>
      </c>
      <c r="D48" s="592" t="s">
        <v>340</v>
      </c>
      <c r="E48" s="46" t="s">
        <v>341</v>
      </c>
      <c r="F48" s="230">
        <v>158248.601</v>
      </c>
      <c r="G48" s="47">
        <f t="shared" ref="G48:G51" si="46">H48/J48</f>
        <v>172766.99184134157</v>
      </c>
      <c r="H48" s="47">
        <f t="shared" ref="H48:H51" si="47">F48/K48</f>
        <v>28547.171530492327</v>
      </c>
      <c r="I48" s="230">
        <f t="shared" si="8"/>
        <v>915.96548225673587</v>
      </c>
      <c r="J48" s="223">
        <v>0.16523510206572484</v>
      </c>
      <c r="K48" s="31">
        <v>5.5434073680808833</v>
      </c>
      <c r="L48" s="31">
        <v>8.92</v>
      </c>
      <c r="M48" s="47">
        <f t="shared" si="16"/>
        <v>17740.874551569505</v>
      </c>
      <c r="N48" s="32">
        <f>O48/H48</f>
        <v>0.3771025420463186</v>
      </c>
      <c r="O48" s="47">
        <f t="shared" si="17"/>
        <v>10765.210952380952</v>
      </c>
      <c r="P48" s="227"/>
      <c r="Q48" s="227">
        <f t="shared" ref="Q48:Q51" si="48">F48*0.1%</f>
        <v>158.24860100000001</v>
      </c>
      <c r="R48" s="227"/>
      <c r="S48" s="227">
        <f>SUM(F48+Q48+R48)+(P48)</f>
        <v>158406.84960099999</v>
      </c>
      <c r="T48" s="227">
        <v>14.7</v>
      </c>
      <c r="U48" s="4">
        <f>SUM(F48+R48)+(P48)</f>
        <v>158248.601</v>
      </c>
      <c r="V48" s="64"/>
    </row>
    <row r="49" spans="3:23" ht="24.6" customHeight="1">
      <c r="C49" s="357">
        <v>9</v>
      </c>
      <c r="D49" s="592"/>
      <c r="E49" s="46" t="s">
        <v>342</v>
      </c>
      <c r="F49" s="230">
        <v>49104.678629026901</v>
      </c>
      <c r="G49" s="47">
        <f t="shared" si="46"/>
        <v>248610.54119442491</v>
      </c>
      <c r="H49" s="47">
        <f t="shared" si="47"/>
        <v>12516.515957801683</v>
      </c>
      <c r="I49" s="230">
        <f t="shared" si="8"/>
        <v>197.51647855761988</v>
      </c>
      <c r="J49" s="223">
        <v>5.0345877924835011E-2</v>
      </c>
      <c r="K49" s="31">
        <v>3.9231906701975969</v>
      </c>
      <c r="L49" s="31">
        <v>4.5</v>
      </c>
      <c r="M49" s="47">
        <f t="shared" si="16"/>
        <v>10912.150806450423</v>
      </c>
      <c r="N49" s="32">
        <f t="shared" si="3"/>
        <v>0.29542098420162627</v>
      </c>
      <c r="O49" s="47">
        <f t="shared" si="17"/>
        <v>3697.6414630291342</v>
      </c>
      <c r="P49" s="227"/>
      <c r="Q49" s="227">
        <f t="shared" si="48"/>
        <v>49.1046786290269</v>
      </c>
      <c r="R49" s="227"/>
      <c r="S49" s="227">
        <f>SUM(F49+Q49+R49)+(P49)</f>
        <v>49153.783307655925</v>
      </c>
      <c r="T49" s="227">
        <v>13.28</v>
      </c>
      <c r="U49" s="4">
        <f>SUM(F49+R49)+(P49)</f>
        <v>49104.678629026901</v>
      </c>
      <c r="V49" s="64"/>
    </row>
    <row r="50" spans="3:23" ht="24.6" customHeight="1">
      <c r="C50" s="340"/>
      <c r="D50" s="592"/>
      <c r="E50" s="46" t="s">
        <v>343</v>
      </c>
      <c r="F50" s="230">
        <v>2433.6129999999998</v>
      </c>
      <c r="G50" s="47">
        <f t="shared" si="46"/>
        <v>22008.656730395982</v>
      </c>
      <c r="H50" s="47">
        <f t="shared" si="47"/>
        <v>482.10782911321797</v>
      </c>
      <c r="I50" s="230">
        <f t="shared" si="8"/>
        <v>110.57526271646357</v>
      </c>
      <c r="J50" s="223">
        <v>2.1905372736691499E-2</v>
      </c>
      <c r="K50" s="31">
        <v>5.0478603603603611</v>
      </c>
      <c r="L50" s="31">
        <v>5.53</v>
      </c>
      <c r="M50" s="47">
        <f t="shared" si="16"/>
        <v>440.07468354430375</v>
      </c>
      <c r="N50" s="32">
        <f t="shared" si="3"/>
        <v>0.33719842086575558</v>
      </c>
      <c r="O50" s="47">
        <f t="shared" si="17"/>
        <v>162.56599866399463</v>
      </c>
      <c r="P50" s="227"/>
      <c r="Q50" s="227">
        <f t="shared" si="48"/>
        <v>2.4336129999999998</v>
      </c>
      <c r="R50" s="227"/>
      <c r="S50" s="227">
        <f t="shared" ref="S50:S51" si="49">SUM(F50+Q50+R50)+(P50)</f>
        <v>2436.046613</v>
      </c>
      <c r="T50" s="227">
        <v>14.97</v>
      </c>
      <c r="U50" s="229"/>
      <c r="V50" s="64"/>
    </row>
    <row r="51" spans="3:23" ht="24.6" customHeight="1">
      <c r="C51" s="340"/>
      <c r="D51" s="45" t="s">
        <v>344</v>
      </c>
      <c r="E51" s="46" t="s">
        <v>345</v>
      </c>
      <c r="F51" s="230">
        <v>5985.1498501499991</v>
      </c>
      <c r="G51" s="47">
        <f t="shared" si="46"/>
        <v>210744.23811685777</v>
      </c>
      <c r="H51" s="47">
        <f t="shared" si="47"/>
        <v>3810.255825152788</v>
      </c>
      <c r="I51" s="230">
        <f t="shared" si="8"/>
        <v>28.400063999999997</v>
      </c>
      <c r="J51" s="223">
        <v>1.8079999999999999E-2</v>
      </c>
      <c r="K51" s="31">
        <v>1.5708</v>
      </c>
      <c r="L51" s="31">
        <v>4.5</v>
      </c>
      <c r="M51" s="47">
        <f t="shared" si="16"/>
        <v>1330.033300033333</v>
      </c>
      <c r="N51" s="32">
        <f t="shared" si="3"/>
        <v>0.11828313253012047</v>
      </c>
      <c r="O51" s="47">
        <f t="shared" si="17"/>
        <v>450.68899474021077</v>
      </c>
      <c r="P51" s="227"/>
      <c r="Q51" s="227">
        <f t="shared" si="48"/>
        <v>5.9851498501499991</v>
      </c>
      <c r="R51" s="227"/>
      <c r="S51" s="227">
        <f t="shared" si="49"/>
        <v>5991.1350000001494</v>
      </c>
      <c r="T51" s="227">
        <v>13.28</v>
      </c>
      <c r="U51" s="229"/>
      <c r="V51" s="64"/>
      <c r="W51" s="64"/>
    </row>
    <row r="52" spans="3:23" ht="24.6" customHeight="1" thickBot="1">
      <c r="C52" s="238" t="s">
        <v>354</v>
      </c>
      <c r="D52" s="329"/>
      <c r="E52" s="329"/>
      <c r="F52" s="330">
        <f>SUM(F48:F51)</f>
        <v>215772.04247917689</v>
      </c>
      <c r="G52" s="331">
        <f>SUM(G48:G51)</f>
        <v>654130.42788302014</v>
      </c>
      <c r="H52" s="331">
        <f>SUM(H48:H51)</f>
        <v>45356.051142560013</v>
      </c>
      <c r="I52" s="330">
        <f t="shared" si="8"/>
        <v>329.86088596655827</v>
      </c>
      <c r="J52" s="332"/>
      <c r="K52" s="330"/>
      <c r="L52" s="330"/>
      <c r="M52" s="331">
        <f>SUM(M48:M51)</f>
        <v>30423.133341597564</v>
      </c>
      <c r="N52" s="333">
        <f>O52/H52</f>
        <v>0.33239462054198921</v>
      </c>
      <c r="O52" s="331">
        <f>SUM(O48:O51)</f>
        <v>15076.107408814292</v>
      </c>
      <c r="P52" s="334"/>
      <c r="Q52" s="335">
        <f>SUM(Q48:Q51)</f>
        <v>215.77204247917692</v>
      </c>
      <c r="R52" s="334"/>
      <c r="S52" s="335">
        <f>SUM(S48:S51)</f>
        <v>215987.81452165608</v>
      </c>
      <c r="T52" s="330">
        <f t="shared" ref="T52:T60" si="50">F52/O52</f>
        <v>14.312185276222237</v>
      </c>
      <c r="U52" s="240">
        <f>SUM(U48:U49)</f>
        <v>207353.27962902689</v>
      </c>
    </row>
    <row r="53" spans="3:23" ht="24.6" customHeight="1" thickTop="1">
      <c r="C53" s="356" t="s">
        <v>432</v>
      </c>
      <c r="D53" s="592" t="s">
        <v>340</v>
      </c>
      <c r="E53" s="46" t="s">
        <v>341</v>
      </c>
      <c r="F53" s="230">
        <v>15970.27</v>
      </c>
      <c r="G53" s="47">
        <f t="shared" ref="G53:G55" si="51">H53/J53</f>
        <v>60360.566090370012</v>
      </c>
      <c r="H53" s="47">
        <f t="shared" ref="H53:H55" si="52">F53/K53</f>
        <v>7615.0861687791812</v>
      </c>
      <c r="I53" s="230">
        <f t="shared" si="8"/>
        <v>264.58118328595185</v>
      </c>
      <c r="J53" s="223">
        <v>0.12615995279729658</v>
      </c>
      <c r="K53" s="31">
        <v>2.0971883503401365</v>
      </c>
      <c r="L53" s="31">
        <v>3.84</v>
      </c>
      <c r="M53" s="47">
        <f>F53/L53</f>
        <v>4158.924479166667</v>
      </c>
      <c r="N53" s="32">
        <f t="shared" si="3"/>
        <v>0.46092051655827176</v>
      </c>
      <c r="O53" s="47">
        <f>F53/T53</f>
        <v>3509.9494505494508</v>
      </c>
      <c r="P53" s="227"/>
      <c r="Q53" s="227">
        <f t="shared" ref="Q53:Q55" si="53">F53*0.1%</f>
        <v>15.970270000000001</v>
      </c>
      <c r="R53" s="227"/>
      <c r="S53" s="227">
        <f t="shared" ref="S53:S55" si="54">SUM(F53+Q53+R53)+(P53)</f>
        <v>15986.24027</v>
      </c>
      <c r="T53" s="227">
        <v>4.55</v>
      </c>
      <c r="U53" s="4">
        <f>SUM(F53+R53)+(P53)</f>
        <v>15970.27</v>
      </c>
    </row>
    <row r="54" spans="3:23" ht="24.6" customHeight="1">
      <c r="C54" s="357">
        <v>10</v>
      </c>
      <c r="D54" s="592"/>
      <c r="E54" s="46" t="s">
        <v>342</v>
      </c>
      <c r="F54" s="230">
        <v>28427.651999999998</v>
      </c>
      <c r="G54" s="47">
        <f t="shared" si="51"/>
        <v>361565.51930305496</v>
      </c>
      <c r="H54" s="47">
        <f t="shared" si="52"/>
        <v>19656.501106787422</v>
      </c>
      <c r="I54" s="230">
        <f t="shared" si="8"/>
        <v>78.623791490948747</v>
      </c>
      <c r="J54" s="223">
        <v>5.4364976905643056E-2</v>
      </c>
      <c r="K54" s="31">
        <v>1.4462213720316626</v>
      </c>
      <c r="L54" s="31">
        <v>3.84</v>
      </c>
      <c r="M54" s="47">
        <f>F54/L54</f>
        <v>7403.0343750000002</v>
      </c>
      <c r="N54" s="32">
        <f t="shared" si="3"/>
        <v>0.14652698804778752</v>
      </c>
      <c r="O54" s="47">
        <f t="shared" si="17"/>
        <v>2880.2079027355626</v>
      </c>
      <c r="P54" s="227"/>
      <c r="Q54" s="227">
        <f t="shared" si="53"/>
        <v>28.427651999999998</v>
      </c>
      <c r="R54" s="227"/>
      <c r="S54" s="227">
        <f t="shared" si="54"/>
        <v>28456.079651999997</v>
      </c>
      <c r="T54" s="227">
        <v>9.8699999999999992</v>
      </c>
      <c r="U54" s="4">
        <f>SUM(F54+R54)+(P54)</f>
        <v>28427.651999999998</v>
      </c>
      <c r="V54" s="64"/>
      <c r="W54" s="64"/>
    </row>
    <row r="55" spans="3:23" ht="24.6" customHeight="1">
      <c r="C55" s="340"/>
      <c r="D55" s="592"/>
      <c r="E55" s="46" t="s">
        <v>343</v>
      </c>
      <c r="F55" s="230">
        <v>23.407999999999998</v>
      </c>
      <c r="G55" s="47">
        <f t="shared" si="51"/>
        <v>58.72727272727272</v>
      </c>
      <c r="H55" s="47">
        <f t="shared" si="52"/>
        <v>5.1818181818181817</v>
      </c>
      <c r="I55" s="230">
        <f t="shared" si="8"/>
        <v>398.58823529411768</v>
      </c>
      <c r="J55" s="223">
        <v>8.8235294117647065E-2</v>
      </c>
      <c r="K55" s="31">
        <v>4.5173333333333332</v>
      </c>
      <c r="L55" s="31">
        <v>3.84</v>
      </c>
      <c r="M55" s="47">
        <f>F55/L55</f>
        <v>6.0958333333333332</v>
      </c>
      <c r="N55" s="32">
        <f t="shared" si="3"/>
        <v>0.99282051282051276</v>
      </c>
      <c r="O55" s="47">
        <f t="shared" si="17"/>
        <v>5.1446153846153839</v>
      </c>
      <c r="P55" s="227"/>
      <c r="Q55" s="227">
        <f t="shared" si="53"/>
        <v>2.3407999999999998E-2</v>
      </c>
      <c r="R55" s="227"/>
      <c r="S55" s="227">
        <f t="shared" si="54"/>
        <v>23.431407999999998</v>
      </c>
      <c r="T55" s="227">
        <v>4.55</v>
      </c>
      <c r="U55" s="229"/>
      <c r="V55" s="64"/>
    </row>
    <row r="56" spans="3:23" ht="24.6" customHeight="1" thickBot="1">
      <c r="C56" s="248" t="s">
        <v>355</v>
      </c>
      <c r="D56" s="329"/>
      <c r="E56" s="329"/>
      <c r="F56" s="330">
        <f>SUM(F53:F55)</f>
        <v>44421.33</v>
      </c>
      <c r="G56" s="331">
        <f>SUM(G53:G55)</f>
        <v>421984.81266615225</v>
      </c>
      <c r="H56" s="331">
        <f>SUM(H53:H55)</f>
        <v>27276.769093748422</v>
      </c>
      <c r="I56" s="330">
        <f t="shared" si="8"/>
        <v>105.26760363563926</v>
      </c>
      <c r="J56" s="332"/>
      <c r="K56" s="330"/>
      <c r="L56" s="330"/>
      <c r="M56" s="331">
        <f>SUM(M53:M55)</f>
        <v>11568.0546875</v>
      </c>
      <c r="N56" s="333">
        <f>O56/H56</f>
        <v>0.23445965857207671</v>
      </c>
      <c r="O56" s="331">
        <f>SUM(O53:O55)</f>
        <v>6395.3019686696289</v>
      </c>
      <c r="P56" s="334"/>
      <c r="Q56" s="335">
        <f>SUM(Q53:Q55)</f>
        <v>44.421330000000005</v>
      </c>
      <c r="R56" s="334"/>
      <c r="S56" s="335">
        <f>SUM(S53:S55)</f>
        <v>44465.751329999992</v>
      </c>
      <c r="T56" s="330">
        <f>F56/O56</f>
        <v>6.945931594413933</v>
      </c>
      <c r="U56" s="246">
        <f>SUM(U53:U54)</f>
        <v>44397.921999999999</v>
      </c>
      <c r="V56" s="64"/>
    </row>
    <row r="57" spans="3:23" ht="24.6" customHeight="1">
      <c r="C57" s="356" t="s">
        <v>432</v>
      </c>
      <c r="D57" s="592" t="s">
        <v>340</v>
      </c>
      <c r="E57" s="46" t="s">
        <v>341</v>
      </c>
      <c r="F57" s="230">
        <v>52816.911</v>
      </c>
      <c r="G57" s="47">
        <f t="shared" ref="G57:G59" si="55">H57/J57</f>
        <v>80827.672762205839</v>
      </c>
      <c r="H57" s="47">
        <f t="shared" ref="H57:H59" si="56">F57/K57</f>
        <v>15757.969212801334</v>
      </c>
      <c r="I57" s="230">
        <f t="shared" si="8"/>
        <v>653.45084418534225</v>
      </c>
      <c r="J57" s="223">
        <v>0.19495760145366445</v>
      </c>
      <c r="K57" s="31">
        <v>3.3517587378640781</v>
      </c>
      <c r="L57" s="31">
        <v>5.87</v>
      </c>
      <c r="M57" s="47">
        <f t="shared" si="16"/>
        <v>8997.7701873935257</v>
      </c>
      <c r="N57" s="32">
        <f t="shared" si="3"/>
        <v>0.18704010813973648</v>
      </c>
      <c r="O57" s="47">
        <f t="shared" si="17"/>
        <v>2947.3722656249997</v>
      </c>
      <c r="P57" s="5"/>
      <c r="Q57" s="227">
        <f t="shared" ref="Q57:Q59" si="57">F57*0.1%</f>
        <v>52.816911000000005</v>
      </c>
      <c r="R57" s="227"/>
      <c r="S57" s="227">
        <f t="shared" ref="S57:S59" si="58">SUM(F57+Q57+R57)+(P57)</f>
        <v>52869.727911000002</v>
      </c>
      <c r="T57" s="227">
        <v>17.920000000000002</v>
      </c>
      <c r="U57" s="4">
        <f>SUM(F57+R57)+(P57)</f>
        <v>52816.911</v>
      </c>
      <c r="V57" s="64"/>
    </row>
    <row r="58" spans="3:23" ht="24.6" customHeight="1">
      <c r="C58" s="357">
        <v>11</v>
      </c>
      <c r="D58" s="592"/>
      <c r="E58" s="46" t="s">
        <v>342</v>
      </c>
      <c r="F58" s="230">
        <v>19379.305</v>
      </c>
      <c r="G58" s="47">
        <f t="shared" si="55"/>
        <v>64937.05303531856</v>
      </c>
      <c r="H58" s="47">
        <f t="shared" si="56"/>
        <v>5929.9252804630232</v>
      </c>
      <c r="I58" s="230">
        <f t="shared" si="8"/>
        <v>298.43215997898466</v>
      </c>
      <c r="J58" s="223">
        <v>9.1318053457673867E-2</v>
      </c>
      <c r="K58" s="31">
        <v>3.2680521395181588</v>
      </c>
      <c r="L58" s="31">
        <v>3.69</v>
      </c>
      <c r="M58" s="47">
        <f t="shared" si="16"/>
        <v>5251.8441734417347</v>
      </c>
      <c r="N58" s="32">
        <f t="shared" si="3"/>
        <v>0.17146128748783623</v>
      </c>
      <c r="O58" s="47">
        <f t="shared" si="17"/>
        <v>1016.7526232948584</v>
      </c>
      <c r="P58" s="5"/>
      <c r="Q58" s="227">
        <f t="shared" si="57"/>
        <v>19.379305000000002</v>
      </c>
      <c r="R58" s="227"/>
      <c r="S58" s="227">
        <f t="shared" si="58"/>
        <v>19398.684304999999</v>
      </c>
      <c r="T58" s="227">
        <v>19.059999999999999</v>
      </c>
      <c r="U58" s="4">
        <f>SUM(F58+R58)+(P58)</f>
        <v>19379.305</v>
      </c>
      <c r="V58" s="64"/>
    </row>
    <row r="59" spans="3:23" ht="24.6" customHeight="1">
      <c r="C59" s="340"/>
      <c r="D59" s="592"/>
      <c r="E59" s="46" t="s">
        <v>343</v>
      </c>
      <c r="F59" s="230">
        <v>500.26600000000008</v>
      </c>
      <c r="G59" s="47">
        <f t="shared" si="55"/>
        <v>5320.2779682528089</v>
      </c>
      <c r="H59" s="47">
        <f t="shared" si="56"/>
        <v>110.76775336349485</v>
      </c>
      <c r="I59" s="230">
        <f t="shared" si="8"/>
        <v>94.030049366816925</v>
      </c>
      <c r="J59" s="223">
        <v>2.0819918437432926E-2</v>
      </c>
      <c r="K59" s="31">
        <v>4.5163505154639179</v>
      </c>
      <c r="L59" s="31">
        <v>6</v>
      </c>
      <c r="M59" s="47">
        <f t="shared" si="16"/>
        <v>83.377666666666684</v>
      </c>
      <c r="N59" s="32">
        <f t="shared" si="3"/>
        <v>0.22581752577319589</v>
      </c>
      <c r="O59" s="47">
        <f t="shared" si="17"/>
        <v>25.013300000000005</v>
      </c>
      <c r="P59" s="5"/>
      <c r="Q59" s="227">
        <f t="shared" si="57"/>
        <v>0.5002660000000001</v>
      </c>
      <c r="R59" s="227"/>
      <c r="S59" s="227">
        <f t="shared" si="58"/>
        <v>500.76626600000009</v>
      </c>
      <c r="T59" s="227">
        <v>20</v>
      </c>
      <c r="U59" s="229"/>
      <c r="V59" s="64"/>
    </row>
    <row r="60" spans="3:23" ht="24.6" customHeight="1" thickBot="1">
      <c r="C60" s="248" t="s">
        <v>356</v>
      </c>
      <c r="D60" s="329"/>
      <c r="E60" s="329"/>
      <c r="F60" s="330">
        <f>SUM(F57:F59)</f>
        <v>72696.482000000004</v>
      </c>
      <c r="G60" s="331">
        <f>SUM(G57:G59)</f>
        <v>151085.00376577719</v>
      </c>
      <c r="H60" s="331">
        <f>SUM(H57:H59)</f>
        <v>21798.662246627853</v>
      </c>
      <c r="I60" s="330">
        <f t="shared" si="8"/>
        <v>481.16279040307211</v>
      </c>
      <c r="J60" s="332"/>
      <c r="K60" s="330"/>
      <c r="L60" s="330"/>
      <c r="M60" s="331">
        <f>SUM(M57:M59)</f>
        <v>14332.992027501929</v>
      </c>
      <c r="N60" s="333">
        <f>O60/H60</f>
        <v>0.18299922003410821</v>
      </c>
      <c r="O60" s="331">
        <f>SUM(O57:O59)</f>
        <v>3989.1381889198583</v>
      </c>
      <c r="P60" s="334"/>
      <c r="Q60" s="335">
        <f>SUM(Q57:Q59)</f>
        <v>72.696482000000003</v>
      </c>
      <c r="R60" s="334"/>
      <c r="S60" s="335">
        <f>SUM(S57:S59)</f>
        <v>72769.178482000003</v>
      </c>
      <c r="T60" s="330">
        <f t="shared" si="50"/>
        <v>18.223605840960872</v>
      </c>
      <c r="U60" s="246">
        <f>SUM(U57:U58)</f>
        <v>72196.216</v>
      </c>
      <c r="V60" s="64"/>
    </row>
    <row r="61" spans="3:23" ht="24.6" customHeight="1">
      <c r="C61" s="356" t="s">
        <v>432</v>
      </c>
      <c r="D61" s="350" t="s">
        <v>340</v>
      </c>
      <c r="E61" s="360" t="s">
        <v>341</v>
      </c>
      <c r="F61" s="230">
        <v>38380.288</v>
      </c>
      <c r="G61" s="47">
        <f t="shared" ref="G61:G62" si="59">H61/J61</f>
        <v>60721.297687536782</v>
      </c>
      <c r="H61" s="47">
        <f t="shared" ref="H61:H62" si="60">F61/K61</f>
        <v>4675.9511575525157</v>
      </c>
      <c r="I61" s="230">
        <f t="shared" si="8"/>
        <v>632.07292106139653</v>
      </c>
      <c r="J61" s="223">
        <v>7.7006772510269786E-2</v>
      </c>
      <c r="K61" s="31">
        <v>8.2080173010380619</v>
      </c>
      <c r="L61" s="31">
        <v>13.27</v>
      </c>
      <c r="M61" s="47">
        <f t="shared" si="16"/>
        <v>2892.2598342125098</v>
      </c>
      <c r="N61" s="32">
        <v>0.28996539792387543</v>
      </c>
      <c r="O61" s="47">
        <f t="shared" si="17"/>
        <v>1079.3106861642293</v>
      </c>
      <c r="P61" s="5"/>
      <c r="Q61" s="227">
        <f t="shared" ref="Q61:Q62" si="61">F61*0.1%</f>
        <v>38.380288</v>
      </c>
      <c r="R61" s="227"/>
      <c r="S61" s="227">
        <f t="shared" ref="S61:S62" si="62">SUM(F61+Q61+R61)+(P61)</f>
        <v>38418.668288000001</v>
      </c>
      <c r="T61" s="227">
        <v>35.56</v>
      </c>
      <c r="U61" s="4">
        <f>SUM(F61+R61)+(P61)</f>
        <v>38380.288</v>
      </c>
      <c r="V61" s="64"/>
    </row>
    <row r="62" spans="3:23" ht="24.6" customHeight="1">
      <c r="C62" s="357">
        <v>12</v>
      </c>
      <c r="D62" s="58"/>
      <c r="E62" s="360" t="s">
        <v>342</v>
      </c>
      <c r="F62" s="230">
        <v>20480.383999999998</v>
      </c>
      <c r="G62" s="47">
        <f t="shared" si="59"/>
        <v>198989.38016797177</v>
      </c>
      <c r="H62" s="47">
        <f t="shared" si="60"/>
        <v>9836.6950497915441</v>
      </c>
      <c r="I62" s="230">
        <f t="shared" si="8"/>
        <v>102.92199504673067</v>
      </c>
      <c r="J62" s="223">
        <v>4.9433266446119638E-2</v>
      </c>
      <c r="K62" s="31">
        <v>2.0820391296397882</v>
      </c>
      <c r="L62" s="31">
        <v>2.84</v>
      </c>
      <c r="M62" s="47">
        <f t="shared" si="16"/>
        <v>7211.4028169014082</v>
      </c>
      <c r="N62" s="32">
        <v>4.5456207716218687E-2</v>
      </c>
      <c r="O62" s="47">
        <f t="shared" si="17"/>
        <v>678.60781974817758</v>
      </c>
      <c r="P62" s="5"/>
      <c r="Q62" s="227">
        <f t="shared" si="61"/>
        <v>20.480383999999997</v>
      </c>
      <c r="R62" s="227"/>
      <c r="S62" s="227">
        <f t="shared" si="62"/>
        <v>20500.864383999997</v>
      </c>
      <c r="T62" s="227">
        <v>30.18</v>
      </c>
      <c r="U62" s="4">
        <f>SUM(F62+R62)+(P62)</f>
        <v>20480.383999999998</v>
      </c>
      <c r="V62" s="48"/>
      <c r="W62" s="64"/>
    </row>
    <row r="63" spans="3:23" ht="24.6" customHeight="1" thickBot="1">
      <c r="C63" s="248" t="s">
        <v>356</v>
      </c>
      <c r="D63" s="361"/>
      <c r="E63" s="329"/>
      <c r="F63" s="330">
        <f>SUM(F61:F62)</f>
        <v>58860.671999999999</v>
      </c>
      <c r="G63" s="331">
        <f>SUM(G61:G62)</f>
        <v>259710.67785550855</v>
      </c>
      <c r="H63" s="331">
        <f>SUM(H61:H62)</f>
        <v>14512.64620734406</v>
      </c>
      <c r="I63" s="330">
        <f t="shared" si="8"/>
        <v>226.63939921926297</v>
      </c>
      <c r="J63" s="332"/>
      <c r="K63" s="330"/>
      <c r="L63" s="330"/>
      <c r="M63" s="331">
        <f>SUM(M61:M62)</f>
        <v>10103.662651113918</v>
      </c>
      <c r="N63" s="333">
        <f>O63/H63</f>
        <v>0.12113011512833684</v>
      </c>
      <c r="O63" s="331">
        <f>SUM(O61:O62)</f>
        <v>1757.918505912407</v>
      </c>
      <c r="P63" s="334"/>
      <c r="Q63" s="335">
        <f>SUM(Q61:Q62)</f>
        <v>58.860671999999994</v>
      </c>
      <c r="R63" s="334"/>
      <c r="S63" s="335">
        <f>SUM(S61:S62)</f>
        <v>58919.532672000001</v>
      </c>
      <c r="T63" s="330">
        <f t="shared" ref="T63" si="63">F63/O63</f>
        <v>33.483163071572378</v>
      </c>
      <c r="U63" s="246">
        <f>SUM(U61:U62)</f>
        <v>58860.671999999999</v>
      </c>
    </row>
    <row r="64" spans="3:23" ht="24.6" customHeight="1">
      <c r="C64" s="356" t="s">
        <v>432</v>
      </c>
      <c r="D64" s="350" t="s">
        <v>340</v>
      </c>
      <c r="E64" s="360" t="s">
        <v>341</v>
      </c>
      <c r="F64" s="230">
        <v>30967.277999999998</v>
      </c>
      <c r="G64" s="47">
        <f t="shared" ref="G64:G65" si="64">H64/J64</f>
        <v>118715.05273644543</v>
      </c>
      <c r="H64" s="47">
        <f t="shared" ref="H64:H65" si="65">F64/K64</f>
        <v>18327.95877818191</v>
      </c>
      <c r="I64" s="230">
        <f t="shared" si="8"/>
        <v>260.8538452890993</v>
      </c>
      <c r="J64" s="223">
        <v>0.15438614022158659</v>
      </c>
      <c r="K64" s="31">
        <v>1.689619579288026</v>
      </c>
      <c r="L64" s="31">
        <v>2.56</v>
      </c>
      <c r="M64" s="47">
        <f t="shared" si="16"/>
        <v>12096.592968749999</v>
      </c>
      <c r="N64" s="32">
        <v>6.2427184466019414E-2</v>
      </c>
      <c r="O64" s="47">
        <f t="shared" si="17"/>
        <v>255.92791735537187</v>
      </c>
      <c r="P64" s="5"/>
      <c r="Q64" s="227">
        <f t="shared" ref="Q64" si="66">F64*0.1%</f>
        <v>30.967278</v>
      </c>
      <c r="R64" s="227"/>
      <c r="S64" s="227">
        <f t="shared" ref="S64:S65" si="67">SUM(F64+Q64+R64)+(P64)</f>
        <v>30998.245277999999</v>
      </c>
      <c r="T64" s="227">
        <v>121</v>
      </c>
      <c r="U64" s="3">
        <v>57072.1</v>
      </c>
      <c r="V64" s="64"/>
      <c r="W64" s="64"/>
    </row>
    <row r="65" spans="3:25" ht="24.6" customHeight="1">
      <c r="C65" s="357">
        <v>13</v>
      </c>
      <c r="D65" s="58"/>
      <c r="E65" s="360" t="s">
        <v>342</v>
      </c>
      <c r="F65" s="230">
        <v>26104.870999999999</v>
      </c>
      <c r="G65" s="47">
        <f t="shared" si="64"/>
        <v>282212.21558279108</v>
      </c>
      <c r="H65" s="47">
        <f t="shared" si="65"/>
        <v>17580.365238847189</v>
      </c>
      <c r="I65" s="230">
        <f t="shared" si="8"/>
        <v>92.500854174902841</v>
      </c>
      <c r="J65" s="223">
        <v>6.2294841499126147E-2</v>
      </c>
      <c r="K65" s="31">
        <v>1.484887864691018</v>
      </c>
      <c r="L65" s="31">
        <v>3.69</v>
      </c>
      <c r="M65" s="47">
        <f t="shared" si="16"/>
        <v>7074.4907859078594</v>
      </c>
      <c r="N65" s="32">
        <v>5.1361130254996556E-2</v>
      </c>
      <c r="O65" s="47">
        <f t="shared" si="17"/>
        <v>1097.7658116063919</v>
      </c>
      <c r="P65" s="5"/>
      <c r="Q65" s="227">
        <f>F65*0.1%</f>
        <v>26.104870999999999</v>
      </c>
      <c r="R65" s="227"/>
      <c r="S65" s="227">
        <f t="shared" si="67"/>
        <v>26130.975870999999</v>
      </c>
      <c r="T65" s="227">
        <v>23.78</v>
      </c>
      <c r="U65" s="64">
        <v>77301.313088999916</v>
      </c>
      <c r="V65" s="64"/>
      <c r="Y65" s="64"/>
    </row>
    <row r="66" spans="3:25" ht="24.6" customHeight="1" thickBot="1">
      <c r="C66" s="248" t="s">
        <v>357</v>
      </c>
      <c r="D66" s="361"/>
      <c r="E66" s="329"/>
      <c r="F66" s="330">
        <f>SUM(F64:F65)</f>
        <v>57072.148999999998</v>
      </c>
      <c r="G66" s="331">
        <f>SUM(G64:G65)</f>
        <v>400927.26831923652</v>
      </c>
      <c r="H66" s="331">
        <f>SUM(H64:H65)</f>
        <v>35908.324017029096</v>
      </c>
      <c r="I66" s="330">
        <f t="shared" si="8"/>
        <v>142.35038000597294</v>
      </c>
      <c r="J66" s="332"/>
      <c r="K66" s="330"/>
      <c r="L66" s="330"/>
      <c r="M66" s="331">
        <f>SUM(M64:M65)</f>
        <v>19171.083754657859</v>
      </c>
      <c r="N66" s="333">
        <f>O66/H66</f>
        <v>3.769860515683747E-2</v>
      </c>
      <c r="O66" s="331">
        <f>SUM(O64:O65)</f>
        <v>1353.6937289617638</v>
      </c>
      <c r="P66" s="334"/>
      <c r="Q66" s="335">
        <f>SUM(Q64:Q65)</f>
        <v>57.072148999999996</v>
      </c>
      <c r="R66" s="334"/>
      <c r="S66" s="335">
        <f>SUM(S64:S65)</f>
        <v>57129.221148999997</v>
      </c>
      <c r="T66" s="330">
        <f t="shared" ref="T66" si="68">F66/O66</f>
        <v>42.160311286787419</v>
      </c>
      <c r="U66" s="246" t="e">
        <f>SUM(#REF!)</f>
        <v>#REF!</v>
      </c>
    </row>
    <row r="67" spans="3:25" ht="24.6" customHeight="1">
      <c r="C67" s="589" t="s">
        <v>430</v>
      </c>
      <c r="D67" s="592" t="s">
        <v>340</v>
      </c>
      <c r="E67" s="46" t="s">
        <v>341</v>
      </c>
      <c r="F67" s="230">
        <v>51139.001750000003</v>
      </c>
      <c r="G67" s="47">
        <f t="shared" ref="G67:G69" si="69">H67/J67</f>
        <v>87047.483119033757</v>
      </c>
      <c r="H67" s="47">
        <f t="shared" ref="H67:H69" si="70">F67/K67</f>
        <v>13543.915747732117</v>
      </c>
      <c r="I67" s="230">
        <f t="shared" si="8"/>
        <v>587.48397906082562</v>
      </c>
      <c r="J67" s="223">
        <v>0.15559227288871044</v>
      </c>
      <c r="K67" s="31">
        <v>3.7757914847161578</v>
      </c>
      <c r="L67" s="31">
        <v>5.16</v>
      </c>
      <c r="M67" s="47">
        <f t="shared" si="16"/>
        <v>9910.6592538759687</v>
      </c>
      <c r="N67" s="32">
        <v>0.54307264787614129</v>
      </c>
      <c r="O67" s="47">
        <f t="shared" si="17"/>
        <v>6044.7992612293137</v>
      </c>
      <c r="P67" s="5"/>
      <c r="Q67" s="227">
        <f t="shared" ref="Q67:Q69" si="71">F67*0.1%</f>
        <v>51.139001750000006</v>
      </c>
      <c r="R67" s="227"/>
      <c r="S67" s="227">
        <f t="shared" ref="S67:S68" si="72">SUM(F67+Q67+R67)+(P67)</f>
        <v>51190.140751750005</v>
      </c>
      <c r="T67" s="227">
        <v>8.4600000000000009</v>
      </c>
      <c r="U67" s="4">
        <f>SUM(F67+R67)+(P67)</f>
        <v>51139.001750000003</v>
      </c>
    </row>
    <row r="68" spans="3:25" ht="24.6" customHeight="1">
      <c r="C68" s="590"/>
      <c r="D68" s="592"/>
      <c r="E68" s="46" t="s">
        <v>342</v>
      </c>
      <c r="F68" s="230">
        <v>16453</v>
      </c>
      <c r="G68" s="47">
        <f t="shared" si="69"/>
        <v>145592.73080089776</v>
      </c>
      <c r="H68" s="47">
        <f t="shared" si="70"/>
        <v>5847.879455813505</v>
      </c>
      <c r="I68" s="230">
        <f t="shared" si="8"/>
        <v>113.00701559406802</v>
      </c>
      <c r="J68" s="223">
        <v>4.0166012572500263E-2</v>
      </c>
      <c r="K68" s="31">
        <v>2.8134984868136623</v>
      </c>
      <c r="L68" s="31">
        <v>2.71</v>
      </c>
      <c r="M68" s="47">
        <f t="shared" si="16"/>
        <v>6071.2177121771219</v>
      </c>
      <c r="N68" s="32">
        <v>0.41469952442715091</v>
      </c>
      <c r="O68" s="47">
        <f t="shared" si="17"/>
        <v>3284.0319361277448</v>
      </c>
      <c r="P68" s="5"/>
      <c r="Q68" s="227">
        <f t="shared" si="71"/>
        <v>16.452999999999999</v>
      </c>
      <c r="R68" s="227"/>
      <c r="S68" s="227">
        <f t="shared" si="72"/>
        <v>16469.453000000001</v>
      </c>
      <c r="T68" s="227">
        <v>5.01</v>
      </c>
      <c r="U68" s="4">
        <f>SUM(F68+R68)+(P68)</f>
        <v>16453</v>
      </c>
      <c r="V68" s="48"/>
      <c r="W68" s="64"/>
    </row>
    <row r="69" spans="3:25" ht="24.6" customHeight="1">
      <c r="C69" s="591"/>
      <c r="D69" s="592"/>
      <c r="E69" s="46" t="s">
        <v>343</v>
      </c>
      <c r="F69" s="230">
        <v>708.00148999999999</v>
      </c>
      <c r="G69" s="47">
        <f t="shared" si="69"/>
        <v>12485.99961031111</v>
      </c>
      <c r="H69" s="47">
        <f t="shared" si="70"/>
        <v>327.25402204444441</v>
      </c>
      <c r="I69" s="230">
        <f t="shared" si="8"/>
        <v>56.703629032258071</v>
      </c>
      <c r="J69" s="223">
        <v>2.620967741935484E-2</v>
      </c>
      <c r="K69" s="31">
        <v>2.1634615384615388</v>
      </c>
      <c r="L69" s="31">
        <v>5</v>
      </c>
      <c r="M69" s="47">
        <f t="shared" si="16"/>
        <v>141.60029800000001</v>
      </c>
      <c r="N69" s="32">
        <v>0.34405594405594403</v>
      </c>
      <c r="O69" s="47">
        <f t="shared" si="17"/>
        <v>78.666832222222226</v>
      </c>
      <c r="P69" s="5"/>
      <c r="Q69" s="227">
        <f t="shared" si="71"/>
        <v>0.70800149000000001</v>
      </c>
      <c r="R69" s="227"/>
      <c r="S69" s="227">
        <f>SUM(F69+Q69+R69)+(P69)</f>
        <v>708.70949149</v>
      </c>
      <c r="T69" s="227">
        <v>9</v>
      </c>
      <c r="U69" s="229"/>
    </row>
    <row r="70" spans="3:25" ht="24.6" customHeight="1" thickBot="1">
      <c r="C70" s="238" t="s">
        <v>358</v>
      </c>
      <c r="D70" s="239"/>
      <c r="E70" s="239"/>
      <c r="F70" s="240">
        <f>SUM(F67:F69)</f>
        <v>68300.003239999991</v>
      </c>
      <c r="G70" s="241">
        <f>SUM(G67:G69)</f>
        <v>245126.21353024262</v>
      </c>
      <c r="H70" s="241">
        <f>SUM(H67:H68)</f>
        <v>19391.795203545622</v>
      </c>
      <c r="I70" s="240">
        <f t="shared" si="8"/>
        <v>278.6319841373205</v>
      </c>
      <c r="J70" s="242"/>
      <c r="K70" s="240"/>
      <c r="L70" s="240"/>
      <c r="M70" s="241">
        <f>SUM(M67:M68)</f>
        <v>15981.876966053091</v>
      </c>
      <c r="N70" s="243">
        <f>O70/H70</f>
        <v>0.48512775278583808</v>
      </c>
      <c r="O70" s="241">
        <f>SUM(O67:O69)</f>
        <v>9407.4980295792811</v>
      </c>
      <c r="P70" s="245"/>
      <c r="Q70" s="244">
        <f>SUM(Q67:Q69)</f>
        <v>68.300003240000009</v>
      </c>
      <c r="R70" s="245"/>
      <c r="S70" s="244">
        <f>SUM(S67:S69)</f>
        <v>68368.303243240007</v>
      </c>
      <c r="T70" s="240">
        <f>F70/O70</f>
        <v>7.2601666272211256</v>
      </c>
      <c r="U70" s="240">
        <f>SUM(U67:U68)</f>
        <v>67592.001749999996</v>
      </c>
    </row>
    <row r="71" spans="3:25" ht="15" customHeight="1" thickTop="1">
      <c r="F71" s="3"/>
      <c r="G71" s="3"/>
      <c r="H71" s="3"/>
      <c r="I71" s="3"/>
      <c r="J71" s="44"/>
      <c r="O71" s="3"/>
      <c r="U71" s="218"/>
    </row>
    <row r="72" spans="3:25" ht="15" customHeight="1">
      <c r="C72" s="249"/>
      <c r="D72" s="249" t="s">
        <v>359</v>
      </c>
      <c r="E72" s="249"/>
      <c r="F72" s="351">
        <f>SUM(F67:F69,F64:F65,F61:F62,F57:F59,F53:F55,F48:F50,F44:F46,F39:F41,F34:F35,F29:F31,F24:F26,F19:F21,F14:F16,F9:F11)</f>
        <v>4518599.9521782026</v>
      </c>
      <c r="G72" s="250">
        <f>SUM(G67:G69,G64:G65,G61:G62,G57:G59,G53:G55,G48:G50,G44:G46,G39:G41,G34:G35,G29:G31,G24:G26,G19:G21,G14:G16,G9:G11)</f>
        <v>13843445.294019144</v>
      </c>
      <c r="H72" s="250">
        <f>SUM(H67:H69,H64:H65,H61:H62,H57:H59,H53:H55,H48:H50,H44:H46,H39:H41,H34:H35,H29:H31,H24:H26,H19:H21,H14:H16,H9:H11)</f>
        <v>1094712.4026087455</v>
      </c>
      <c r="I72" s="250"/>
      <c r="J72" s="250"/>
      <c r="K72" s="250"/>
      <c r="L72" s="250"/>
      <c r="M72" s="250">
        <f>SUM(M67:M69,M64:M65,M61:M62,M57:M59,M53:M55,M48:M50,M44:M46,M39:M41,M34:M35,M29:M31,M24:M26,M19:M21,M14:M16,M9:M11)</f>
        <v>1037050.7123626773</v>
      </c>
      <c r="N72" s="250"/>
      <c r="O72" s="250">
        <f>SUM(O67:O69,O64:O65,O61:O62,O57:O59,O53:O55,O48:O50,O44:O46,O39:O41,O34:O35,O29:O31,O24:O26,O19:O21,O14:O16,O9:O11)</f>
        <v>289344.8094423096</v>
      </c>
      <c r="P72" s="250">
        <f>SUM(P67:P69,P64:P65,P61:P62,P57:P59,P53:P55,P48:P50,P44:P46,P39:P41,P34:P35,P29:P31,P24:P26,P19:P21,P14:P16,P9:P11)</f>
        <v>58832.906406183516</v>
      </c>
      <c r="Q72" s="250">
        <f>SUM(Q67:Q69,Q64:Q65,Q61:Q62,Q57:Q59,Q53:Q55,Q48:Q50,Q44:Q46,Q39:Q41,Q34:Q35,Q29:Q31,Q24:Q26,Q19:Q21,Q14:Q16,Q9:Q11)</f>
        <v>4518.5999521782032</v>
      </c>
      <c r="R72" s="219"/>
      <c r="S72" s="250">
        <f>SUM(S67:S69,S64:S65,S61:S62,S57:S59,S53:S55,S48:S50,S44:S46,S39:S41,S34:S35,S29:S31,S24:S26,S19:S21,S14:S16,S9:S11)</f>
        <v>4581951.4585365644</v>
      </c>
      <c r="T72" s="251">
        <f>F72/O72</f>
        <v>15.616661521896539</v>
      </c>
      <c r="U72" s="44" t="e">
        <f>U39+U34+U47+U52+U56+U60+U63+U66+U40+U35+U29+U70+U30+U24+U25+U19+U20+U14+U15+U9+U10</f>
        <v>#REF!</v>
      </c>
    </row>
    <row r="73" spans="3:25" ht="15" customHeight="1">
      <c r="D73" s="3" t="s">
        <v>360</v>
      </c>
      <c r="F73" s="229">
        <f>SUM(F51,F42,F37,F32,F27,F22,F17,F12)</f>
        <v>78322.980901904113</v>
      </c>
      <c r="G73" s="352">
        <f>SUM(G51,G42,G37,G32,G27,G22,G17,G12)</f>
        <v>1125018.1641525885</v>
      </c>
      <c r="H73" s="352">
        <f>SUM(H51,H42,H37,H32,H27,H22,H17,H12)</f>
        <v>46632.288778625123</v>
      </c>
      <c r="I73" s="352"/>
      <c r="J73" s="252"/>
      <c r="K73" s="252"/>
      <c r="L73" s="252"/>
      <c r="M73" s="352">
        <f>SUM(M51,M42,M37,M32,M27,M22,M17,M12)</f>
        <v>36552.70875776594</v>
      </c>
      <c r="N73" s="252"/>
      <c r="O73" s="352">
        <f>SUM(O51,O42,O37,O32,O27,O22,O17,O12)</f>
        <v>5278.0712277127523</v>
      </c>
      <c r="P73" s="352">
        <f>SUM(P51,P42,P37,P32,P27,P22,P17,P12)</f>
        <v>0</v>
      </c>
      <c r="Q73" s="352">
        <f>SUM(Q51,Q42,Q37,Q32,Q27,Q22,Q17,Q12)</f>
        <v>78.322980901904117</v>
      </c>
      <c r="R73" s="44"/>
      <c r="S73" s="352">
        <f>SUM(S51,S42,S37,S32,S27,S22,S17,S12)</f>
        <v>78401.303882806009</v>
      </c>
      <c r="T73" s="253">
        <f>F73/O73</f>
        <v>14.839318668279001</v>
      </c>
      <c r="U73" s="44">
        <f>U12+U17+U22+U27+U37+U32+U357</f>
        <v>71735.82016296724</v>
      </c>
    </row>
    <row r="74" spans="3:25" ht="18.600000000000001" customHeight="1" thickBot="1">
      <c r="C74" s="254" t="s">
        <v>243</v>
      </c>
      <c r="D74" s="254"/>
      <c r="E74" s="254"/>
      <c r="F74" s="255">
        <f>SUM(F72:F73)</f>
        <v>4596922.933080107</v>
      </c>
      <c r="G74" s="256">
        <f t="shared" ref="G74:H74" si="73">SUM(G72:G73)</f>
        <v>14968463.458171733</v>
      </c>
      <c r="H74" s="256">
        <f t="shared" si="73"/>
        <v>1141344.6913873707</v>
      </c>
      <c r="I74" s="256"/>
      <c r="J74" s="257"/>
      <c r="K74" s="257"/>
      <c r="L74" s="257"/>
      <c r="M74" s="256">
        <f t="shared" ref="M74" si="74">SUM(M72:M73)</f>
        <v>1073603.4211204434</v>
      </c>
      <c r="N74" s="257"/>
      <c r="O74" s="256">
        <f>SUM(O72:O73)</f>
        <v>294622.88067002234</v>
      </c>
      <c r="P74" s="353">
        <f>SUM(P72:P73)</f>
        <v>58832.906406183516</v>
      </c>
      <c r="Q74" s="353">
        <f>SUM(Q72:Q73)</f>
        <v>4596.9229330801072</v>
      </c>
      <c r="R74" s="255">
        <f t="shared" ref="R74" si="75">SUM(R72:R73)</f>
        <v>0</v>
      </c>
      <c r="S74" s="353">
        <f>SUM(S72:S73)</f>
        <v>4660352.76241937</v>
      </c>
      <c r="T74" s="255">
        <f>F74/O74</f>
        <v>15.602735682394815</v>
      </c>
      <c r="U74" s="258" t="e">
        <f>SUM(U13,U18,U23,U28,U33,U52,U43,U47,U70,U38,U56,U60,U66,U63)</f>
        <v>#REF!</v>
      </c>
    </row>
    <row r="75" spans="3:25" ht="15" thickTop="1">
      <c r="F75" s="3"/>
      <c r="G75" s="3"/>
      <c r="H75" s="3"/>
      <c r="I75" s="3"/>
      <c r="O75" s="3"/>
    </row>
    <row r="76" spans="3:25">
      <c r="F76" s="14"/>
      <c r="J76" s="362" t="s">
        <v>361</v>
      </c>
    </row>
    <row r="77" spans="3:25">
      <c r="R77" s="218"/>
    </row>
    <row r="78" spans="3:25"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47"/>
      <c r="R78" s="3"/>
      <c r="S78" s="247"/>
      <c r="T78" s="3"/>
    </row>
    <row r="79" spans="3:25"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47"/>
      <c r="R79" s="3"/>
      <c r="S79" s="247"/>
      <c r="T79" s="3"/>
    </row>
    <row r="81" spans="6:15">
      <c r="F81" s="3"/>
      <c r="G81" s="3"/>
      <c r="H81" s="3"/>
      <c r="I81" s="3"/>
      <c r="O81" s="3"/>
    </row>
    <row r="82" spans="6:15">
      <c r="F82" s="3"/>
      <c r="G82" s="3"/>
      <c r="H82" s="3"/>
      <c r="I82" s="3"/>
      <c r="O82" s="3"/>
    </row>
    <row r="84" spans="6:15">
      <c r="F84" s="260"/>
    </row>
  </sheetData>
  <mergeCells count="13">
    <mergeCell ref="D34:D36"/>
    <mergeCell ref="D39:D41"/>
    <mergeCell ref="D67:D69"/>
    <mergeCell ref="D9:D11"/>
    <mergeCell ref="D14:D16"/>
    <mergeCell ref="D19:D21"/>
    <mergeCell ref="D24:D26"/>
    <mergeCell ref="D29:D31"/>
    <mergeCell ref="C67:C69"/>
    <mergeCell ref="D57:D59"/>
    <mergeCell ref="D53:D55"/>
    <mergeCell ref="D44:D46"/>
    <mergeCell ref="D48:D50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SOX - Q1 (2)</vt:lpstr>
      <vt:lpstr>Prisma Campaigns Breakdown</vt:lpstr>
      <vt:lpstr>FINALS</vt:lpstr>
      <vt:lpstr>Facebook campaigns</vt:lpstr>
      <vt:lpstr>Teens (UK)</vt:lpstr>
      <vt:lpstr>Facebook &amp; Instagram</vt:lpstr>
      <vt:lpstr>Discovery Ads</vt:lpstr>
      <vt:lpstr>Sheet1</vt:lpstr>
      <vt:lpstr>Paid Search</vt:lpstr>
      <vt:lpstr>Display</vt:lpstr>
      <vt:lpstr>Snapchat</vt:lpstr>
      <vt:lpstr>Tik Tok</vt:lpstr>
      <vt:lpstr>YouTube</vt:lpstr>
      <vt:lpstr>Dentaly</vt:lpstr>
      <vt:lpstr>'SOX - Q1 (2)'!Área_de_impresión</vt:lpstr>
    </vt:vector>
  </TitlesOfParts>
  <Company>Publicis Groupe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Sara Zamora Alzerreca</dc:creator>
  <cp:lastModifiedBy>Marta Nores</cp:lastModifiedBy>
  <cp:revision/>
  <dcterms:created xsi:type="dcterms:W3CDTF">2020-06-09T14:16:50Z</dcterms:created>
  <dcterms:modified xsi:type="dcterms:W3CDTF">2024-11-15T19:57:14Z</dcterms:modified>
</cp:coreProperties>
</file>