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6320" windowWidth="29016" windowHeight="15720" firstSheet="2" activeTab="2"/>
  </bookViews>
  <sheets>
    <sheet name="Ambos casos" sheetId="20" state="hidden" r:id="rId1"/>
    <sheet name="Overview" sheetId="31" state="hidden" r:id="rId2"/>
    <sheet name="2023" sheetId="26" r:id="rId3"/>
    <sheet name="Año 2023 - meses- 1r scenario" sheetId="12" r:id="rId4"/>
    <sheet name="MK -CEL-2023- 1r Scenario" sheetId="11" state="hidden" r:id="rId5"/>
    <sheet name="Inputs" sheetId="24" state="hidden" r:id="rId6"/>
    <sheet name="MK -Elims-2023- 1r scenario" sheetId="14" state="hidden" r:id="rId7"/>
    <sheet name="Total-Clínica" sheetId="23" state="hidden" r:id="rId8"/>
    <sheet name="Clínicas - 1r scenario" sheetId="28" r:id="rId9"/>
    <sheet name="Hoja3" sheetId="33" state="hidden" r:id="rId10"/>
    <sheet name="Año 2023 - meses- 2o scenar" sheetId="32" r:id="rId11"/>
    <sheet name="MK-Elims-2023- 2o Scenario" sheetId="30" state="hidden" r:id="rId12"/>
    <sheet name="Clínicas - 2o scenario" sheetId="29" r:id="rId13"/>
    <sheet name="Datos- Cliente 2022" sheetId="27" state="hidden" r:id="rId14"/>
    <sheet name="Seasonality" sheetId="25" state="hidden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zsupermetrics_18H46yjUs6z9XjA9E17xoUZwqvTgiW" localSheetId="7">'[1]NO TOCAR - datos supermetrics '!$M$2:$N$189</definedName>
    <definedName name="zsupermetrics_18H46yjUs6z9XjA9E17xoUZwqvTgiW">'[2]NO TOCAR - datos supermetrics '!$M$2:$N$189</definedName>
    <definedName name="zsupermetrics_4hDBInstPOXQZmtfLX8WaRlUbucK5a" localSheetId="7">'[1]NO TOCAR - datos supermetrics '!$A$2:$B$189</definedName>
    <definedName name="zsupermetrics_4hDBInstPOXQZmtfLX8WaRlUbucK5a">'[2]NO TOCAR - datos supermetrics '!$A$2:$B$189</definedName>
    <definedName name="zsupermetrics_5AcvY7nl1wqddcX3ULIkoUEJkQ1crH" localSheetId="7">'[1]NO TOCAR - datos supermetrics '!$P$2:$Q$189</definedName>
    <definedName name="zsupermetrics_5AcvY7nl1wqddcX3ULIkoUEJkQ1crH">'[2]NO TOCAR - datos supermetrics '!$P$2:$Q$189</definedName>
    <definedName name="zsupermetrics_7mpHuEdgECjF04xPtUMbKbWxF57yKB" localSheetId="7">'[1]NO TOCAR - datos supermetrics '!$G$2:$H$189</definedName>
    <definedName name="zsupermetrics_7mpHuEdgECjF04xPtUMbKbWxF57yKB">'[2]NO TOCAR - datos supermetrics '!$G$2:$H$189</definedName>
    <definedName name="zsupermetrics_8K6W2gBghvAzHwAiU9JEj0u2kkaUrb" localSheetId="7">'[1]NO TOCAR - datos supermetrics '!$S$2:$U$189</definedName>
    <definedName name="zsupermetrics_8K6W2gBghvAzHwAiU9JEj0u2kkaUrb">'[2]NO TOCAR - datos supermetrics '!$S$2:$U$189</definedName>
    <definedName name="zsupermetrics_BAXGX1jRyAsqlpr9749Qf9qwSrjknu" localSheetId="7">'[1]NO TOCAR - datos supermetrics '!$D$2:$E$189</definedName>
    <definedName name="zsupermetrics_BAXGX1jRyAsqlpr9749Qf9qwSrjknu">'[2]NO TOCAR - datos supermetrics '!$D$2:$E$189</definedName>
    <definedName name="zsupermetrics_bpwvzK3GzmCVOFJnZtiHLAAlF4eknE" localSheetId="7">'[1]NO TOCAR - datos supermetrics '!$W$2:$Y$189</definedName>
    <definedName name="zsupermetrics_bpwvzK3GzmCVOFJnZtiHLAAlF4eknE">'[2]NO TOCAR - datos supermetrics '!$W$2:$Y$189</definedName>
    <definedName name="zsupermetrics_EKSBp7zvPwDft1U6cwE6QHQKps9ZUH" localSheetId="7">'[1]NO TOCAR - datos supermetrics '!$J$2:$K$189</definedName>
    <definedName name="zsupermetrics_EKSBp7zvPwDft1U6cwE6QHQKps9ZUH">'[2]NO TOCAR - datos supermetrics '!$J$2:$K$189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1"/>
  <c r="L11" i="12"/>
  <c r="K11"/>
  <c r="J11"/>
  <c r="V11"/>
  <c r="U11"/>
  <c r="T11"/>
  <c r="N11"/>
  <c r="M11"/>
  <c r="E52" i="33"/>
  <c r="D52"/>
  <c r="C49"/>
  <c r="C51" s="1"/>
  <c r="H49"/>
  <c r="H52" s="1"/>
  <c r="E49"/>
  <c r="E51" s="1"/>
  <c r="D49"/>
  <c r="D51" s="1"/>
  <c r="G49"/>
  <c r="G51" s="1"/>
  <c r="F49"/>
  <c r="F51" s="1"/>
  <c r="P35"/>
  <c r="Q35"/>
  <c r="R35"/>
  <c r="S35"/>
  <c r="T35"/>
  <c r="U35"/>
  <c r="P36"/>
  <c r="Q36"/>
  <c r="R36"/>
  <c r="S36"/>
  <c r="T36"/>
  <c r="U36"/>
  <c r="P37"/>
  <c r="Q37"/>
  <c r="R37"/>
  <c r="S37"/>
  <c r="T37"/>
  <c r="U37"/>
  <c r="Q34"/>
  <c r="R34"/>
  <c r="S34"/>
  <c r="T34"/>
  <c r="U34"/>
  <c r="P34"/>
  <c r="Q26"/>
  <c r="R26"/>
  <c r="S26"/>
  <c r="T26"/>
  <c r="U26"/>
  <c r="Q27"/>
  <c r="R27"/>
  <c r="S27"/>
  <c r="T27"/>
  <c r="U27"/>
  <c r="Q28"/>
  <c r="R28"/>
  <c r="S28"/>
  <c r="T28"/>
  <c r="U28"/>
  <c r="Q29"/>
  <c r="R29"/>
  <c r="S29"/>
  <c r="T29"/>
  <c r="U29"/>
  <c r="P27"/>
  <c r="P28"/>
  <c r="P29"/>
  <c r="P26"/>
  <c r="K26"/>
  <c r="L26"/>
  <c r="M26"/>
  <c r="N26"/>
  <c r="K27"/>
  <c r="L27"/>
  <c r="M27"/>
  <c r="N27"/>
  <c r="K28"/>
  <c r="L28"/>
  <c r="M28"/>
  <c r="N28"/>
  <c r="K29"/>
  <c r="L29"/>
  <c r="M29"/>
  <c r="N29"/>
  <c r="J29"/>
  <c r="J27"/>
  <c r="J28"/>
  <c r="J26"/>
  <c r="I29"/>
  <c r="I27"/>
  <c r="I28"/>
  <c r="I26"/>
  <c r="D35"/>
  <c r="E35"/>
  <c r="F35"/>
  <c r="G35"/>
  <c r="H35"/>
  <c r="C35"/>
  <c r="D34"/>
  <c r="E34"/>
  <c r="F34"/>
  <c r="G34"/>
  <c r="H34"/>
  <c r="C34"/>
  <c r="I32"/>
  <c r="I31"/>
  <c r="I33" s="1"/>
  <c r="H31"/>
  <c r="H33" s="1"/>
  <c r="G31"/>
  <c r="G33" s="1"/>
  <c r="F31"/>
  <c r="F33" s="1"/>
  <c r="E31"/>
  <c r="E33" s="1"/>
  <c r="D31"/>
  <c r="D33" s="1"/>
  <c r="C31"/>
  <c r="C33" s="1"/>
  <c r="I14"/>
  <c r="H13"/>
  <c r="H15" s="1"/>
  <c r="G13"/>
  <c r="G15" s="1"/>
  <c r="F13"/>
  <c r="F15" s="1"/>
  <c r="E13"/>
  <c r="E15" s="1"/>
  <c r="D13"/>
  <c r="D15" s="1"/>
  <c r="C13"/>
  <c r="I13" s="1"/>
  <c r="I15" s="1"/>
  <c r="W25" i="29"/>
  <c r="D48"/>
  <c r="D47"/>
  <c r="E47"/>
  <c r="F47"/>
  <c r="G47"/>
  <c r="H47"/>
  <c r="I47"/>
  <c r="J47"/>
  <c r="K47"/>
  <c r="L47"/>
  <c r="M47"/>
  <c r="N47"/>
  <c r="E48"/>
  <c r="F48"/>
  <c r="G48"/>
  <c r="H48"/>
  <c r="I48"/>
  <c r="J48"/>
  <c r="K48"/>
  <c r="L48"/>
  <c r="M48"/>
  <c r="N48"/>
  <c r="C48"/>
  <c r="E73" i="26"/>
  <c r="D73"/>
  <c r="E53"/>
  <c r="E81" s="1"/>
  <c r="T34" i="32"/>
  <c r="AE30"/>
  <c r="AE29" s="1"/>
  <c r="AA20"/>
  <c r="AB20"/>
  <c r="AC20"/>
  <c r="AD20"/>
  <c r="AE20"/>
  <c r="AA35" i="11"/>
  <c r="Z35"/>
  <c r="Y35"/>
  <c r="X35"/>
  <c r="W35"/>
  <c r="AI9"/>
  <c r="AJ9" s="1"/>
  <c r="AF9" i="30"/>
  <c r="AE10" i="32" s="1"/>
  <c r="N35"/>
  <c r="M35"/>
  <c r="L35"/>
  <c r="K35"/>
  <c r="J35"/>
  <c r="I35"/>
  <c r="Q35" s="1"/>
  <c r="H35"/>
  <c r="G35"/>
  <c r="F35"/>
  <c r="E35"/>
  <c r="D35"/>
  <c r="C35"/>
  <c r="R35" s="1"/>
  <c r="N34"/>
  <c r="M34"/>
  <c r="M33" s="1"/>
  <c r="L34"/>
  <c r="L33" s="1"/>
  <c r="K34"/>
  <c r="J34"/>
  <c r="I34"/>
  <c r="Q34" s="1"/>
  <c r="H34"/>
  <c r="G34"/>
  <c r="F34"/>
  <c r="E34"/>
  <c r="E33" s="1"/>
  <c r="D34"/>
  <c r="D33" s="1"/>
  <c r="C34"/>
  <c r="P34" s="1"/>
  <c r="N33"/>
  <c r="K33"/>
  <c r="J33"/>
  <c r="H33"/>
  <c r="G33"/>
  <c r="F33"/>
  <c r="C33"/>
  <c r="AE31"/>
  <c r="F73" i="26" s="1"/>
  <c r="AD31" i="32"/>
  <c r="AC31"/>
  <c r="AB31"/>
  <c r="AA31"/>
  <c r="Z31"/>
  <c r="Y31"/>
  <c r="X31"/>
  <c r="W31"/>
  <c r="V31"/>
  <c r="U31"/>
  <c r="V35" s="1"/>
  <c r="T31"/>
  <c r="C73" i="26" s="1"/>
  <c r="N31" i="32"/>
  <c r="M31"/>
  <c r="L31"/>
  <c r="K31"/>
  <c r="J31"/>
  <c r="H31"/>
  <c r="H39" s="1"/>
  <c r="G31"/>
  <c r="G39" s="1"/>
  <c r="F31"/>
  <c r="F39" s="1"/>
  <c r="E31"/>
  <c r="E39" s="1"/>
  <c r="D31"/>
  <c r="D39" s="1"/>
  <c r="C31"/>
  <c r="M30"/>
  <c r="L30"/>
  <c r="K30"/>
  <c r="J30"/>
  <c r="H30"/>
  <c r="H38" s="1"/>
  <c r="G30"/>
  <c r="G38" s="1"/>
  <c r="F30"/>
  <c r="F38" s="1"/>
  <c r="E30"/>
  <c r="E38" s="1"/>
  <c r="D30"/>
  <c r="D38" s="1"/>
  <c r="C30"/>
  <c r="M29"/>
  <c r="M24" s="1"/>
  <c r="L29"/>
  <c r="L24" s="1"/>
  <c r="K29"/>
  <c r="K24" s="1"/>
  <c r="E29"/>
  <c r="E24" s="1"/>
  <c r="D29"/>
  <c r="D24" s="1"/>
  <c r="AE26"/>
  <c r="AD26"/>
  <c r="AC26"/>
  <c r="AB26"/>
  <c r="AA26"/>
  <c r="Z26"/>
  <c r="Y26"/>
  <c r="X26"/>
  <c r="W26"/>
  <c r="V26"/>
  <c r="U26"/>
  <c r="T26"/>
  <c r="H26"/>
  <c r="F26"/>
  <c r="E26"/>
  <c r="AE21"/>
  <c r="AD21"/>
  <c r="AC21"/>
  <c r="AB21"/>
  <c r="AA21"/>
  <c r="Z21"/>
  <c r="Y21"/>
  <c r="X21"/>
  <c r="W21"/>
  <c r="V21"/>
  <c r="U21"/>
  <c r="T21"/>
  <c r="H21"/>
  <c r="L20"/>
  <c r="K20"/>
  <c r="H20"/>
  <c r="C20"/>
  <c r="AE16"/>
  <c r="AD16"/>
  <c r="AC16"/>
  <c r="F58" i="26" s="1"/>
  <c r="AB16" i="32"/>
  <c r="AA16"/>
  <c r="Z16"/>
  <c r="Y16"/>
  <c r="X16"/>
  <c r="D58" i="26" s="1"/>
  <c r="W16" i="32"/>
  <c r="V16"/>
  <c r="U16"/>
  <c r="AI16" s="1"/>
  <c r="E15" i="31" s="1"/>
  <c r="T16" i="32"/>
  <c r="C58" i="26" s="1"/>
  <c r="N16" i="32"/>
  <c r="M16"/>
  <c r="L16"/>
  <c r="K16"/>
  <c r="J16"/>
  <c r="G16"/>
  <c r="F16"/>
  <c r="F21" s="1"/>
  <c r="E16"/>
  <c r="E21" s="1"/>
  <c r="D16"/>
  <c r="C16"/>
  <c r="C14" s="1"/>
  <c r="M15"/>
  <c r="L15"/>
  <c r="K15"/>
  <c r="J15"/>
  <c r="G15"/>
  <c r="F12" s="1"/>
  <c r="F15"/>
  <c r="F20" s="1"/>
  <c r="E15"/>
  <c r="D15"/>
  <c r="C15"/>
  <c r="M14"/>
  <c r="L14"/>
  <c r="K14"/>
  <c r="H14"/>
  <c r="F14"/>
  <c r="E14"/>
  <c r="D14"/>
  <c r="AE11"/>
  <c r="AD11"/>
  <c r="AC11"/>
  <c r="AB11"/>
  <c r="AA11"/>
  <c r="Z11"/>
  <c r="Y11"/>
  <c r="X11"/>
  <c r="W11"/>
  <c r="V11"/>
  <c r="U11"/>
  <c r="C53" i="26" s="1"/>
  <c r="T11" i="32"/>
  <c r="P11"/>
  <c r="N11"/>
  <c r="M11"/>
  <c r="M39" s="1"/>
  <c r="L11"/>
  <c r="L39" s="1"/>
  <c r="K11"/>
  <c r="K39" s="1"/>
  <c r="J11"/>
  <c r="P10"/>
  <c r="M10"/>
  <c r="M9" s="1"/>
  <c r="L10"/>
  <c r="L38" s="1"/>
  <c r="K10"/>
  <c r="K38" s="1"/>
  <c r="J10"/>
  <c r="J38" s="1"/>
  <c r="H9"/>
  <c r="G9"/>
  <c r="F9"/>
  <c r="E9"/>
  <c r="D9"/>
  <c r="C9"/>
  <c r="F8"/>
  <c r="F7"/>
  <c r="V16" i="11"/>
  <c r="AE9"/>
  <c r="AJ18" i="29"/>
  <c r="AK18"/>
  <c r="AL18"/>
  <c r="AJ19"/>
  <c r="AK19"/>
  <c r="AL19"/>
  <c r="AJ20"/>
  <c r="AK20"/>
  <c r="AL20"/>
  <c r="AJ21"/>
  <c r="AK21"/>
  <c r="AL21"/>
  <c r="AB41" i="11"/>
  <c r="AB16" i="14"/>
  <c r="AB32" i="11"/>
  <c r="D68" i="26" l="1"/>
  <c r="C81"/>
  <c r="C63"/>
  <c r="G73"/>
  <c r="F63"/>
  <c r="W39" i="32"/>
  <c r="AI11"/>
  <c r="E10" i="31" s="1"/>
  <c r="Q16" i="32"/>
  <c r="AE35"/>
  <c r="AE39"/>
  <c r="AD35"/>
  <c r="N39"/>
  <c r="AD39"/>
  <c r="AC35"/>
  <c r="F77" i="26" s="1"/>
  <c r="AC39" i="32"/>
  <c r="Q31"/>
  <c r="AB35"/>
  <c r="AE9"/>
  <c r="AB39"/>
  <c r="AH16"/>
  <c r="AH31"/>
  <c r="N21"/>
  <c r="Z35"/>
  <c r="E77" i="26" s="1"/>
  <c r="E58"/>
  <c r="G58" s="1"/>
  <c r="R11" i="32"/>
  <c r="AH11"/>
  <c r="AH21" s="1"/>
  <c r="Y35"/>
  <c r="AG16"/>
  <c r="X35"/>
  <c r="W35"/>
  <c r="F53" i="26"/>
  <c r="F81" s="1"/>
  <c r="V39" i="32"/>
  <c r="U35"/>
  <c r="U39" s="1"/>
  <c r="D53" i="26"/>
  <c r="P15" i="32"/>
  <c r="P25" s="1"/>
  <c r="D37"/>
  <c r="D25"/>
  <c r="G26"/>
  <c r="F25"/>
  <c r="E25"/>
  <c r="E37"/>
  <c r="P30"/>
  <c r="P38" s="1"/>
  <c r="C37"/>
  <c r="C25"/>
  <c r="C29"/>
  <c r="D26"/>
  <c r="H51" i="33"/>
  <c r="C52"/>
  <c r="F52"/>
  <c r="G52"/>
  <c r="C15"/>
  <c r="X39" i="32"/>
  <c r="AF16" i="30"/>
  <c r="AF14" s="1"/>
  <c r="AE15" i="32" s="1"/>
  <c r="AE14" s="1"/>
  <c r="AE19" s="1"/>
  <c r="R33"/>
  <c r="E20" i="31"/>
  <c r="Y39" i="32"/>
  <c r="C24"/>
  <c r="P33"/>
  <c r="AH39"/>
  <c r="AH26"/>
  <c r="AE37"/>
  <c r="AI21"/>
  <c r="Q33"/>
  <c r="F23"/>
  <c r="F32"/>
  <c r="M37"/>
  <c r="M19"/>
  <c r="Q26"/>
  <c r="K9"/>
  <c r="P16"/>
  <c r="P21" s="1"/>
  <c r="D20"/>
  <c r="M20"/>
  <c r="G21"/>
  <c r="G25"/>
  <c r="F22" s="1"/>
  <c r="F29"/>
  <c r="F24" s="1"/>
  <c r="R34"/>
  <c r="C38"/>
  <c r="H19"/>
  <c r="L9"/>
  <c r="AG11"/>
  <c r="G14"/>
  <c r="G19" s="1"/>
  <c r="E20"/>
  <c r="H25"/>
  <c r="G29"/>
  <c r="AG31"/>
  <c r="M38"/>
  <c r="R16"/>
  <c r="C19"/>
  <c r="J21"/>
  <c r="H29"/>
  <c r="H24" s="1"/>
  <c r="P31"/>
  <c r="P26" s="1"/>
  <c r="J39"/>
  <c r="J9"/>
  <c r="Q11"/>
  <c r="J14"/>
  <c r="D19"/>
  <c r="G20"/>
  <c r="K21"/>
  <c r="J29"/>
  <c r="AI31"/>
  <c r="P35"/>
  <c r="P9"/>
  <c r="E19"/>
  <c r="C21"/>
  <c r="L21"/>
  <c r="C26"/>
  <c r="F27"/>
  <c r="R31"/>
  <c r="C39"/>
  <c r="F19"/>
  <c r="J20"/>
  <c r="D21"/>
  <c r="M21"/>
  <c r="T35"/>
  <c r="C77" i="26" s="1"/>
  <c r="F68"/>
  <c r="C68"/>
  <c r="G77" l="1"/>
  <c r="Z39" i="32"/>
  <c r="R21"/>
  <c r="E68" i="26"/>
  <c r="E63"/>
  <c r="D77"/>
  <c r="D63"/>
  <c r="D81"/>
  <c r="G53"/>
  <c r="G81" s="1"/>
  <c r="AH35" i="32"/>
  <c r="R26"/>
  <c r="AG26"/>
  <c r="P29"/>
  <c r="P37" s="1"/>
  <c r="P20"/>
  <c r="P39"/>
  <c r="AI26"/>
  <c r="E30" i="31"/>
  <c r="G68" i="26"/>
  <c r="G63"/>
  <c r="AI35" i="32"/>
  <c r="E34" i="31" s="1"/>
  <c r="AG35" i="32"/>
  <c r="K37"/>
  <c r="K19"/>
  <c r="T33"/>
  <c r="AG39"/>
  <c r="AG21"/>
  <c r="R39"/>
  <c r="H37"/>
  <c r="J37"/>
  <c r="J19"/>
  <c r="P14"/>
  <c r="T39"/>
  <c r="G24"/>
  <c r="G37"/>
  <c r="L37"/>
  <c r="L19"/>
  <c r="AI39"/>
  <c r="F37"/>
  <c r="J24"/>
  <c r="Q39"/>
  <c r="Q21"/>
  <c r="P24" l="1"/>
  <c r="P19"/>
  <c r="E25" i="31"/>
  <c r="E38"/>
  <c r="V16" i="14" l="1"/>
  <c r="R38" i="30"/>
  <c r="Q38"/>
  <c r="S38" s="1"/>
  <c r="R37"/>
  <c r="Q37"/>
  <c r="S37" s="1"/>
  <c r="R36"/>
  <c r="Q36"/>
  <c r="S36" s="1"/>
  <c r="R35"/>
  <c r="Q35"/>
  <c r="R32"/>
  <c r="Q32"/>
  <c r="S32" s="1"/>
  <c r="R31"/>
  <c r="Q31"/>
  <c r="R30"/>
  <c r="Q30"/>
  <c r="S30" s="1"/>
  <c r="Q29"/>
  <c r="O29"/>
  <c r="N29"/>
  <c r="M29"/>
  <c r="L29"/>
  <c r="K29"/>
  <c r="O26"/>
  <c r="N26"/>
  <c r="M26"/>
  <c r="L26"/>
  <c r="K26"/>
  <c r="J26"/>
  <c r="I26"/>
  <c r="H26"/>
  <c r="G26"/>
  <c r="F26"/>
  <c r="E26"/>
  <c r="D26"/>
  <c r="N25"/>
  <c r="M25"/>
  <c r="L25"/>
  <c r="K25"/>
  <c r="J25"/>
  <c r="I25"/>
  <c r="H25"/>
  <c r="G25"/>
  <c r="F25"/>
  <c r="E25"/>
  <c r="D25"/>
  <c r="AF24"/>
  <c r="AE24"/>
  <c r="AD25" i="32" s="1"/>
  <c r="AD24" i="30"/>
  <c r="AC25" i="32" s="1"/>
  <c r="AC24" i="30"/>
  <c r="AB25" i="32" s="1"/>
  <c r="AB24" i="30"/>
  <c r="AA25" i="32" s="1"/>
  <c r="AA24" i="30"/>
  <c r="Z25" i="32" s="1"/>
  <c r="Z24" i="30"/>
  <c r="Y25" i="32" s="1"/>
  <c r="Y24" i="30"/>
  <c r="X25" i="32" s="1"/>
  <c r="X24" i="30"/>
  <c r="W25" i="32" s="1"/>
  <c r="W24" i="30"/>
  <c r="V25" i="32" s="1"/>
  <c r="V24" i="30"/>
  <c r="U25" i="32" s="1"/>
  <c r="U24" i="30"/>
  <c r="T25" i="32" s="1"/>
  <c r="O21" i="30"/>
  <c r="N21"/>
  <c r="M21"/>
  <c r="L21"/>
  <c r="K21"/>
  <c r="I21"/>
  <c r="H21"/>
  <c r="G21"/>
  <c r="F21"/>
  <c r="E21"/>
  <c r="D21"/>
  <c r="N20"/>
  <c r="M20"/>
  <c r="L20"/>
  <c r="K20"/>
  <c r="I20"/>
  <c r="H20"/>
  <c r="G20"/>
  <c r="F20"/>
  <c r="E20"/>
  <c r="D20"/>
  <c r="R17"/>
  <c r="Q17"/>
  <c r="S17" s="1"/>
  <c r="V16"/>
  <c r="U16"/>
  <c r="U14" s="1"/>
  <c r="T15" i="32" s="1"/>
  <c r="R16" i="30"/>
  <c r="S16" s="1"/>
  <c r="Q16"/>
  <c r="R15"/>
  <c r="S15" s="1"/>
  <c r="Q15"/>
  <c r="Q25" s="1"/>
  <c r="O14"/>
  <c r="O24" s="1"/>
  <c r="N14"/>
  <c r="N24" s="1"/>
  <c r="M14"/>
  <c r="M24" s="1"/>
  <c r="L14"/>
  <c r="L24" s="1"/>
  <c r="K14"/>
  <c r="J14"/>
  <c r="J24" s="1"/>
  <c r="I14"/>
  <c r="I24" s="1"/>
  <c r="H14"/>
  <c r="H24" s="1"/>
  <c r="G14"/>
  <c r="G24" s="1"/>
  <c r="F14"/>
  <c r="F24" s="1"/>
  <c r="E14"/>
  <c r="E24" s="1"/>
  <c r="D14"/>
  <c r="D24" s="1"/>
  <c r="R12"/>
  <c r="Q12"/>
  <c r="R11"/>
  <c r="R21" s="1"/>
  <c r="Q11"/>
  <c r="Q21" s="1"/>
  <c r="R10"/>
  <c r="S10" s="1"/>
  <c r="S20" s="1"/>
  <c r="Q10"/>
  <c r="Q20" s="1"/>
  <c r="AF41"/>
  <c r="AE38" i="32" s="1"/>
  <c r="AE9" i="30"/>
  <c r="AD9"/>
  <c r="AC9"/>
  <c r="AB9"/>
  <c r="AA9"/>
  <c r="Z9"/>
  <c r="Y9"/>
  <c r="X9"/>
  <c r="W9"/>
  <c r="V9"/>
  <c r="U10" i="32" s="1"/>
  <c r="U9" s="1"/>
  <c r="U9" i="30"/>
  <c r="O9"/>
  <c r="O41" s="1"/>
  <c r="N9"/>
  <c r="N19" s="1"/>
  <c r="M9"/>
  <c r="M19" s="1"/>
  <c r="L9"/>
  <c r="L19" s="1"/>
  <c r="K9"/>
  <c r="K19" s="1"/>
  <c r="J9"/>
  <c r="J41" s="1"/>
  <c r="I9"/>
  <c r="I8" s="1"/>
  <c r="H9"/>
  <c r="H19" s="1"/>
  <c r="G9"/>
  <c r="G41" s="1"/>
  <c r="F9"/>
  <c r="F41" s="1"/>
  <c r="E9"/>
  <c r="E19" s="1"/>
  <c r="D9"/>
  <c r="D19" s="1"/>
  <c r="J8"/>
  <c r="H8"/>
  <c r="E8"/>
  <c r="D8"/>
  <c r="N163" i="29"/>
  <c r="M163"/>
  <c r="L163"/>
  <c r="K163"/>
  <c r="J163"/>
  <c r="I163"/>
  <c r="H163"/>
  <c r="G163"/>
  <c r="F163"/>
  <c r="E163"/>
  <c r="D163"/>
  <c r="C163"/>
  <c r="N162"/>
  <c r="M162"/>
  <c r="L162"/>
  <c r="K162"/>
  <c r="J162"/>
  <c r="I162"/>
  <c r="H162"/>
  <c r="G162"/>
  <c r="F162"/>
  <c r="E162"/>
  <c r="D162"/>
  <c r="C162"/>
  <c r="N161"/>
  <c r="M161"/>
  <c r="L161"/>
  <c r="K161"/>
  <c r="J161"/>
  <c r="I161"/>
  <c r="H161"/>
  <c r="G161"/>
  <c r="F161"/>
  <c r="E161"/>
  <c r="D161"/>
  <c r="C161"/>
  <c r="N160"/>
  <c r="M160"/>
  <c r="L160"/>
  <c r="K160"/>
  <c r="J160"/>
  <c r="I160"/>
  <c r="H160"/>
  <c r="G160"/>
  <c r="F160"/>
  <c r="E160"/>
  <c r="D160"/>
  <c r="C160"/>
  <c r="N159"/>
  <c r="M159"/>
  <c r="L159"/>
  <c r="K159"/>
  <c r="J159"/>
  <c r="I159"/>
  <c r="H159"/>
  <c r="G159"/>
  <c r="F159"/>
  <c r="E159"/>
  <c r="D159"/>
  <c r="C159"/>
  <c r="N158"/>
  <c r="M158"/>
  <c r="L158"/>
  <c r="K158"/>
  <c r="J158"/>
  <c r="I158"/>
  <c r="H158"/>
  <c r="G158"/>
  <c r="F158"/>
  <c r="E158"/>
  <c r="D158"/>
  <c r="C158"/>
  <c r="N157"/>
  <c r="M157"/>
  <c r="L157"/>
  <c r="K157"/>
  <c r="J157"/>
  <c r="I157"/>
  <c r="H157"/>
  <c r="G157"/>
  <c r="F157"/>
  <c r="E157"/>
  <c r="D157"/>
  <c r="C157"/>
  <c r="N156"/>
  <c r="M156"/>
  <c r="L156"/>
  <c r="K156"/>
  <c r="J156"/>
  <c r="I156"/>
  <c r="H156"/>
  <c r="G156"/>
  <c r="F156"/>
  <c r="E156"/>
  <c r="D156"/>
  <c r="C156"/>
  <c r="N155"/>
  <c r="M155"/>
  <c r="L155"/>
  <c r="K155"/>
  <c r="J155"/>
  <c r="I155"/>
  <c r="H155"/>
  <c r="G155"/>
  <c r="F155"/>
  <c r="E155"/>
  <c r="D155"/>
  <c r="C155"/>
  <c r="AH154"/>
  <c r="AG154"/>
  <c r="AF154"/>
  <c r="AE154"/>
  <c r="AD154"/>
  <c r="AC154"/>
  <c r="AB154"/>
  <c r="AA154"/>
  <c r="Z154"/>
  <c r="Y154"/>
  <c r="X154"/>
  <c r="W154"/>
  <c r="U151"/>
  <c r="Q151"/>
  <c r="P151"/>
  <c r="U150"/>
  <c r="Q150"/>
  <c r="P150"/>
  <c r="U149"/>
  <c r="Q149"/>
  <c r="P149"/>
  <c r="U148"/>
  <c r="Q148"/>
  <c r="P148"/>
  <c r="U147"/>
  <c r="Q147"/>
  <c r="P147"/>
  <c r="U146"/>
  <c r="Q146"/>
  <c r="P146"/>
  <c r="U145"/>
  <c r="Q145"/>
  <c r="P145"/>
  <c r="U144"/>
  <c r="Q144"/>
  <c r="P144"/>
  <c r="U143"/>
  <c r="Q143"/>
  <c r="P143"/>
  <c r="AH142"/>
  <c r="AG142"/>
  <c r="AF142"/>
  <c r="AE142"/>
  <c r="AD142"/>
  <c r="AC142"/>
  <c r="AB142"/>
  <c r="AA142"/>
  <c r="Z142"/>
  <c r="Y142"/>
  <c r="X142"/>
  <c r="W142"/>
  <c r="N142"/>
  <c r="M142"/>
  <c r="L142"/>
  <c r="K142"/>
  <c r="J142"/>
  <c r="I142"/>
  <c r="H142"/>
  <c r="G142"/>
  <c r="F142"/>
  <c r="E142"/>
  <c r="D142"/>
  <c r="C142"/>
  <c r="N139"/>
  <c r="M139"/>
  <c r="L139"/>
  <c r="K139"/>
  <c r="J139"/>
  <c r="I139"/>
  <c r="H139"/>
  <c r="G139"/>
  <c r="F139"/>
  <c r="E139"/>
  <c r="D139"/>
  <c r="C139"/>
  <c r="N138"/>
  <c r="M138"/>
  <c r="L138"/>
  <c r="K138"/>
  <c r="J138"/>
  <c r="I138"/>
  <c r="H138"/>
  <c r="G138"/>
  <c r="F138"/>
  <c r="E138"/>
  <c r="D138"/>
  <c r="C138"/>
  <c r="N137"/>
  <c r="M137"/>
  <c r="L137"/>
  <c r="K137"/>
  <c r="J137"/>
  <c r="I137"/>
  <c r="H137"/>
  <c r="G137"/>
  <c r="F137"/>
  <c r="E137"/>
  <c r="D137"/>
  <c r="C137"/>
  <c r="N136"/>
  <c r="M136"/>
  <c r="L136"/>
  <c r="K136"/>
  <c r="J136"/>
  <c r="I136"/>
  <c r="H136"/>
  <c r="G136"/>
  <c r="F136"/>
  <c r="E136"/>
  <c r="D136"/>
  <c r="C136"/>
  <c r="N135"/>
  <c r="M135"/>
  <c r="L135"/>
  <c r="K135"/>
  <c r="J135"/>
  <c r="I135"/>
  <c r="H135"/>
  <c r="G135"/>
  <c r="F135"/>
  <c r="E135"/>
  <c r="D135"/>
  <c r="C135"/>
  <c r="N134"/>
  <c r="M134"/>
  <c r="L134"/>
  <c r="K134"/>
  <c r="J134"/>
  <c r="I134"/>
  <c r="H134"/>
  <c r="G134"/>
  <c r="F134"/>
  <c r="E134"/>
  <c r="D134"/>
  <c r="C134"/>
  <c r="N133"/>
  <c r="M133"/>
  <c r="L133"/>
  <c r="K133"/>
  <c r="J133"/>
  <c r="I133"/>
  <c r="H133"/>
  <c r="G133"/>
  <c r="F133"/>
  <c r="E133"/>
  <c r="D133"/>
  <c r="C133"/>
  <c r="AH132"/>
  <c r="AG132"/>
  <c r="AF132"/>
  <c r="AE132"/>
  <c r="AD132"/>
  <c r="AC132"/>
  <c r="AB132"/>
  <c r="AA132"/>
  <c r="Z132"/>
  <c r="Y132"/>
  <c r="X132"/>
  <c r="W132"/>
  <c r="N132"/>
  <c r="M132"/>
  <c r="L132"/>
  <c r="K132"/>
  <c r="J132"/>
  <c r="I132"/>
  <c r="H132"/>
  <c r="G132"/>
  <c r="F132"/>
  <c r="E132"/>
  <c r="D132"/>
  <c r="C132"/>
  <c r="AH131"/>
  <c r="AG131"/>
  <c r="AF131"/>
  <c r="AE131"/>
  <c r="AD131"/>
  <c r="AC131"/>
  <c r="AB131"/>
  <c r="AA131"/>
  <c r="Z131"/>
  <c r="Y131"/>
  <c r="X131"/>
  <c r="W131"/>
  <c r="N131"/>
  <c r="M131"/>
  <c r="L131"/>
  <c r="K131"/>
  <c r="J131"/>
  <c r="I131"/>
  <c r="H131"/>
  <c r="G131"/>
  <c r="F131"/>
  <c r="E131"/>
  <c r="D131"/>
  <c r="C131"/>
  <c r="N127"/>
  <c r="M127"/>
  <c r="L127"/>
  <c r="K127"/>
  <c r="J127"/>
  <c r="I127"/>
  <c r="H127"/>
  <c r="G127"/>
  <c r="F127"/>
  <c r="E127"/>
  <c r="D127"/>
  <c r="C127"/>
  <c r="N126"/>
  <c r="M126"/>
  <c r="L126"/>
  <c r="K126"/>
  <c r="J126"/>
  <c r="I126"/>
  <c r="H126"/>
  <c r="G126"/>
  <c r="F126"/>
  <c r="E126"/>
  <c r="D126"/>
  <c r="C126"/>
  <c r="N125"/>
  <c r="M125"/>
  <c r="L125"/>
  <c r="K125"/>
  <c r="J125"/>
  <c r="I125"/>
  <c r="H125"/>
  <c r="G125"/>
  <c r="F125"/>
  <c r="E125"/>
  <c r="D125"/>
  <c r="C125"/>
  <c r="N124"/>
  <c r="M124"/>
  <c r="L124"/>
  <c r="K124"/>
  <c r="J124"/>
  <c r="I124"/>
  <c r="H124"/>
  <c r="G124"/>
  <c r="F124"/>
  <c r="E124"/>
  <c r="D124"/>
  <c r="C124"/>
  <c r="N123"/>
  <c r="M123"/>
  <c r="L123"/>
  <c r="K123"/>
  <c r="J123"/>
  <c r="I123"/>
  <c r="H123"/>
  <c r="G123"/>
  <c r="F123"/>
  <c r="E123"/>
  <c r="D123"/>
  <c r="C123"/>
  <c r="N122"/>
  <c r="M122"/>
  <c r="L122"/>
  <c r="K122"/>
  <c r="J122"/>
  <c r="I122"/>
  <c r="H122"/>
  <c r="G122"/>
  <c r="F122"/>
  <c r="E122"/>
  <c r="D122"/>
  <c r="C122"/>
  <c r="N121"/>
  <c r="M121"/>
  <c r="L121"/>
  <c r="K121"/>
  <c r="J121"/>
  <c r="I121"/>
  <c r="H121"/>
  <c r="G121"/>
  <c r="F121"/>
  <c r="E121"/>
  <c r="D121"/>
  <c r="C121"/>
  <c r="N120"/>
  <c r="M120"/>
  <c r="L120"/>
  <c r="K120"/>
  <c r="J120"/>
  <c r="I120"/>
  <c r="H120"/>
  <c r="G120"/>
  <c r="F120"/>
  <c r="E120"/>
  <c r="D120"/>
  <c r="C120"/>
  <c r="N119"/>
  <c r="M119"/>
  <c r="L119"/>
  <c r="K119"/>
  <c r="J119"/>
  <c r="I119"/>
  <c r="H119"/>
  <c r="G119"/>
  <c r="F119"/>
  <c r="E119"/>
  <c r="D119"/>
  <c r="C119"/>
  <c r="AH118"/>
  <c r="AG118"/>
  <c r="AF118"/>
  <c r="AE118"/>
  <c r="AD118"/>
  <c r="AC118"/>
  <c r="AB118"/>
  <c r="AA118"/>
  <c r="Z118"/>
  <c r="Y118"/>
  <c r="X118"/>
  <c r="W118"/>
  <c r="U115"/>
  <c r="Q115"/>
  <c r="P115"/>
  <c r="U114"/>
  <c r="Q114"/>
  <c r="P114"/>
  <c r="U113"/>
  <c r="Q113"/>
  <c r="P113"/>
  <c r="U112"/>
  <c r="Q112"/>
  <c r="P112"/>
  <c r="U111"/>
  <c r="Q111"/>
  <c r="P111"/>
  <c r="U110"/>
  <c r="Q110"/>
  <c r="P110"/>
  <c r="U109"/>
  <c r="Q109"/>
  <c r="P109"/>
  <c r="AL108"/>
  <c r="AL132" s="1"/>
  <c r="AK108"/>
  <c r="AK132" s="1"/>
  <c r="AJ108"/>
  <c r="AJ132" s="1"/>
  <c r="U108"/>
  <c r="Q108"/>
  <c r="P108"/>
  <c r="AL107"/>
  <c r="AL131" s="1"/>
  <c r="AK107"/>
  <c r="AK131" s="1"/>
  <c r="AJ107"/>
  <c r="AJ131" s="1"/>
  <c r="U107"/>
  <c r="Q107"/>
  <c r="P107"/>
  <c r="AH106"/>
  <c r="AG106"/>
  <c r="AF106"/>
  <c r="AE106"/>
  <c r="AD106"/>
  <c r="AC106"/>
  <c r="AB106"/>
  <c r="AA106"/>
  <c r="Z106"/>
  <c r="Y106"/>
  <c r="X106"/>
  <c r="W106"/>
  <c r="W94" s="1"/>
  <c r="N106"/>
  <c r="M106"/>
  <c r="L106"/>
  <c r="K106"/>
  <c r="J106"/>
  <c r="I106"/>
  <c r="H106"/>
  <c r="G106"/>
  <c r="F106"/>
  <c r="E106"/>
  <c r="D106"/>
  <c r="C106"/>
  <c r="N103"/>
  <c r="M103"/>
  <c r="L103"/>
  <c r="K103"/>
  <c r="J103"/>
  <c r="I103"/>
  <c r="H103"/>
  <c r="G103"/>
  <c r="F103"/>
  <c r="E103"/>
  <c r="D103"/>
  <c r="C103"/>
  <c r="N102"/>
  <c r="M102"/>
  <c r="L102"/>
  <c r="K102"/>
  <c r="J102"/>
  <c r="I102"/>
  <c r="H102"/>
  <c r="G102"/>
  <c r="F102"/>
  <c r="E102"/>
  <c r="D102"/>
  <c r="C102"/>
  <c r="N101"/>
  <c r="M101"/>
  <c r="L101"/>
  <c r="K101"/>
  <c r="J101"/>
  <c r="I101"/>
  <c r="H101"/>
  <c r="G101"/>
  <c r="F101"/>
  <c r="E101"/>
  <c r="D101"/>
  <c r="C101"/>
  <c r="N100"/>
  <c r="M100"/>
  <c r="L100"/>
  <c r="K100"/>
  <c r="J100"/>
  <c r="I100"/>
  <c r="H100"/>
  <c r="G100"/>
  <c r="F100"/>
  <c r="E100"/>
  <c r="D100"/>
  <c r="C100"/>
  <c r="N99"/>
  <c r="M99"/>
  <c r="L99"/>
  <c r="K99"/>
  <c r="J99"/>
  <c r="I99"/>
  <c r="H99"/>
  <c r="G99"/>
  <c r="F99"/>
  <c r="E99"/>
  <c r="D99"/>
  <c r="C99"/>
  <c r="N98"/>
  <c r="M98"/>
  <c r="L98"/>
  <c r="K98"/>
  <c r="J98"/>
  <c r="I98"/>
  <c r="H98"/>
  <c r="G98"/>
  <c r="F98"/>
  <c r="E98"/>
  <c r="D98"/>
  <c r="C98"/>
  <c r="N97"/>
  <c r="M97"/>
  <c r="L97"/>
  <c r="K97"/>
  <c r="J97"/>
  <c r="I97"/>
  <c r="H97"/>
  <c r="G97"/>
  <c r="F97"/>
  <c r="E97"/>
  <c r="D97"/>
  <c r="C97"/>
  <c r="AH96"/>
  <c r="AG96"/>
  <c r="AF96"/>
  <c r="AE96"/>
  <c r="AD96"/>
  <c r="AC96"/>
  <c r="AB96"/>
  <c r="AA96"/>
  <c r="Z96"/>
  <c r="Y96"/>
  <c r="X96"/>
  <c r="W96"/>
  <c r="N96"/>
  <c r="M96"/>
  <c r="L96"/>
  <c r="K96"/>
  <c r="J96"/>
  <c r="I96"/>
  <c r="H96"/>
  <c r="G96"/>
  <c r="F96"/>
  <c r="E96"/>
  <c r="D96"/>
  <c r="C96"/>
  <c r="AH95"/>
  <c r="AG95"/>
  <c r="AF95"/>
  <c r="AE95"/>
  <c r="AD95"/>
  <c r="AC95"/>
  <c r="AB95"/>
  <c r="AA95"/>
  <c r="Z95"/>
  <c r="Y95"/>
  <c r="X95"/>
  <c r="W95"/>
  <c r="N95"/>
  <c r="M95"/>
  <c r="L95"/>
  <c r="K95"/>
  <c r="J95"/>
  <c r="I95"/>
  <c r="H95"/>
  <c r="G95"/>
  <c r="F95"/>
  <c r="E95"/>
  <c r="D95"/>
  <c r="C95"/>
  <c r="I90"/>
  <c r="H90"/>
  <c r="G90"/>
  <c r="F90"/>
  <c r="E90"/>
  <c r="D90"/>
  <c r="C90"/>
  <c r="N89"/>
  <c r="M89"/>
  <c r="L89"/>
  <c r="K89"/>
  <c r="I89"/>
  <c r="H89"/>
  <c r="G89"/>
  <c r="F89"/>
  <c r="N88"/>
  <c r="M88"/>
  <c r="L88"/>
  <c r="K88"/>
  <c r="I88"/>
  <c r="H88"/>
  <c r="G88"/>
  <c r="F88"/>
  <c r="N87"/>
  <c r="M87"/>
  <c r="L87"/>
  <c r="K87"/>
  <c r="I87"/>
  <c r="H87"/>
  <c r="G87"/>
  <c r="F87"/>
  <c r="E87"/>
  <c r="D87"/>
  <c r="N86"/>
  <c r="M86"/>
  <c r="L86"/>
  <c r="K86"/>
  <c r="I86"/>
  <c r="H86"/>
  <c r="G86"/>
  <c r="F86"/>
  <c r="E86"/>
  <c r="D86"/>
  <c r="C86"/>
  <c r="N85"/>
  <c r="M85"/>
  <c r="L85"/>
  <c r="K85"/>
  <c r="I85"/>
  <c r="H85"/>
  <c r="G85"/>
  <c r="F85"/>
  <c r="E85"/>
  <c r="D85"/>
  <c r="C85"/>
  <c r="N84"/>
  <c r="M84"/>
  <c r="L84"/>
  <c r="K84"/>
  <c r="I84"/>
  <c r="H84"/>
  <c r="G84"/>
  <c r="F84"/>
  <c r="E84"/>
  <c r="D84"/>
  <c r="C84"/>
  <c r="N83"/>
  <c r="M83"/>
  <c r="L83"/>
  <c r="K83"/>
  <c r="I83"/>
  <c r="H83"/>
  <c r="G83"/>
  <c r="F83"/>
  <c r="E83"/>
  <c r="D83"/>
  <c r="C83"/>
  <c r="N82"/>
  <c r="M82"/>
  <c r="L82"/>
  <c r="K82"/>
  <c r="I82"/>
  <c r="H82"/>
  <c r="G82"/>
  <c r="F82"/>
  <c r="E82"/>
  <c r="D82"/>
  <c r="C82"/>
  <c r="AH81"/>
  <c r="AG81"/>
  <c r="AF81"/>
  <c r="AE81"/>
  <c r="AC81"/>
  <c r="AB81"/>
  <c r="AA81"/>
  <c r="Z81"/>
  <c r="Y81"/>
  <c r="X81"/>
  <c r="W81"/>
  <c r="AL76"/>
  <c r="AK76"/>
  <c r="AJ76"/>
  <c r="U76"/>
  <c r="Q76"/>
  <c r="P76"/>
  <c r="U75"/>
  <c r="Q75"/>
  <c r="P75"/>
  <c r="U74"/>
  <c r="Q74"/>
  <c r="P74"/>
  <c r="U73"/>
  <c r="Q73"/>
  <c r="P73"/>
  <c r="AH72"/>
  <c r="AG72"/>
  <c r="AF72"/>
  <c r="AE72"/>
  <c r="AD72"/>
  <c r="AC72"/>
  <c r="AB72"/>
  <c r="AA72"/>
  <c r="Z72"/>
  <c r="Y72"/>
  <c r="X72"/>
  <c r="W72"/>
  <c r="U72"/>
  <c r="Q72"/>
  <c r="P72"/>
  <c r="U71"/>
  <c r="Q71"/>
  <c r="P71"/>
  <c r="U70"/>
  <c r="Q70"/>
  <c r="P70"/>
  <c r="U69"/>
  <c r="Q69"/>
  <c r="P69"/>
  <c r="U68"/>
  <c r="Q68"/>
  <c r="P68"/>
  <c r="AL67"/>
  <c r="AK67"/>
  <c r="AJ67"/>
  <c r="N67"/>
  <c r="M67"/>
  <c r="L67"/>
  <c r="K67"/>
  <c r="J67"/>
  <c r="I67"/>
  <c r="H67"/>
  <c r="G67"/>
  <c r="F67"/>
  <c r="E67"/>
  <c r="D67"/>
  <c r="C67"/>
  <c r="N61"/>
  <c r="M61"/>
  <c r="L61"/>
  <c r="K61"/>
  <c r="J61"/>
  <c r="I61"/>
  <c r="H61"/>
  <c r="G61"/>
  <c r="F61"/>
  <c r="E61"/>
  <c r="D61"/>
  <c r="C61"/>
  <c r="N60"/>
  <c r="M60"/>
  <c r="L60"/>
  <c r="K60"/>
  <c r="J60"/>
  <c r="I60"/>
  <c r="H60"/>
  <c r="G60"/>
  <c r="F60"/>
  <c r="E60"/>
  <c r="D60"/>
  <c r="C60"/>
  <c r="N59"/>
  <c r="M59"/>
  <c r="L59"/>
  <c r="K59"/>
  <c r="J59"/>
  <c r="I59"/>
  <c r="H59"/>
  <c r="G59"/>
  <c r="F59"/>
  <c r="E59"/>
  <c r="D59"/>
  <c r="C59"/>
  <c r="N58"/>
  <c r="M58"/>
  <c r="L58"/>
  <c r="K58"/>
  <c r="J58"/>
  <c r="I58"/>
  <c r="H58"/>
  <c r="G58"/>
  <c r="F58"/>
  <c r="E58"/>
  <c r="D58"/>
  <c r="C58"/>
  <c r="N57"/>
  <c r="M57"/>
  <c r="L57"/>
  <c r="K57"/>
  <c r="J57"/>
  <c r="I57"/>
  <c r="H57"/>
  <c r="G57"/>
  <c r="F57"/>
  <c r="E57"/>
  <c r="D57"/>
  <c r="C57"/>
  <c r="N56"/>
  <c r="M56"/>
  <c r="L56"/>
  <c r="K56"/>
  <c r="J56"/>
  <c r="I56"/>
  <c r="H56"/>
  <c r="G56"/>
  <c r="F56"/>
  <c r="E56"/>
  <c r="D56"/>
  <c r="C56"/>
  <c r="N55"/>
  <c r="M55"/>
  <c r="L55"/>
  <c r="K55"/>
  <c r="J55"/>
  <c r="I55"/>
  <c r="H55"/>
  <c r="G55"/>
  <c r="F55"/>
  <c r="E55"/>
  <c r="D55"/>
  <c r="C55"/>
  <c r="N54"/>
  <c r="M54"/>
  <c r="L54"/>
  <c r="K54"/>
  <c r="J54"/>
  <c r="I54"/>
  <c r="H54"/>
  <c r="G54"/>
  <c r="F54"/>
  <c r="E54"/>
  <c r="D54"/>
  <c r="C54"/>
  <c r="C47"/>
  <c r="N46"/>
  <c r="M46"/>
  <c r="L46"/>
  <c r="K46"/>
  <c r="J46"/>
  <c r="I46"/>
  <c r="H46"/>
  <c r="G46"/>
  <c r="F46"/>
  <c r="E46"/>
  <c r="D46"/>
  <c r="C46"/>
  <c r="N45"/>
  <c r="M45"/>
  <c r="L45"/>
  <c r="K45"/>
  <c r="J45"/>
  <c r="I45"/>
  <c r="H45"/>
  <c r="G45"/>
  <c r="F45"/>
  <c r="E45"/>
  <c r="D45"/>
  <c r="C45"/>
  <c r="N44"/>
  <c r="M44"/>
  <c r="L44"/>
  <c r="K44"/>
  <c r="J44"/>
  <c r="I44"/>
  <c r="H44"/>
  <c r="G44"/>
  <c r="F44"/>
  <c r="E44"/>
  <c r="D44"/>
  <c r="C44"/>
  <c r="N43"/>
  <c r="M43"/>
  <c r="L43"/>
  <c r="K43"/>
  <c r="J43"/>
  <c r="I43"/>
  <c r="H43"/>
  <c r="G43"/>
  <c r="F43"/>
  <c r="E43"/>
  <c r="D43"/>
  <c r="C43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40"/>
  <c r="M40"/>
  <c r="L40"/>
  <c r="K40"/>
  <c r="J40"/>
  <c r="I40"/>
  <c r="H40"/>
  <c r="G40"/>
  <c r="F40"/>
  <c r="E40"/>
  <c r="D40"/>
  <c r="C40"/>
  <c r="AH39"/>
  <c r="AG39"/>
  <c r="AF39"/>
  <c r="AE39"/>
  <c r="AD39"/>
  <c r="AC39"/>
  <c r="AB39"/>
  <c r="AA39"/>
  <c r="Z39"/>
  <c r="Y39"/>
  <c r="X39"/>
  <c r="W39"/>
  <c r="U32"/>
  <c r="Q32"/>
  <c r="P32"/>
  <c r="U31"/>
  <c r="Q31"/>
  <c r="P31"/>
  <c r="U30"/>
  <c r="Q30"/>
  <c r="Q59" s="1"/>
  <c r="P30"/>
  <c r="AH29"/>
  <c r="AH58" s="1"/>
  <c r="AG29"/>
  <c r="AF29"/>
  <c r="AE29"/>
  <c r="AD29"/>
  <c r="AC29"/>
  <c r="AB29"/>
  <c r="AA29"/>
  <c r="AA58" s="1"/>
  <c r="Z29"/>
  <c r="Z58" s="1"/>
  <c r="Y29"/>
  <c r="X29"/>
  <c r="W29"/>
  <c r="U29"/>
  <c r="Q29"/>
  <c r="P29"/>
  <c r="U28"/>
  <c r="U57" s="1"/>
  <c r="Q28"/>
  <c r="Q57" s="1"/>
  <c r="P28"/>
  <c r="U27"/>
  <c r="Q27"/>
  <c r="P27"/>
  <c r="U26"/>
  <c r="Q26"/>
  <c r="P26"/>
  <c r="U25"/>
  <c r="Q25"/>
  <c r="P25"/>
  <c r="AL24"/>
  <c r="AK24"/>
  <c r="AJ24"/>
  <c r="N24"/>
  <c r="M24"/>
  <c r="L24"/>
  <c r="K24"/>
  <c r="J24"/>
  <c r="I24"/>
  <c r="H24"/>
  <c r="G24"/>
  <c r="F24"/>
  <c r="E24"/>
  <c r="D24"/>
  <c r="C24"/>
  <c r="F22"/>
  <c r="U18"/>
  <c r="Q18"/>
  <c r="P18"/>
  <c r="U17"/>
  <c r="Q17"/>
  <c r="P17"/>
  <c r="U16"/>
  <c r="Q16"/>
  <c r="P16"/>
  <c r="U15"/>
  <c r="Q15"/>
  <c r="Q160" s="1"/>
  <c r="P15"/>
  <c r="AH14"/>
  <c r="AG14"/>
  <c r="AF14"/>
  <c r="AE14"/>
  <c r="AD14"/>
  <c r="AC14"/>
  <c r="AB14"/>
  <c r="AA14"/>
  <c r="Z14"/>
  <c r="Y14"/>
  <c r="X14"/>
  <c r="W14"/>
  <c r="U14"/>
  <c r="S14"/>
  <c r="Q14"/>
  <c r="P14"/>
  <c r="U13"/>
  <c r="Q13"/>
  <c r="P13"/>
  <c r="U12"/>
  <c r="Q12"/>
  <c r="P12"/>
  <c r="U11"/>
  <c r="Q11"/>
  <c r="P11"/>
  <c r="U10"/>
  <c r="Q10"/>
  <c r="Q40" s="1"/>
  <c r="P10"/>
  <c r="AL9"/>
  <c r="AK9"/>
  <c r="AJ9"/>
  <c r="N9"/>
  <c r="M9"/>
  <c r="L9"/>
  <c r="K9"/>
  <c r="J9"/>
  <c r="I9"/>
  <c r="H9"/>
  <c r="G9"/>
  <c r="F9"/>
  <c r="E9"/>
  <c r="D9"/>
  <c r="C9"/>
  <c r="F8"/>
  <c r="F7"/>
  <c r="AL75" i="28"/>
  <c r="AK75"/>
  <c r="AJ75"/>
  <c r="W115"/>
  <c r="AJ63"/>
  <c r="AK63"/>
  <c r="AL63"/>
  <c r="AJ18"/>
  <c r="AK18"/>
  <c r="AL18"/>
  <c r="AF31" i="14"/>
  <c r="U24"/>
  <c r="V24"/>
  <c r="W24"/>
  <c r="X24"/>
  <c r="Y24"/>
  <c r="Z24"/>
  <c r="AA24"/>
  <c r="AB24"/>
  <c r="AC24"/>
  <c r="AD24"/>
  <c r="AE24"/>
  <c r="AF24"/>
  <c r="U41" i="11"/>
  <c r="U30"/>
  <c r="AF32"/>
  <c r="AF30" s="1"/>
  <c r="U32"/>
  <c r="Y66" i="28"/>
  <c r="AM23"/>
  <c r="D41" i="11"/>
  <c r="U16"/>
  <c r="N147" i="28"/>
  <c r="M147"/>
  <c r="L147"/>
  <c r="K147"/>
  <c r="J147"/>
  <c r="I147"/>
  <c r="H147"/>
  <c r="G147"/>
  <c r="F147"/>
  <c r="E147"/>
  <c r="D147"/>
  <c r="C147"/>
  <c r="N146"/>
  <c r="M146"/>
  <c r="L146"/>
  <c r="K146"/>
  <c r="J146"/>
  <c r="I146"/>
  <c r="H146"/>
  <c r="G146"/>
  <c r="F146"/>
  <c r="E146"/>
  <c r="D146"/>
  <c r="C146"/>
  <c r="N145"/>
  <c r="M145"/>
  <c r="L145"/>
  <c r="K145"/>
  <c r="J145"/>
  <c r="I145"/>
  <c r="H145"/>
  <c r="G145"/>
  <c r="F145"/>
  <c r="E145"/>
  <c r="D145"/>
  <c r="C145"/>
  <c r="N144"/>
  <c r="M144"/>
  <c r="L144"/>
  <c r="K144"/>
  <c r="J144"/>
  <c r="I144"/>
  <c r="H144"/>
  <c r="G144"/>
  <c r="F144"/>
  <c r="E144"/>
  <c r="D144"/>
  <c r="C144"/>
  <c r="N143"/>
  <c r="M143"/>
  <c r="L143"/>
  <c r="K143"/>
  <c r="J143"/>
  <c r="I143"/>
  <c r="H143"/>
  <c r="G143"/>
  <c r="F143"/>
  <c r="E143"/>
  <c r="D143"/>
  <c r="C143"/>
  <c r="N142"/>
  <c r="M142"/>
  <c r="L142"/>
  <c r="K142"/>
  <c r="J142"/>
  <c r="I142"/>
  <c r="H142"/>
  <c r="G142"/>
  <c r="F142"/>
  <c r="E142"/>
  <c r="D142"/>
  <c r="C142"/>
  <c r="N141"/>
  <c r="M141"/>
  <c r="L141"/>
  <c r="K141"/>
  <c r="J141"/>
  <c r="I141"/>
  <c r="H141"/>
  <c r="G141"/>
  <c r="F141"/>
  <c r="E141"/>
  <c r="D141"/>
  <c r="C141"/>
  <c r="N140"/>
  <c r="M140"/>
  <c r="L140"/>
  <c r="K140"/>
  <c r="J140"/>
  <c r="I140"/>
  <c r="H140"/>
  <c r="G140"/>
  <c r="F140"/>
  <c r="E140"/>
  <c r="D140"/>
  <c r="C140"/>
  <c r="N139"/>
  <c r="M139"/>
  <c r="L139"/>
  <c r="K139"/>
  <c r="J139"/>
  <c r="I139"/>
  <c r="H139"/>
  <c r="G139"/>
  <c r="F139"/>
  <c r="E139"/>
  <c r="D139"/>
  <c r="C139"/>
  <c r="AH138"/>
  <c r="AG138"/>
  <c r="AF138"/>
  <c r="AE138"/>
  <c r="AD138"/>
  <c r="AC138"/>
  <c r="AB138"/>
  <c r="AA138"/>
  <c r="Z138"/>
  <c r="Y138"/>
  <c r="X138"/>
  <c r="W138"/>
  <c r="U135"/>
  <c r="Q135"/>
  <c r="P135"/>
  <c r="U134"/>
  <c r="Q134"/>
  <c r="P134"/>
  <c r="U133"/>
  <c r="Q133"/>
  <c r="P133"/>
  <c r="U132"/>
  <c r="Q132"/>
  <c r="P132"/>
  <c r="U131"/>
  <c r="Q131"/>
  <c r="P131"/>
  <c r="U130"/>
  <c r="Q130"/>
  <c r="P130"/>
  <c r="U129"/>
  <c r="Q129"/>
  <c r="P129"/>
  <c r="U128"/>
  <c r="Q128"/>
  <c r="P128"/>
  <c r="U127"/>
  <c r="Q127"/>
  <c r="P127"/>
  <c r="AH126"/>
  <c r="AG126"/>
  <c r="AF126"/>
  <c r="AE126"/>
  <c r="AD126"/>
  <c r="AC126"/>
  <c r="AB126"/>
  <c r="AA126"/>
  <c r="Z126"/>
  <c r="Y126"/>
  <c r="X126"/>
  <c r="W126"/>
  <c r="N126"/>
  <c r="M126"/>
  <c r="L126"/>
  <c r="K126"/>
  <c r="J126"/>
  <c r="I126"/>
  <c r="H126"/>
  <c r="G126"/>
  <c r="F126"/>
  <c r="E126"/>
  <c r="D126"/>
  <c r="C126"/>
  <c r="N123"/>
  <c r="M123"/>
  <c r="L123"/>
  <c r="K123"/>
  <c r="J123"/>
  <c r="I123"/>
  <c r="H123"/>
  <c r="G123"/>
  <c r="F123"/>
  <c r="E123"/>
  <c r="D123"/>
  <c r="C123"/>
  <c r="N122"/>
  <c r="M122"/>
  <c r="L122"/>
  <c r="K122"/>
  <c r="J122"/>
  <c r="I122"/>
  <c r="H122"/>
  <c r="G122"/>
  <c r="F122"/>
  <c r="E122"/>
  <c r="D122"/>
  <c r="C122"/>
  <c r="N121"/>
  <c r="M121"/>
  <c r="L121"/>
  <c r="K121"/>
  <c r="J121"/>
  <c r="I121"/>
  <c r="H121"/>
  <c r="G121"/>
  <c r="F121"/>
  <c r="E121"/>
  <c r="D121"/>
  <c r="C121"/>
  <c r="N120"/>
  <c r="M120"/>
  <c r="L120"/>
  <c r="K120"/>
  <c r="J120"/>
  <c r="I120"/>
  <c r="H120"/>
  <c r="G120"/>
  <c r="F120"/>
  <c r="E120"/>
  <c r="D120"/>
  <c r="C120"/>
  <c r="N119"/>
  <c r="M119"/>
  <c r="L119"/>
  <c r="K119"/>
  <c r="J119"/>
  <c r="I119"/>
  <c r="H119"/>
  <c r="G119"/>
  <c r="F119"/>
  <c r="E119"/>
  <c r="D119"/>
  <c r="C119"/>
  <c r="N118"/>
  <c r="M118"/>
  <c r="L118"/>
  <c r="K118"/>
  <c r="J118"/>
  <c r="I118"/>
  <c r="H118"/>
  <c r="G118"/>
  <c r="F118"/>
  <c r="E118"/>
  <c r="D118"/>
  <c r="C118"/>
  <c r="N117"/>
  <c r="M117"/>
  <c r="L117"/>
  <c r="K117"/>
  <c r="J117"/>
  <c r="I117"/>
  <c r="H117"/>
  <c r="G117"/>
  <c r="F117"/>
  <c r="E117"/>
  <c r="D117"/>
  <c r="C117"/>
  <c r="AH116"/>
  <c r="AG116"/>
  <c r="AF116"/>
  <c r="AE116"/>
  <c r="AD116"/>
  <c r="AC116"/>
  <c r="AB116"/>
  <c r="AA116"/>
  <c r="Z116"/>
  <c r="Y116"/>
  <c r="X116"/>
  <c r="W116"/>
  <c r="N116"/>
  <c r="M116"/>
  <c r="L116"/>
  <c r="K116"/>
  <c r="J116"/>
  <c r="I116"/>
  <c r="H116"/>
  <c r="G116"/>
  <c r="F116"/>
  <c r="E116"/>
  <c r="D116"/>
  <c r="C116"/>
  <c r="AH115"/>
  <c r="AG115"/>
  <c r="AF115"/>
  <c r="AE115"/>
  <c r="AD115"/>
  <c r="AC115"/>
  <c r="AB115"/>
  <c r="AA115"/>
  <c r="Z115"/>
  <c r="Y115"/>
  <c r="X115"/>
  <c r="N115"/>
  <c r="M115"/>
  <c r="L115"/>
  <c r="K115"/>
  <c r="J115"/>
  <c r="I115"/>
  <c r="H115"/>
  <c r="G115"/>
  <c r="F115"/>
  <c r="E115"/>
  <c r="D115"/>
  <c r="C115"/>
  <c r="N111"/>
  <c r="M111"/>
  <c r="L111"/>
  <c r="K111"/>
  <c r="J111"/>
  <c r="I111"/>
  <c r="H111"/>
  <c r="G111"/>
  <c r="F111"/>
  <c r="E111"/>
  <c r="D111"/>
  <c r="C111"/>
  <c r="N110"/>
  <c r="M110"/>
  <c r="L110"/>
  <c r="K110"/>
  <c r="J110"/>
  <c r="I110"/>
  <c r="H110"/>
  <c r="G110"/>
  <c r="F110"/>
  <c r="E110"/>
  <c r="D110"/>
  <c r="C110"/>
  <c r="N109"/>
  <c r="M109"/>
  <c r="L109"/>
  <c r="K109"/>
  <c r="J109"/>
  <c r="I109"/>
  <c r="H109"/>
  <c r="G109"/>
  <c r="F109"/>
  <c r="E109"/>
  <c r="D109"/>
  <c r="C109"/>
  <c r="N108"/>
  <c r="M108"/>
  <c r="L108"/>
  <c r="K108"/>
  <c r="J108"/>
  <c r="I108"/>
  <c r="H108"/>
  <c r="G108"/>
  <c r="F108"/>
  <c r="E108"/>
  <c r="D108"/>
  <c r="C108"/>
  <c r="N107"/>
  <c r="M107"/>
  <c r="L107"/>
  <c r="K107"/>
  <c r="J107"/>
  <c r="I107"/>
  <c r="H107"/>
  <c r="G107"/>
  <c r="F107"/>
  <c r="E107"/>
  <c r="D107"/>
  <c r="C107"/>
  <c r="N106"/>
  <c r="M106"/>
  <c r="L106"/>
  <c r="K106"/>
  <c r="J106"/>
  <c r="I106"/>
  <c r="H106"/>
  <c r="G106"/>
  <c r="F106"/>
  <c r="E106"/>
  <c r="D106"/>
  <c r="C106"/>
  <c r="N105"/>
  <c r="M105"/>
  <c r="L105"/>
  <c r="K105"/>
  <c r="J105"/>
  <c r="I105"/>
  <c r="H105"/>
  <c r="G105"/>
  <c r="F105"/>
  <c r="E105"/>
  <c r="D105"/>
  <c r="C105"/>
  <c r="N104"/>
  <c r="M104"/>
  <c r="L104"/>
  <c r="K104"/>
  <c r="J104"/>
  <c r="I104"/>
  <c r="H104"/>
  <c r="G104"/>
  <c r="F104"/>
  <c r="E104"/>
  <c r="D104"/>
  <c r="C104"/>
  <c r="N103"/>
  <c r="M103"/>
  <c r="L103"/>
  <c r="K103"/>
  <c r="J103"/>
  <c r="I103"/>
  <c r="H103"/>
  <c r="G103"/>
  <c r="F103"/>
  <c r="E103"/>
  <c r="D103"/>
  <c r="C103"/>
  <c r="AH102"/>
  <c r="AG102"/>
  <c r="AF102"/>
  <c r="AE102"/>
  <c r="AD102"/>
  <c r="AC102"/>
  <c r="AB102"/>
  <c r="AA102"/>
  <c r="Z102"/>
  <c r="Y102"/>
  <c r="X102"/>
  <c r="W102"/>
  <c r="U99"/>
  <c r="Q99"/>
  <c r="P99"/>
  <c r="U98"/>
  <c r="Q98"/>
  <c r="P98"/>
  <c r="U97"/>
  <c r="Q97"/>
  <c r="P97"/>
  <c r="U96"/>
  <c r="Q96"/>
  <c r="P96"/>
  <c r="U95"/>
  <c r="Q95"/>
  <c r="P95"/>
  <c r="U94"/>
  <c r="Q94"/>
  <c r="P94"/>
  <c r="U93"/>
  <c r="Q93"/>
  <c r="P93"/>
  <c r="AL92"/>
  <c r="AL116" s="1"/>
  <c r="AK92"/>
  <c r="AK116" s="1"/>
  <c r="AJ92"/>
  <c r="AJ116" s="1"/>
  <c r="U92"/>
  <c r="Q92"/>
  <c r="P92"/>
  <c r="AL91"/>
  <c r="AK91"/>
  <c r="AK115" s="1"/>
  <c r="AJ91"/>
  <c r="AJ115" s="1"/>
  <c r="U91"/>
  <c r="Q91"/>
  <c r="P91"/>
  <c r="AH90"/>
  <c r="AG90"/>
  <c r="AF90"/>
  <c r="AE90"/>
  <c r="AD90"/>
  <c r="AC90"/>
  <c r="AB90"/>
  <c r="AA90"/>
  <c r="Z90"/>
  <c r="Y90"/>
  <c r="X90"/>
  <c r="W90"/>
  <c r="W78" s="1"/>
  <c r="N90"/>
  <c r="M90"/>
  <c r="L90"/>
  <c r="K90"/>
  <c r="J90"/>
  <c r="I90"/>
  <c r="H90"/>
  <c r="G90"/>
  <c r="F90"/>
  <c r="E90"/>
  <c r="D90"/>
  <c r="C90"/>
  <c r="N87"/>
  <c r="M87"/>
  <c r="L87"/>
  <c r="K87"/>
  <c r="J87"/>
  <c r="I87"/>
  <c r="H87"/>
  <c r="G87"/>
  <c r="F87"/>
  <c r="E87"/>
  <c r="D87"/>
  <c r="C87"/>
  <c r="N86"/>
  <c r="M86"/>
  <c r="L86"/>
  <c r="K86"/>
  <c r="J86"/>
  <c r="I86"/>
  <c r="H86"/>
  <c r="G86"/>
  <c r="F86"/>
  <c r="E86"/>
  <c r="D86"/>
  <c r="C86"/>
  <c r="N85"/>
  <c r="M85"/>
  <c r="L85"/>
  <c r="K85"/>
  <c r="J85"/>
  <c r="I85"/>
  <c r="H85"/>
  <c r="G85"/>
  <c r="F85"/>
  <c r="E85"/>
  <c r="D85"/>
  <c r="C85"/>
  <c r="N84"/>
  <c r="M84"/>
  <c r="L84"/>
  <c r="K84"/>
  <c r="J84"/>
  <c r="I84"/>
  <c r="H84"/>
  <c r="G84"/>
  <c r="F84"/>
  <c r="E84"/>
  <c r="D84"/>
  <c r="C84"/>
  <c r="N83"/>
  <c r="M83"/>
  <c r="L83"/>
  <c r="K83"/>
  <c r="J83"/>
  <c r="I83"/>
  <c r="H83"/>
  <c r="G83"/>
  <c r="F83"/>
  <c r="E83"/>
  <c r="D83"/>
  <c r="C83"/>
  <c r="N82"/>
  <c r="M82"/>
  <c r="L82"/>
  <c r="K82"/>
  <c r="J82"/>
  <c r="I82"/>
  <c r="H82"/>
  <c r="G82"/>
  <c r="F82"/>
  <c r="E82"/>
  <c r="D82"/>
  <c r="C82"/>
  <c r="N81"/>
  <c r="M81"/>
  <c r="L81"/>
  <c r="K81"/>
  <c r="J81"/>
  <c r="I81"/>
  <c r="H81"/>
  <c r="G81"/>
  <c r="F81"/>
  <c r="E81"/>
  <c r="D81"/>
  <c r="C81"/>
  <c r="AH80"/>
  <c r="AG80"/>
  <c r="AF80"/>
  <c r="AE80"/>
  <c r="AD80"/>
  <c r="AC80"/>
  <c r="AB80"/>
  <c r="AA80"/>
  <c r="Z80"/>
  <c r="Y80"/>
  <c r="X80"/>
  <c r="W80"/>
  <c r="N80"/>
  <c r="M80"/>
  <c r="L80"/>
  <c r="K80"/>
  <c r="J80"/>
  <c r="I80"/>
  <c r="H80"/>
  <c r="G80"/>
  <c r="F80"/>
  <c r="E80"/>
  <c r="D80"/>
  <c r="C80"/>
  <c r="AH79"/>
  <c r="AG79"/>
  <c r="AF79"/>
  <c r="AE79"/>
  <c r="AD79"/>
  <c r="AC79"/>
  <c r="AB79"/>
  <c r="AA79"/>
  <c r="Z79"/>
  <c r="Y79"/>
  <c r="X79"/>
  <c r="W79"/>
  <c r="N79"/>
  <c r="M79"/>
  <c r="L79"/>
  <c r="K79"/>
  <c r="J79"/>
  <c r="I79"/>
  <c r="H79"/>
  <c r="G79"/>
  <c r="F79"/>
  <c r="E79"/>
  <c r="D79"/>
  <c r="C79"/>
  <c r="I75"/>
  <c r="H75"/>
  <c r="G75"/>
  <c r="F75"/>
  <c r="E75"/>
  <c r="D75"/>
  <c r="C75"/>
  <c r="N74"/>
  <c r="M74"/>
  <c r="L74"/>
  <c r="K74"/>
  <c r="I74"/>
  <c r="H74"/>
  <c r="G74"/>
  <c r="F74"/>
  <c r="N73"/>
  <c r="M73"/>
  <c r="L73"/>
  <c r="K73"/>
  <c r="I73"/>
  <c r="H73"/>
  <c r="G73"/>
  <c r="F73"/>
  <c r="N72"/>
  <c r="M72"/>
  <c r="L72"/>
  <c r="K72"/>
  <c r="I72"/>
  <c r="H72"/>
  <c r="G72"/>
  <c r="F72"/>
  <c r="E72"/>
  <c r="D72"/>
  <c r="N71"/>
  <c r="M71"/>
  <c r="L71"/>
  <c r="K71"/>
  <c r="I71"/>
  <c r="H71"/>
  <c r="G71"/>
  <c r="F71"/>
  <c r="E71"/>
  <c r="D71"/>
  <c r="C71"/>
  <c r="N70"/>
  <c r="M70"/>
  <c r="L70"/>
  <c r="K70"/>
  <c r="I70"/>
  <c r="H70"/>
  <c r="G70"/>
  <c r="F70"/>
  <c r="E70"/>
  <c r="D70"/>
  <c r="C70"/>
  <c r="N69"/>
  <c r="M69"/>
  <c r="L69"/>
  <c r="K69"/>
  <c r="I69"/>
  <c r="H69"/>
  <c r="G69"/>
  <c r="F69"/>
  <c r="E69"/>
  <c r="D69"/>
  <c r="C69"/>
  <c r="N68"/>
  <c r="M68"/>
  <c r="L68"/>
  <c r="K68"/>
  <c r="I68"/>
  <c r="H68"/>
  <c r="G68"/>
  <c r="F68"/>
  <c r="E68"/>
  <c r="D68"/>
  <c r="C68"/>
  <c r="N67"/>
  <c r="M67"/>
  <c r="L67"/>
  <c r="K67"/>
  <c r="I67"/>
  <c r="H67"/>
  <c r="G67"/>
  <c r="F67"/>
  <c r="E67"/>
  <c r="D67"/>
  <c r="C67"/>
  <c r="AH66"/>
  <c r="AG66"/>
  <c r="AF66"/>
  <c r="AE66"/>
  <c r="AC66"/>
  <c r="AB66"/>
  <c r="AA66"/>
  <c r="Z66"/>
  <c r="X66"/>
  <c r="W66"/>
  <c r="U63"/>
  <c r="Q63"/>
  <c r="P63"/>
  <c r="U62"/>
  <c r="Q62"/>
  <c r="P62"/>
  <c r="U61"/>
  <c r="Q61"/>
  <c r="P61"/>
  <c r="U60"/>
  <c r="Q60"/>
  <c r="P60"/>
  <c r="AH59"/>
  <c r="AG59"/>
  <c r="AF59"/>
  <c r="AE59"/>
  <c r="AD59"/>
  <c r="AC59"/>
  <c r="AB59"/>
  <c r="AA59"/>
  <c r="Z59"/>
  <c r="Y59"/>
  <c r="X59"/>
  <c r="W59"/>
  <c r="U59"/>
  <c r="Q59"/>
  <c r="P59"/>
  <c r="U58"/>
  <c r="Q58"/>
  <c r="P58"/>
  <c r="U57"/>
  <c r="Q57"/>
  <c r="P57"/>
  <c r="U56"/>
  <c r="Q56"/>
  <c r="P56"/>
  <c r="P80" s="1"/>
  <c r="U55"/>
  <c r="Q55"/>
  <c r="P55"/>
  <c r="AL54"/>
  <c r="AK54"/>
  <c r="AJ54"/>
  <c r="N54"/>
  <c r="M54"/>
  <c r="L54"/>
  <c r="K54"/>
  <c r="J54"/>
  <c r="I54"/>
  <c r="H54"/>
  <c r="G54"/>
  <c r="F54"/>
  <c r="E54"/>
  <c r="D54"/>
  <c r="C54"/>
  <c r="F52"/>
  <c r="N51"/>
  <c r="M51"/>
  <c r="L51"/>
  <c r="K51"/>
  <c r="J51"/>
  <c r="I51"/>
  <c r="H51"/>
  <c r="G51"/>
  <c r="F51"/>
  <c r="N50"/>
  <c r="M50"/>
  <c r="L50"/>
  <c r="K50"/>
  <c r="J50"/>
  <c r="I50"/>
  <c r="H50"/>
  <c r="G50"/>
  <c r="F50"/>
  <c r="N49"/>
  <c r="M49"/>
  <c r="L49"/>
  <c r="K49"/>
  <c r="J49"/>
  <c r="I49"/>
  <c r="H49"/>
  <c r="G49"/>
  <c r="F49"/>
  <c r="E49"/>
  <c r="D49"/>
  <c r="N48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6"/>
  <c r="M46"/>
  <c r="L46"/>
  <c r="K46"/>
  <c r="J46"/>
  <c r="I46"/>
  <c r="H46"/>
  <c r="G46"/>
  <c r="F46"/>
  <c r="E46"/>
  <c r="D46"/>
  <c r="C46"/>
  <c r="N45"/>
  <c r="M45"/>
  <c r="L45"/>
  <c r="K45"/>
  <c r="J45"/>
  <c r="I45"/>
  <c r="H45"/>
  <c r="G45"/>
  <c r="F45"/>
  <c r="E45"/>
  <c r="D45"/>
  <c r="C45"/>
  <c r="N44"/>
  <c r="M44"/>
  <c r="L44"/>
  <c r="K44"/>
  <c r="J44"/>
  <c r="I44"/>
  <c r="H44"/>
  <c r="G44"/>
  <c r="F44"/>
  <c r="E44"/>
  <c r="D44"/>
  <c r="C44"/>
  <c r="N40"/>
  <c r="M40"/>
  <c r="L40"/>
  <c r="K40"/>
  <c r="J40"/>
  <c r="I40"/>
  <c r="H40"/>
  <c r="G40"/>
  <c r="F40"/>
  <c r="N39"/>
  <c r="M39"/>
  <c r="L39"/>
  <c r="K39"/>
  <c r="J39"/>
  <c r="I39"/>
  <c r="H39"/>
  <c r="G39"/>
  <c r="F39"/>
  <c r="N38"/>
  <c r="M38"/>
  <c r="L38"/>
  <c r="K38"/>
  <c r="J38"/>
  <c r="I38"/>
  <c r="H38"/>
  <c r="G38"/>
  <c r="F38"/>
  <c r="E38"/>
  <c r="D38"/>
  <c r="N37"/>
  <c r="M37"/>
  <c r="L37"/>
  <c r="K37"/>
  <c r="J37"/>
  <c r="I37"/>
  <c r="H37"/>
  <c r="G37"/>
  <c r="F37"/>
  <c r="E37"/>
  <c r="D37"/>
  <c r="C37"/>
  <c r="N36"/>
  <c r="M36"/>
  <c r="L36"/>
  <c r="K36"/>
  <c r="J36"/>
  <c r="I36"/>
  <c r="H36"/>
  <c r="G36"/>
  <c r="F36"/>
  <c r="E36"/>
  <c r="D36"/>
  <c r="C36"/>
  <c r="N35"/>
  <c r="M35"/>
  <c r="L35"/>
  <c r="K35"/>
  <c r="J35"/>
  <c r="I35"/>
  <c r="H35"/>
  <c r="G35"/>
  <c r="F35"/>
  <c r="E35"/>
  <c r="D35"/>
  <c r="C35"/>
  <c r="N34"/>
  <c r="M34"/>
  <c r="L34"/>
  <c r="K34"/>
  <c r="J34"/>
  <c r="I34"/>
  <c r="H34"/>
  <c r="G34"/>
  <c r="F34"/>
  <c r="E34"/>
  <c r="D34"/>
  <c r="C34"/>
  <c r="N33"/>
  <c r="M33"/>
  <c r="L33"/>
  <c r="K33"/>
  <c r="J33"/>
  <c r="I33"/>
  <c r="H33"/>
  <c r="G33"/>
  <c r="F33"/>
  <c r="E33"/>
  <c r="D33"/>
  <c r="C33"/>
  <c r="AH32"/>
  <c r="AG32"/>
  <c r="AF32"/>
  <c r="AE32"/>
  <c r="AD32"/>
  <c r="AC32"/>
  <c r="AB32"/>
  <c r="AA32"/>
  <c r="Z32"/>
  <c r="Y32"/>
  <c r="X32"/>
  <c r="W32"/>
  <c r="U29"/>
  <c r="Q29"/>
  <c r="P29"/>
  <c r="P51" s="1"/>
  <c r="U28"/>
  <c r="Q28"/>
  <c r="P28"/>
  <c r="P50" s="1"/>
  <c r="U27"/>
  <c r="Q27"/>
  <c r="P27"/>
  <c r="AH26"/>
  <c r="AG26"/>
  <c r="AG48" s="1"/>
  <c r="AF26"/>
  <c r="AE26"/>
  <c r="AD26"/>
  <c r="AC26"/>
  <c r="AB26"/>
  <c r="AA26"/>
  <c r="Z26"/>
  <c r="Y26"/>
  <c r="Y48" s="1"/>
  <c r="X26"/>
  <c r="W26"/>
  <c r="U26"/>
  <c r="U48" s="1"/>
  <c r="Q26"/>
  <c r="P26"/>
  <c r="U25"/>
  <c r="Q25"/>
  <c r="P25"/>
  <c r="P47" s="1"/>
  <c r="U24"/>
  <c r="Q24"/>
  <c r="P24"/>
  <c r="P46" s="1"/>
  <c r="U23"/>
  <c r="Q23"/>
  <c r="P23"/>
  <c r="U22"/>
  <c r="Q22"/>
  <c r="P22"/>
  <c r="AL21"/>
  <c r="AK21"/>
  <c r="AJ21"/>
  <c r="N21"/>
  <c r="M21"/>
  <c r="L21"/>
  <c r="K21"/>
  <c r="K43" s="1"/>
  <c r="J21"/>
  <c r="I21"/>
  <c r="H21"/>
  <c r="H43" s="1"/>
  <c r="G21"/>
  <c r="F21"/>
  <c r="E21"/>
  <c r="D21"/>
  <c r="C21"/>
  <c r="C43" s="1"/>
  <c r="F19"/>
  <c r="U18"/>
  <c r="Q18"/>
  <c r="P18"/>
  <c r="U17"/>
  <c r="Q17"/>
  <c r="P17"/>
  <c r="U16"/>
  <c r="Q16"/>
  <c r="P16"/>
  <c r="U15"/>
  <c r="Q15"/>
  <c r="P15"/>
  <c r="AH14"/>
  <c r="AG14"/>
  <c r="AF14"/>
  <c r="AE14"/>
  <c r="AD14"/>
  <c r="AC14"/>
  <c r="AB14"/>
  <c r="AA14"/>
  <c r="Z14"/>
  <c r="Y14"/>
  <c r="X14"/>
  <c r="W14"/>
  <c r="U14"/>
  <c r="S14"/>
  <c r="Q14"/>
  <c r="P14"/>
  <c r="U13"/>
  <c r="Q13"/>
  <c r="Q36" s="1"/>
  <c r="P13"/>
  <c r="P36" s="1"/>
  <c r="U12"/>
  <c r="Q12"/>
  <c r="P12"/>
  <c r="U11"/>
  <c r="Q11"/>
  <c r="P11"/>
  <c r="U10"/>
  <c r="Q10"/>
  <c r="P10"/>
  <c r="P33" s="1"/>
  <c r="AL9"/>
  <c r="AL32" s="1"/>
  <c r="AK9"/>
  <c r="AJ9"/>
  <c r="N9"/>
  <c r="M9"/>
  <c r="M32" s="1"/>
  <c r="L9"/>
  <c r="L32" s="1"/>
  <c r="K9"/>
  <c r="K32" s="1"/>
  <c r="J9"/>
  <c r="I9"/>
  <c r="H9"/>
  <c r="G9"/>
  <c r="F9"/>
  <c r="E9"/>
  <c r="E32" s="1"/>
  <c r="D9"/>
  <c r="D32" s="1"/>
  <c r="C9"/>
  <c r="F8"/>
  <c r="F7"/>
  <c r="AH37" l="1"/>
  <c r="Z37"/>
  <c r="J53" i="29"/>
  <c r="Q56"/>
  <c r="Q60"/>
  <c r="X86"/>
  <c r="AF86"/>
  <c r="U56"/>
  <c r="X58"/>
  <c r="AF58"/>
  <c r="Q102"/>
  <c r="P54"/>
  <c r="U133"/>
  <c r="P100"/>
  <c r="AA10" i="32"/>
  <c r="AA9" s="1"/>
  <c r="AB16" i="30"/>
  <c r="AB14" s="1"/>
  <c r="S35"/>
  <c r="AH9"/>
  <c r="T10" i="32"/>
  <c r="AB10"/>
  <c r="AB9" s="1"/>
  <c r="AC16" i="30"/>
  <c r="AC14" s="1"/>
  <c r="AC10" i="32"/>
  <c r="AD16" i="30"/>
  <c r="AD14" s="1"/>
  <c r="S12"/>
  <c r="V10" i="32"/>
  <c r="V9" s="1"/>
  <c r="W16" i="30"/>
  <c r="W14" s="1"/>
  <c r="AD10" i="32"/>
  <c r="AD9" s="1"/>
  <c r="AE16" i="30"/>
  <c r="AE14" s="1"/>
  <c r="AF31"/>
  <c r="AE25" i="32"/>
  <c r="K24" i="30"/>
  <c r="X16"/>
  <c r="X14" s="1"/>
  <c r="W15" i="32" s="1"/>
  <c r="W10"/>
  <c r="T14"/>
  <c r="Q26" i="30"/>
  <c r="Y16"/>
  <c r="Y14" s="1"/>
  <c r="X15" i="32" s="1"/>
  <c r="X14" s="1"/>
  <c r="X10"/>
  <c r="X9" s="1"/>
  <c r="V14" i="30"/>
  <c r="U15" i="32" s="1"/>
  <c r="U14" s="1"/>
  <c r="U19" s="1"/>
  <c r="Z16" i="30"/>
  <c r="Z14" s="1"/>
  <c r="Y10" i="32"/>
  <c r="Y9" s="1"/>
  <c r="AA16" i="30"/>
  <c r="AA14" s="1"/>
  <c r="Z15" i="32" s="1"/>
  <c r="AI9" i="30"/>
  <c r="Z10" i="32"/>
  <c r="X31" i="30"/>
  <c r="X29" s="1"/>
  <c r="W19"/>
  <c r="V20" i="32" s="1"/>
  <c r="Y19" i="30"/>
  <c r="X20" i="32" s="1"/>
  <c r="U31" i="30"/>
  <c r="U29" s="1"/>
  <c r="X19"/>
  <c r="W20" i="32" s="1"/>
  <c r="AI14" i="30"/>
  <c r="AI19" s="1"/>
  <c r="AA31"/>
  <c r="AA29" s="1"/>
  <c r="H41"/>
  <c r="O19"/>
  <c r="F8"/>
  <c r="S11"/>
  <c r="S21" s="1"/>
  <c r="Q14"/>
  <c r="G19"/>
  <c r="Z19"/>
  <c r="Y20" i="32" s="1"/>
  <c r="R20" i="30"/>
  <c r="I41"/>
  <c r="G8"/>
  <c r="Q9"/>
  <c r="R14"/>
  <c r="AA19"/>
  <c r="Z20" i="32" s="1"/>
  <c r="X41" i="30"/>
  <c r="W38" i="32" s="1"/>
  <c r="F19" i="30"/>
  <c r="R9"/>
  <c r="I19"/>
  <c r="S31"/>
  <c r="L41"/>
  <c r="U19"/>
  <c r="T20" i="32" s="1"/>
  <c r="D41" i="30"/>
  <c r="M41"/>
  <c r="E41"/>
  <c r="N41"/>
  <c r="R29"/>
  <c r="P155" i="29"/>
  <c r="Q131"/>
  <c r="P96"/>
  <c r="P43"/>
  <c r="U40"/>
  <c r="Q97"/>
  <c r="F52"/>
  <c r="I94"/>
  <c r="Q54"/>
  <c r="U97"/>
  <c r="Q96"/>
  <c r="P102"/>
  <c r="M53"/>
  <c r="P55"/>
  <c r="G53"/>
  <c r="AJ53"/>
  <c r="E130"/>
  <c r="M130"/>
  <c r="U131"/>
  <c r="P135"/>
  <c r="U137"/>
  <c r="H130"/>
  <c r="P86"/>
  <c r="J94"/>
  <c r="Q103"/>
  <c r="AJ81"/>
  <c r="AB86"/>
  <c r="AK39"/>
  <c r="AC44"/>
  <c r="AD44"/>
  <c r="U44"/>
  <c r="F53"/>
  <c r="N53"/>
  <c r="E53"/>
  <c r="F94"/>
  <c r="N94"/>
  <c r="AC86"/>
  <c r="G130"/>
  <c r="U161"/>
  <c r="AK72"/>
  <c r="Q142"/>
  <c r="P133"/>
  <c r="U135"/>
  <c r="Q138"/>
  <c r="Q43"/>
  <c r="Q24"/>
  <c r="S30" s="1"/>
  <c r="P97"/>
  <c r="U99"/>
  <c r="P132"/>
  <c r="J130"/>
  <c r="P136"/>
  <c r="E39"/>
  <c r="M39"/>
  <c r="AJ14"/>
  <c r="P59"/>
  <c r="AJ72"/>
  <c r="Q132"/>
  <c r="F39"/>
  <c r="N154"/>
  <c r="AJ39"/>
  <c r="P95"/>
  <c r="U96"/>
  <c r="U103"/>
  <c r="G39"/>
  <c r="U54"/>
  <c r="Q82"/>
  <c r="Q106"/>
  <c r="U134"/>
  <c r="Q137"/>
  <c r="U59"/>
  <c r="P119"/>
  <c r="Q58"/>
  <c r="F51"/>
  <c r="U162"/>
  <c r="U58"/>
  <c r="AD58"/>
  <c r="P60"/>
  <c r="AK106"/>
  <c r="AK130" s="1"/>
  <c r="K130"/>
  <c r="Q136"/>
  <c r="Q9"/>
  <c r="Q154" s="1"/>
  <c r="AL81"/>
  <c r="U60"/>
  <c r="N39"/>
  <c r="AB44"/>
  <c r="H94"/>
  <c r="D130"/>
  <c r="W86"/>
  <c r="AE86"/>
  <c r="Y58"/>
  <c r="AG58"/>
  <c r="E94"/>
  <c r="M94"/>
  <c r="U98"/>
  <c r="I130"/>
  <c r="AJ106"/>
  <c r="AJ130" s="1"/>
  <c r="Q133"/>
  <c r="U138"/>
  <c r="F130"/>
  <c r="N130"/>
  <c r="M154"/>
  <c r="P42"/>
  <c r="L130"/>
  <c r="H53"/>
  <c r="U41"/>
  <c r="P40"/>
  <c r="G94"/>
  <c r="AJ94"/>
  <c r="Q99"/>
  <c r="P106"/>
  <c r="U100"/>
  <c r="U132"/>
  <c r="Q135"/>
  <c r="P138"/>
  <c r="AA86"/>
  <c r="AA44"/>
  <c r="Q123"/>
  <c r="Q159"/>
  <c r="Q86"/>
  <c r="P44"/>
  <c r="U85"/>
  <c r="U158"/>
  <c r="U43"/>
  <c r="AK14"/>
  <c r="P24"/>
  <c r="R31" s="1"/>
  <c r="Q44"/>
  <c r="P123"/>
  <c r="P159"/>
  <c r="P156"/>
  <c r="P83"/>
  <c r="P41"/>
  <c r="P120"/>
  <c r="U24"/>
  <c r="T26" s="1"/>
  <c r="P161"/>
  <c r="P88"/>
  <c r="P125"/>
  <c r="P46"/>
  <c r="H118"/>
  <c r="H81"/>
  <c r="H154"/>
  <c r="H39"/>
  <c r="U9"/>
  <c r="U155"/>
  <c r="U119"/>
  <c r="U82"/>
  <c r="Q157"/>
  <c r="Q42"/>
  <c r="Q84"/>
  <c r="Q121"/>
  <c r="U124"/>
  <c r="U87"/>
  <c r="U160"/>
  <c r="Q162"/>
  <c r="Q89"/>
  <c r="Q126"/>
  <c r="Q47"/>
  <c r="P56"/>
  <c r="W58"/>
  <c r="AL29"/>
  <c r="AJ29"/>
  <c r="AE58"/>
  <c r="AK29"/>
  <c r="P61"/>
  <c r="U45"/>
  <c r="U61"/>
  <c r="U102"/>
  <c r="U122"/>
  <c r="I81"/>
  <c r="I154"/>
  <c r="I118"/>
  <c r="I39"/>
  <c r="Y86"/>
  <c r="Y44"/>
  <c r="AL14"/>
  <c r="AG86"/>
  <c r="AG44"/>
  <c r="U55"/>
  <c r="Q61"/>
  <c r="U67"/>
  <c r="T71" s="1"/>
  <c r="C53"/>
  <c r="P67"/>
  <c r="R76" s="1"/>
  <c r="C94"/>
  <c r="K53"/>
  <c r="K94"/>
  <c r="J154"/>
  <c r="J118"/>
  <c r="J39"/>
  <c r="Z86"/>
  <c r="Z44"/>
  <c r="AH86"/>
  <c r="AH44"/>
  <c r="D53"/>
  <c r="D94"/>
  <c r="L53"/>
  <c r="L94"/>
  <c r="L81"/>
  <c r="C154"/>
  <c r="C118"/>
  <c r="K154"/>
  <c r="K118"/>
  <c r="AK81"/>
  <c r="Q156"/>
  <c r="Q83"/>
  <c r="Q88"/>
  <c r="Q125"/>
  <c r="AL39"/>
  <c r="W44"/>
  <c r="AE44"/>
  <c r="C81"/>
  <c r="P84"/>
  <c r="AL106"/>
  <c r="AL130" s="1"/>
  <c r="P98"/>
  <c r="U142"/>
  <c r="P142"/>
  <c r="C130"/>
  <c r="P131"/>
  <c r="D154"/>
  <c r="D118"/>
  <c r="D81"/>
  <c r="L154"/>
  <c r="L118"/>
  <c r="U157"/>
  <c r="U84"/>
  <c r="P122"/>
  <c r="P85"/>
  <c r="P158"/>
  <c r="U89"/>
  <c r="U126"/>
  <c r="P163"/>
  <c r="P90"/>
  <c r="X44"/>
  <c r="AF44"/>
  <c r="K81"/>
  <c r="P82"/>
  <c r="Q134"/>
  <c r="Q98"/>
  <c r="P137"/>
  <c r="P101"/>
  <c r="U121"/>
  <c r="P134"/>
  <c r="U136"/>
  <c r="E118"/>
  <c r="E81"/>
  <c r="M118"/>
  <c r="M81"/>
  <c r="Q122"/>
  <c r="Q85"/>
  <c r="Q158"/>
  <c r="U123"/>
  <c r="U159"/>
  <c r="U86"/>
  <c r="P124"/>
  <c r="P87"/>
  <c r="Q163"/>
  <c r="Q90"/>
  <c r="Q127"/>
  <c r="Q46"/>
  <c r="AK53"/>
  <c r="AK94"/>
  <c r="P57"/>
  <c r="P58"/>
  <c r="Q161"/>
  <c r="F118"/>
  <c r="F81"/>
  <c r="N118"/>
  <c r="N81"/>
  <c r="Q155"/>
  <c r="Q119"/>
  <c r="Q124"/>
  <c r="Q87"/>
  <c r="C39"/>
  <c r="K39"/>
  <c r="U42"/>
  <c r="P45"/>
  <c r="Q67"/>
  <c r="S73" s="1"/>
  <c r="AL53"/>
  <c r="AL94"/>
  <c r="AB58"/>
  <c r="AL72"/>
  <c r="U106"/>
  <c r="Q120"/>
  <c r="P127"/>
  <c r="E154"/>
  <c r="G118"/>
  <c r="G81"/>
  <c r="G154"/>
  <c r="P9"/>
  <c r="R10" s="1"/>
  <c r="U156"/>
  <c r="U83"/>
  <c r="U120"/>
  <c r="P121"/>
  <c r="P157"/>
  <c r="U88"/>
  <c r="U46"/>
  <c r="U125"/>
  <c r="P162"/>
  <c r="P89"/>
  <c r="P126"/>
  <c r="P47"/>
  <c r="U163"/>
  <c r="U90"/>
  <c r="U127"/>
  <c r="D39"/>
  <c r="L39"/>
  <c r="Q41"/>
  <c r="Q45"/>
  <c r="U47"/>
  <c r="Q55"/>
  <c r="AC58"/>
  <c r="Q101"/>
  <c r="P103"/>
  <c r="F154"/>
  <c r="P160"/>
  <c r="Q95"/>
  <c r="U95"/>
  <c r="P99"/>
  <c r="Q100"/>
  <c r="U101"/>
  <c r="D43" i="28"/>
  <c r="U44"/>
  <c r="Q47"/>
  <c r="Z48"/>
  <c r="AH48"/>
  <c r="Q51"/>
  <c r="X37"/>
  <c r="AF37"/>
  <c r="U39"/>
  <c r="Q87"/>
  <c r="F43"/>
  <c r="Q45"/>
  <c r="Q49"/>
  <c r="Q71"/>
  <c r="U49"/>
  <c r="Q84"/>
  <c r="Q80"/>
  <c r="U46"/>
  <c r="X71"/>
  <c r="AF71"/>
  <c r="G114"/>
  <c r="H114"/>
  <c r="Q34"/>
  <c r="AJ26"/>
  <c r="Y37"/>
  <c r="AG37"/>
  <c r="F42"/>
  <c r="Q82"/>
  <c r="U87"/>
  <c r="P68"/>
  <c r="E43"/>
  <c r="M43"/>
  <c r="P45"/>
  <c r="U51"/>
  <c r="Q54"/>
  <c r="S60" s="1"/>
  <c r="AL59"/>
  <c r="AE71"/>
  <c r="AB37"/>
  <c r="F41"/>
  <c r="AC37"/>
  <c r="AK26"/>
  <c r="U79"/>
  <c r="AA71"/>
  <c r="AJ14"/>
  <c r="P83"/>
  <c r="AB71"/>
  <c r="P48"/>
  <c r="P38"/>
  <c r="AC71"/>
  <c r="U84"/>
  <c r="AL78"/>
  <c r="AK14"/>
  <c r="Z71"/>
  <c r="AL14"/>
  <c r="U21"/>
  <c r="T24" s="1"/>
  <c r="AL26"/>
  <c r="Q21"/>
  <c r="S26" s="1"/>
  <c r="Q9"/>
  <c r="AD37"/>
  <c r="Q46"/>
  <c r="W48"/>
  <c r="U69"/>
  <c r="AE37"/>
  <c r="J43"/>
  <c r="P44"/>
  <c r="X48"/>
  <c r="AF48"/>
  <c r="U50"/>
  <c r="C78"/>
  <c r="K78"/>
  <c r="Y71"/>
  <c r="AG71"/>
  <c r="AE48"/>
  <c r="W37"/>
  <c r="AB48"/>
  <c r="E78"/>
  <c r="M78"/>
  <c r="AJ59"/>
  <c r="P86"/>
  <c r="AH71"/>
  <c r="H78"/>
  <c r="J78"/>
  <c r="U85"/>
  <c r="P82"/>
  <c r="D114"/>
  <c r="L114"/>
  <c r="Q115"/>
  <c r="F114"/>
  <c r="N114"/>
  <c r="G78"/>
  <c r="AJ78"/>
  <c r="Q117"/>
  <c r="P120"/>
  <c r="U122"/>
  <c r="U83"/>
  <c r="U117"/>
  <c r="AK78"/>
  <c r="J114"/>
  <c r="Q120"/>
  <c r="C114"/>
  <c r="K114"/>
  <c r="Q118"/>
  <c r="P121"/>
  <c r="P81"/>
  <c r="E114"/>
  <c r="M114"/>
  <c r="U115"/>
  <c r="AK66"/>
  <c r="AK43"/>
  <c r="AD48"/>
  <c r="AK59"/>
  <c r="W71"/>
  <c r="AC48"/>
  <c r="AJ66"/>
  <c r="AJ43"/>
  <c r="I114"/>
  <c r="P115"/>
  <c r="D78"/>
  <c r="AK90"/>
  <c r="AK114" s="1"/>
  <c r="P87"/>
  <c r="U116"/>
  <c r="Q119"/>
  <c r="P122"/>
  <c r="AL90"/>
  <c r="AL114" s="1"/>
  <c r="P116"/>
  <c r="Q126"/>
  <c r="P117"/>
  <c r="U119"/>
  <c r="Q122"/>
  <c r="Q116"/>
  <c r="AJ90"/>
  <c r="AJ114" s="1"/>
  <c r="U126"/>
  <c r="U118"/>
  <c r="Q121"/>
  <c r="P118"/>
  <c r="U120"/>
  <c r="P119"/>
  <c r="U121"/>
  <c r="C138"/>
  <c r="C102"/>
  <c r="F102"/>
  <c r="F66"/>
  <c r="F138"/>
  <c r="Q139"/>
  <c r="Q67"/>
  <c r="Q103"/>
  <c r="U142"/>
  <c r="U36"/>
  <c r="U106"/>
  <c r="U70"/>
  <c r="P145"/>
  <c r="P109"/>
  <c r="P73"/>
  <c r="G102"/>
  <c r="G66"/>
  <c r="G138"/>
  <c r="P9"/>
  <c r="R10" s="1"/>
  <c r="U140"/>
  <c r="U68"/>
  <c r="U104"/>
  <c r="P105"/>
  <c r="P69"/>
  <c r="P35"/>
  <c r="P141"/>
  <c r="U107"/>
  <c r="U71"/>
  <c r="U143"/>
  <c r="Q109"/>
  <c r="Q73"/>
  <c r="Q39"/>
  <c r="Q145"/>
  <c r="S24"/>
  <c r="C32"/>
  <c r="U40"/>
  <c r="U72"/>
  <c r="N102"/>
  <c r="N66"/>
  <c r="N138"/>
  <c r="H102"/>
  <c r="H138"/>
  <c r="Q141"/>
  <c r="Q105"/>
  <c r="Q69"/>
  <c r="P146"/>
  <c r="P110"/>
  <c r="P74"/>
  <c r="L78"/>
  <c r="L43"/>
  <c r="Q79"/>
  <c r="Q44"/>
  <c r="S55"/>
  <c r="I66"/>
  <c r="I138"/>
  <c r="I102"/>
  <c r="P106"/>
  <c r="P142"/>
  <c r="U108"/>
  <c r="U144"/>
  <c r="Q146"/>
  <c r="Q40"/>
  <c r="Q110"/>
  <c r="Q74"/>
  <c r="P39"/>
  <c r="AA48"/>
  <c r="P49"/>
  <c r="Q85"/>
  <c r="Q50"/>
  <c r="K138"/>
  <c r="K102"/>
  <c r="U9"/>
  <c r="T16" s="1"/>
  <c r="J138"/>
  <c r="J102"/>
  <c r="U139"/>
  <c r="U67"/>
  <c r="U103"/>
  <c r="P34"/>
  <c r="P140"/>
  <c r="P104"/>
  <c r="Q106"/>
  <c r="Q70"/>
  <c r="Q142"/>
  <c r="P147"/>
  <c r="P111"/>
  <c r="F32"/>
  <c r="N32"/>
  <c r="AJ32"/>
  <c r="Q33"/>
  <c r="Q35"/>
  <c r="G43"/>
  <c r="N43"/>
  <c r="C66"/>
  <c r="AL66"/>
  <c r="G32"/>
  <c r="AK32"/>
  <c r="U33"/>
  <c r="P54"/>
  <c r="R61" s="1"/>
  <c r="Q83"/>
  <c r="Q48"/>
  <c r="H66"/>
  <c r="Q140"/>
  <c r="Q68"/>
  <c r="Q104"/>
  <c r="P107"/>
  <c r="P71"/>
  <c r="P143"/>
  <c r="U109"/>
  <c r="U73"/>
  <c r="U145"/>
  <c r="Q147"/>
  <c r="Q111"/>
  <c r="Q75"/>
  <c r="P21"/>
  <c r="R27" s="1"/>
  <c r="D138"/>
  <c r="D102"/>
  <c r="D66"/>
  <c r="L138"/>
  <c r="L102"/>
  <c r="L66"/>
  <c r="U35"/>
  <c r="U141"/>
  <c r="U105"/>
  <c r="Q107"/>
  <c r="Q143"/>
  <c r="AA37"/>
  <c r="P108"/>
  <c r="P72"/>
  <c r="P144"/>
  <c r="H32"/>
  <c r="U34"/>
  <c r="U38"/>
  <c r="K66"/>
  <c r="P75"/>
  <c r="U80"/>
  <c r="E102"/>
  <c r="E66"/>
  <c r="E138"/>
  <c r="M102"/>
  <c r="M66"/>
  <c r="M138"/>
  <c r="P139"/>
  <c r="P67"/>
  <c r="P103"/>
  <c r="Q38"/>
  <c r="Q108"/>
  <c r="Q72"/>
  <c r="Q144"/>
  <c r="U110"/>
  <c r="U74"/>
  <c r="U146"/>
  <c r="U147"/>
  <c r="U37"/>
  <c r="U111"/>
  <c r="U75"/>
  <c r="I32"/>
  <c r="P37"/>
  <c r="S56"/>
  <c r="U45"/>
  <c r="U81"/>
  <c r="S58"/>
  <c r="P70"/>
  <c r="J32"/>
  <c r="Q37"/>
  <c r="P40"/>
  <c r="AL43"/>
  <c r="U82"/>
  <c r="U47"/>
  <c r="Q90"/>
  <c r="Q78" s="1"/>
  <c r="U90"/>
  <c r="I78"/>
  <c r="P79"/>
  <c r="P85"/>
  <c r="Q86"/>
  <c r="U54"/>
  <c r="T57" s="1"/>
  <c r="P84"/>
  <c r="U86"/>
  <c r="AL115"/>
  <c r="P126"/>
  <c r="F78"/>
  <c r="N78"/>
  <c r="Q81"/>
  <c r="P90"/>
  <c r="AJ48" l="1"/>
  <c r="R32" i="29"/>
  <c r="Y15" i="32"/>
  <c r="Y14" s="1"/>
  <c r="AG14" s="1"/>
  <c r="Z31" i="30"/>
  <c r="Z29" s="1"/>
  <c r="U41"/>
  <c r="T38" i="32" s="1"/>
  <c r="T30"/>
  <c r="C57" i="26"/>
  <c r="V15" i="32"/>
  <c r="V14" s="1"/>
  <c r="W31" i="30"/>
  <c r="W29" s="1"/>
  <c r="AB15" i="32"/>
  <c r="AB14" s="1"/>
  <c r="AC31" i="30"/>
  <c r="AC29" s="1"/>
  <c r="Z30" i="32"/>
  <c r="AH14" i="30"/>
  <c r="V31"/>
  <c r="V29" s="1"/>
  <c r="W9" i="32"/>
  <c r="D52" i="26"/>
  <c r="V19" i="32"/>
  <c r="AB19"/>
  <c r="X35" i="30"/>
  <c r="W34" i="32" s="1"/>
  <c r="W30"/>
  <c r="X19"/>
  <c r="W14"/>
  <c r="AG10"/>
  <c r="C52" i="26"/>
  <c r="AI10" i="32"/>
  <c r="T9"/>
  <c r="Z9"/>
  <c r="E52" i="26"/>
  <c r="AH10" i="32"/>
  <c r="AC15"/>
  <c r="AD31" i="30"/>
  <c r="AD29" s="1"/>
  <c r="AJ9"/>
  <c r="F52" i="26"/>
  <c r="AC9" i="32"/>
  <c r="V19" i="30"/>
  <c r="U20" i="32" s="1"/>
  <c r="Z14"/>
  <c r="AG15"/>
  <c r="AG20" s="1"/>
  <c r="AA15"/>
  <c r="AA14" s="1"/>
  <c r="AB31" i="30"/>
  <c r="AB29" s="1"/>
  <c r="Y31"/>
  <c r="Y29" s="1"/>
  <c r="AD15" i="32"/>
  <c r="AD14" s="1"/>
  <c r="AD19" s="1"/>
  <c r="AE31" i="30"/>
  <c r="AE29" s="1"/>
  <c r="AA41"/>
  <c r="Z38" i="32" s="1"/>
  <c r="R43" i="30"/>
  <c r="R19"/>
  <c r="Q24"/>
  <c r="S14"/>
  <c r="Q43"/>
  <c r="S9"/>
  <c r="Q19"/>
  <c r="V35"/>
  <c r="U34" i="32" s="1"/>
  <c r="AH29" i="30"/>
  <c r="AH41" s="1"/>
  <c r="AH19"/>
  <c r="AJ14"/>
  <c r="S29"/>
  <c r="R24"/>
  <c r="Q130" i="29"/>
  <c r="R15"/>
  <c r="R27"/>
  <c r="T31"/>
  <c r="AH31" s="1"/>
  <c r="S13"/>
  <c r="P130"/>
  <c r="S17"/>
  <c r="T30"/>
  <c r="AD30" s="1"/>
  <c r="AK58"/>
  <c r="S29"/>
  <c r="AJ86"/>
  <c r="AJ58"/>
  <c r="U94"/>
  <c r="S27"/>
  <c r="S10"/>
  <c r="S28"/>
  <c r="S31"/>
  <c r="S26"/>
  <c r="Q118"/>
  <c r="S25"/>
  <c r="Q39"/>
  <c r="S32"/>
  <c r="R11"/>
  <c r="S15"/>
  <c r="R18"/>
  <c r="S12"/>
  <c r="P94"/>
  <c r="R16"/>
  <c r="S11"/>
  <c r="S16"/>
  <c r="S75"/>
  <c r="S70"/>
  <c r="S71"/>
  <c r="Q53"/>
  <c r="S72"/>
  <c r="Q94"/>
  <c r="AC26"/>
  <c r="AB26"/>
  <c r="AA26"/>
  <c r="AH26"/>
  <c r="Z26"/>
  <c r="AG26"/>
  <c r="Y26"/>
  <c r="W26"/>
  <c r="AF26"/>
  <c r="AE26"/>
  <c r="AD26"/>
  <c r="X26"/>
  <c r="R75"/>
  <c r="R70"/>
  <c r="R73"/>
  <c r="R68"/>
  <c r="R72"/>
  <c r="P53"/>
  <c r="R74"/>
  <c r="R69"/>
  <c r="R29"/>
  <c r="R26"/>
  <c r="R30"/>
  <c r="R25"/>
  <c r="R28"/>
  <c r="P118"/>
  <c r="P81"/>
  <c r="P154"/>
  <c r="R17"/>
  <c r="R12"/>
  <c r="P39"/>
  <c r="U81"/>
  <c r="U154"/>
  <c r="U118"/>
  <c r="T16"/>
  <c r="T11"/>
  <c r="U39"/>
  <c r="T15"/>
  <c r="T10"/>
  <c r="T13"/>
  <c r="S76"/>
  <c r="T73"/>
  <c r="T68"/>
  <c r="T74"/>
  <c r="T69"/>
  <c r="U53"/>
  <c r="T70"/>
  <c r="T75"/>
  <c r="AJ44"/>
  <c r="S69"/>
  <c r="R13"/>
  <c r="AK86"/>
  <c r="AK44"/>
  <c r="AL58"/>
  <c r="AL86"/>
  <c r="AL44"/>
  <c r="T12"/>
  <c r="AE71"/>
  <c r="W71"/>
  <c r="AD71"/>
  <c r="AC71"/>
  <c r="AB71"/>
  <c r="AA71"/>
  <c r="AH71"/>
  <c r="Z71"/>
  <c r="AG71"/>
  <c r="Y71"/>
  <c r="X71"/>
  <c r="AF71"/>
  <c r="R71"/>
  <c r="U130"/>
  <c r="S68"/>
  <c r="T32"/>
  <c r="T27"/>
  <c r="T25"/>
  <c r="T28"/>
  <c r="R14"/>
  <c r="Q81"/>
  <c r="S74"/>
  <c r="T17"/>
  <c r="X31"/>
  <c r="AK37" i="28"/>
  <c r="S29"/>
  <c r="Q32"/>
  <c r="T23"/>
  <c r="AC23" s="1"/>
  <c r="S61"/>
  <c r="S62"/>
  <c r="T29"/>
  <c r="W29" s="1"/>
  <c r="T22"/>
  <c r="T28"/>
  <c r="AB28" s="1"/>
  <c r="T27"/>
  <c r="AA27" s="1"/>
  <c r="AJ37"/>
  <c r="T25"/>
  <c r="AD25" s="1"/>
  <c r="S59"/>
  <c r="AL71"/>
  <c r="Q66"/>
  <c r="S63"/>
  <c r="S57"/>
  <c r="S28"/>
  <c r="S23"/>
  <c r="S25"/>
  <c r="Q43"/>
  <c r="S22"/>
  <c r="AL48"/>
  <c r="S15"/>
  <c r="S27"/>
  <c r="AL37"/>
  <c r="R14"/>
  <c r="R57"/>
  <c r="R17"/>
  <c r="R26"/>
  <c r="S10"/>
  <c r="AJ71"/>
  <c r="Q138"/>
  <c r="S16"/>
  <c r="S11"/>
  <c r="R16"/>
  <c r="S17"/>
  <c r="R24"/>
  <c r="S13"/>
  <c r="S12"/>
  <c r="AK71"/>
  <c r="AK48"/>
  <c r="U114"/>
  <c r="P114"/>
  <c r="AF16"/>
  <c r="X16"/>
  <c r="AE16"/>
  <c r="W16"/>
  <c r="AD16"/>
  <c r="AC16"/>
  <c r="AB16"/>
  <c r="AA16"/>
  <c r="AH16"/>
  <c r="Z16"/>
  <c r="AG16"/>
  <c r="Y16"/>
  <c r="AE57"/>
  <c r="W57"/>
  <c r="AC57"/>
  <c r="AB57"/>
  <c r="AA57"/>
  <c r="AH57"/>
  <c r="Z57"/>
  <c r="X57"/>
  <c r="AG57"/>
  <c r="AF57"/>
  <c r="AD57"/>
  <c r="Y57"/>
  <c r="T17"/>
  <c r="AD23"/>
  <c r="R58"/>
  <c r="AA24"/>
  <c r="AH24"/>
  <c r="Z24"/>
  <c r="AG24"/>
  <c r="Y24"/>
  <c r="AF24"/>
  <c r="X24"/>
  <c r="AE24"/>
  <c r="W24"/>
  <c r="AD24"/>
  <c r="AC24"/>
  <c r="AB24"/>
  <c r="Y29"/>
  <c r="X29"/>
  <c r="AE29"/>
  <c r="AA29"/>
  <c r="AE27"/>
  <c r="T61"/>
  <c r="U43"/>
  <c r="T62"/>
  <c r="AD22"/>
  <c r="AC22"/>
  <c r="AB22"/>
  <c r="AA22"/>
  <c r="AH22"/>
  <c r="Z22"/>
  <c r="AG22"/>
  <c r="Y22"/>
  <c r="AF22"/>
  <c r="X22"/>
  <c r="AE22"/>
  <c r="W22"/>
  <c r="T60"/>
  <c r="Q114"/>
  <c r="R29"/>
  <c r="T56"/>
  <c r="U66"/>
  <c r="U138"/>
  <c r="U102"/>
  <c r="U32"/>
  <c r="T12"/>
  <c r="T10"/>
  <c r="T11"/>
  <c r="T58"/>
  <c r="P78"/>
  <c r="U78"/>
  <c r="T13"/>
  <c r="R60"/>
  <c r="AF28"/>
  <c r="Q102"/>
  <c r="R59"/>
  <c r="R62"/>
  <c r="P43"/>
  <c r="R56"/>
  <c r="R55"/>
  <c r="R63"/>
  <c r="T55"/>
  <c r="R28"/>
  <c r="R22"/>
  <c r="R25"/>
  <c r="R23"/>
  <c r="P102"/>
  <c r="P66"/>
  <c r="P138"/>
  <c r="R18"/>
  <c r="R11"/>
  <c r="R13"/>
  <c r="P32"/>
  <c r="R12"/>
  <c r="R15"/>
  <c r="T15"/>
  <c r="AA25"/>
  <c r="Y19" i="32" l="1"/>
  <c r="D57" i="26"/>
  <c r="D56" s="1"/>
  <c r="AA31" i="29"/>
  <c r="AC31"/>
  <c r="AD31"/>
  <c r="AE31"/>
  <c r="W31"/>
  <c r="AB31"/>
  <c r="AF31"/>
  <c r="Y31"/>
  <c r="AG31"/>
  <c r="Z31"/>
  <c r="AA19" i="32"/>
  <c r="Z35" i="30"/>
  <c r="Y34" i="32" s="1"/>
  <c r="Y33" s="1"/>
  <c r="X30"/>
  <c r="X29" s="1"/>
  <c r="X37" s="1"/>
  <c r="AI9"/>
  <c r="AG9"/>
  <c r="W29"/>
  <c r="U30"/>
  <c r="U29" s="1"/>
  <c r="U37" s="1"/>
  <c r="W35" i="30"/>
  <c r="V34" i="32" s="1"/>
  <c r="V33" s="1"/>
  <c r="V41" i="30"/>
  <c r="U38" i="32" s="1"/>
  <c r="C56" i="26"/>
  <c r="AF35" i="30"/>
  <c r="AE34" i="32" s="1"/>
  <c r="AE33" s="1"/>
  <c r="AD30"/>
  <c r="AD29" s="1"/>
  <c r="AD37" s="1"/>
  <c r="AE41" i="30"/>
  <c r="AD38" i="32" s="1"/>
  <c r="AA30"/>
  <c r="AA29" s="1"/>
  <c r="AC35" i="30"/>
  <c r="AB34" i="32" s="1"/>
  <c r="AB33" s="1"/>
  <c r="F51" i="26"/>
  <c r="E9" i="31"/>
  <c r="AI20" i="32"/>
  <c r="W33"/>
  <c r="T29"/>
  <c r="G52" i="26"/>
  <c r="G51" s="1"/>
  <c r="C51"/>
  <c r="C62"/>
  <c r="Z29" i="32"/>
  <c r="Z37" s="1"/>
  <c r="C76" i="26"/>
  <c r="U33" i="32"/>
  <c r="AC30"/>
  <c r="AD41" i="30"/>
  <c r="AC38" i="32" s="1"/>
  <c r="AE35" i="30"/>
  <c r="AD34" i="32" s="1"/>
  <c r="AD33" s="1"/>
  <c r="AI29" i="30"/>
  <c r="AH15" i="32"/>
  <c r="AH20" s="1"/>
  <c r="F57" i="26"/>
  <c r="AC14" i="32"/>
  <c r="AI14" s="1"/>
  <c r="E13" i="31" s="1"/>
  <c r="AB30" i="32"/>
  <c r="AB29" s="1"/>
  <c r="AB37" s="1"/>
  <c r="AD35" i="30"/>
  <c r="AC34" i="32" s="1"/>
  <c r="AC41" i="30"/>
  <c r="AB38" i="32" s="1"/>
  <c r="T19"/>
  <c r="E57" i="26"/>
  <c r="E56" s="1"/>
  <c r="AI15" i="32"/>
  <c r="E14" i="31" s="1"/>
  <c r="Y35" i="30"/>
  <c r="X34" i="32" s="1"/>
  <c r="X33" s="1"/>
  <c r="E51" i="26"/>
  <c r="D51"/>
  <c r="V30" i="32"/>
  <c r="V29" s="1"/>
  <c r="V37" s="1"/>
  <c r="W41" i="30"/>
  <c r="V38" i="32" s="1"/>
  <c r="Y30"/>
  <c r="Y29" s="1"/>
  <c r="Y37" s="1"/>
  <c r="AA35" i="30"/>
  <c r="Z41"/>
  <c r="Y38" i="32" s="1"/>
  <c r="Y41" i="30"/>
  <c r="X38" i="32" s="1"/>
  <c r="Z19"/>
  <c r="AH9"/>
  <c r="W37"/>
  <c r="W19"/>
  <c r="AH35" i="30"/>
  <c r="S24"/>
  <c r="S43"/>
  <c r="S19"/>
  <c r="AJ19"/>
  <c r="AJ29"/>
  <c r="AJ24" s="1"/>
  <c r="AH24"/>
  <c r="W30" i="29"/>
  <c r="AE30"/>
  <c r="X30"/>
  <c r="AH30"/>
  <c r="AF30"/>
  <c r="Z30"/>
  <c r="Y30"/>
  <c r="AA30"/>
  <c r="AG30"/>
  <c r="AC30"/>
  <c r="AB30"/>
  <c r="AG12"/>
  <c r="Y12"/>
  <c r="W12"/>
  <c r="AF12"/>
  <c r="X12"/>
  <c r="AE12"/>
  <c r="AD12"/>
  <c r="AC12"/>
  <c r="AH12"/>
  <c r="AB12"/>
  <c r="AA12"/>
  <c r="Z12"/>
  <c r="AK26"/>
  <c r="AH28"/>
  <c r="AH57" s="1"/>
  <c r="Z28"/>
  <c r="Z57" s="1"/>
  <c r="AG28"/>
  <c r="AG57" s="1"/>
  <c r="Y28"/>
  <c r="Y57" s="1"/>
  <c r="AF28"/>
  <c r="AF57" s="1"/>
  <c r="X28"/>
  <c r="X57" s="1"/>
  <c r="AE28"/>
  <c r="AE57" s="1"/>
  <c r="W28"/>
  <c r="W57" s="1"/>
  <c r="AD28"/>
  <c r="AD57" s="1"/>
  <c r="AC28"/>
  <c r="AC57" s="1"/>
  <c r="AB28"/>
  <c r="AB57" s="1"/>
  <c r="AA28"/>
  <c r="AA57" s="1"/>
  <c r="AB75"/>
  <c r="AA75"/>
  <c r="AH75"/>
  <c r="Z75"/>
  <c r="AG75"/>
  <c r="Y75"/>
  <c r="AF75"/>
  <c r="X75"/>
  <c r="AE75"/>
  <c r="W75"/>
  <c r="AD75"/>
  <c r="AC75"/>
  <c r="Y13"/>
  <c r="X13"/>
  <c r="W13"/>
  <c r="AL26"/>
  <c r="AJ26"/>
  <c r="AH25"/>
  <c r="Z25"/>
  <c r="AG25"/>
  <c r="Y25"/>
  <c r="AF25"/>
  <c r="X25"/>
  <c r="AE25"/>
  <c r="AD25"/>
  <c r="AB25"/>
  <c r="AA25"/>
  <c r="AC25"/>
  <c r="AA10"/>
  <c r="AH10"/>
  <c r="Z10"/>
  <c r="AG10"/>
  <c r="Y10"/>
  <c r="AF10"/>
  <c r="X10"/>
  <c r="AE10"/>
  <c r="W10"/>
  <c r="AC10"/>
  <c r="AB10"/>
  <c r="AD10"/>
  <c r="AJ31"/>
  <c r="AE32"/>
  <c r="W32"/>
  <c r="AD32"/>
  <c r="AC32"/>
  <c r="AB32"/>
  <c r="AA32"/>
  <c r="AH32"/>
  <c r="AF32"/>
  <c r="AG32"/>
  <c r="Z32"/>
  <c r="Y32"/>
  <c r="X32"/>
  <c r="AK71"/>
  <c r="AG69"/>
  <c r="AG55" s="1"/>
  <c r="Y69"/>
  <c r="Y55" s="1"/>
  <c r="AF69"/>
  <c r="AF55" s="1"/>
  <c r="X69"/>
  <c r="X55" s="1"/>
  <c r="AE69"/>
  <c r="AE55" s="1"/>
  <c r="W69"/>
  <c r="AD69"/>
  <c r="AD55" s="1"/>
  <c r="AC69"/>
  <c r="AB69"/>
  <c r="AB55" s="1"/>
  <c r="AH69"/>
  <c r="AH55" s="1"/>
  <c r="AA69"/>
  <c r="AA55" s="1"/>
  <c r="Z69"/>
  <c r="Z55" s="1"/>
  <c r="AB70"/>
  <c r="AA70"/>
  <c r="AH70"/>
  <c r="Z70"/>
  <c r="AG70"/>
  <c r="Y70"/>
  <c r="AF70"/>
  <c r="X70"/>
  <c r="AE70"/>
  <c r="W70"/>
  <c r="AD70"/>
  <c r="AC70"/>
  <c r="AA15"/>
  <c r="AH15"/>
  <c r="Z15"/>
  <c r="AG15"/>
  <c r="Y15"/>
  <c r="AF15"/>
  <c r="X15"/>
  <c r="AE15"/>
  <c r="W15"/>
  <c r="AC15"/>
  <c r="AB15"/>
  <c r="AD15"/>
  <c r="AD45" s="1"/>
  <c r="AG17"/>
  <c r="Y17"/>
  <c r="AF17"/>
  <c r="X17"/>
  <c r="AE17"/>
  <c r="W17"/>
  <c r="AD17"/>
  <c r="AC17"/>
  <c r="AB17"/>
  <c r="AH17"/>
  <c r="AA17"/>
  <c r="Z17"/>
  <c r="AG74"/>
  <c r="Y74"/>
  <c r="AF74"/>
  <c r="X74"/>
  <c r="X60" s="1"/>
  <c r="AE74"/>
  <c r="W74"/>
  <c r="AD74"/>
  <c r="AC74"/>
  <c r="AB74"/>
  <c r="AH74"/>
  <c r="AH60" s="1"/>
  <c r="AA74"/>
  <c r="AA60" s="1"/>
  <c r="Z74"/>
  <c r="Z60" s="1"/>
  <c r="AD11"/>
  <c r="AD41" s="1"/>
  <c r="AC11"/>
  <c r="AB11"/>
  <c r="AA11"/>
  <c r="AH11"/>
  <c r="Z11"/>
  <c r="X11"/>
  <c r="W11"/>
  <c r="AG11"/>
  <c r="Y11"/>
  <c r="AF11"/>
  <c r="AE11"/>
  <c r="AD73"/>
  <c r="AD59" s="1"/>
  <c r="AC73"/>
  <c r="AB73"/>
  <c r="AA73"/>
  <c r="AH73"/>
  <c r="AH59" s="1"/>
  <c r="Z73"/>
  <c r="AG73"/>
  <c r="Y73"/>
  <c r="AF73"/>
  <c r="AE73"/>
  <c r="X73"/>
  <c r="W73"/>
  <c r="AE27"/>
  <c r="W27"/>
  <c r="AD27"/>
  <c r="AC27"/>
  <c r="AB27"/>
  <c r="AA27"/>
  <c r="AH27"/>
  <c r="AF27"/>
  <c r="AG27"/>
  <c r="X27"/>
  <c r="Z27"/>
  <c r="Y27"/>
  <c r="AL71"/>
  <c r="AJ71"/>
  <c r="AD68"/>
  <c r="AC68"/>
  <c r="AB68"/>
  <c r="AA68"/>
  <c r="AH68"/>
  <c r="Z68"/>
  <c r="AG68"/>
  <c r="Y68"/>
  <c r="AF68"/>
  <c r="AE68"/>
  <c r="X68"/>
  <c r="W68"/>
  <c r="AD16"/>
  <c r="AC16"/>
  <c r="AB16"/>
  <c r="AA16"/>
  <c r="AH16"/>
  <c r="Z16"/>
  <c r="X16"/>
  <c r="W16"/>
  <c r="AG16"/>
  <c r="AF16"/>
  <c r="AE16"/>
  <c r="Y16"/>
  <c r="AB27" i="28"/>
  <c r="AF29"/>
  <c r="AG27"/>
  <c r="AG29"/>
  <c r="AC29"/>
  <c r="Z29"/>
  <c r="AB29"/>
  <c r="AD29"/>
  <c r="AH29"/>
  <c r="X28"/>
  <c r="X27"/>
  <c r="AF27"/>
  <c r="AD27"/>
  <c r="AC27"/>
  <c r="AC28"/>
  <c r="AC39" s="1"/>
  <c r="Y27"/>
  <c r="Z27"/>
  <c r="Y28"/>
  <c r="Y39" s="1"/>
  <c r="AH27"/>
  <c r="Z28"/>
  <c r="Z39" s="1"/>
  <c r="W27"/>
  <c r="AE23"/>
  <c r="Y25"/>
  <c r="Z23"/>
  <c r="X23"/>
  <c r="AE25"/>
  <c r="AH23"/>
  <c r="AF23"/>
  <c r="W25"/>
  <c r="W23"/>
  <c r="AA23"/>
  <c r="Y23"/>
  <c r="AB23"/>
  <c r="AG23"/>
  <c r="Z25"/>
  <c r="X25"/>
  <c r="AH25"/>
  <c r="AF25"/>
  <c r="AG28"/>
  <c r="AG39" s="1"/>
  <c r="AB25"/>
  <c r="AG25"/>
  <c r="AD28"/>
  <c r="AH28"/>
  <c r="AH39" s="1"/>
  <c r="AC25"/>
  <c r="W28"/>
  <c r="W39" s="1"/>
  <c r="AA28"/>
  <c r="AA39" s="1"/>
  <c r="AE28"/>
  <c r="AE39" s="1"/>
  <c r="AF39"/>
  <c r="AJ16"/>
  <c r="AL16"/>
  <c r="AK24"/>
  <c r="AJ24"/>
  <c r="AL24"/>
  <c r="AK16"/>
  <c r="AB46"/>
  <c r="AK57"/>
  <c r="AA46"/>
  <c r="AF46"/>
  <c r="W46"/>
  <c r="AJ57"/>
  <c r="AL57"/>
  <c r="Y46"/>
  <c r="AK22"/>
  <c r="AD46"/>
  <c r="AC46"/>
  <c r="AB39"/>
  <c r="AG55"/>
  <c r="Y55"/>
  <c r="AE55"/>
  <c r="W55"/>
  <c r="AD55"/>
  <c r="AC55"/>
  <c r="AB55"/>
  <c r="AF55"/>
  <c r="AA55"/>
  <c r="Z55"/>
  <c r="X55"/>
  <c r="AH55"/>
  <c r="AC58"/>
  <c r="AA58"/>
  <c r="AH58"/>
  <c r="Z58"/>
  <c r="AG58"/>
  <c r="Y58"/>
  <c r="AF58"/>
  <c r="X58"/>
  <c r="AD58"/>
  <c r="AE58"/>
  <c r="AB58"/>
  <c r="W58"/>
  <c r="AB56"/>
  <c r="AH56"/>
  <c r="Z56"/>
  <c r="AG56"/>
  <c r="Y56"/>
  <c r="AF56"/>
  <c r="X56"/>
  <c r="AE56"/>
  <c r="W56"/>
  <c r="AA56"/>
  <c r="AD56"/>
  <c r="AC56"/>
  <c r="AD62"/>
  <c r="AB62"/>
  <c r="AA62"/>
  <c r="AH62"/>
  <c r="Z62"/>
  <c r="AG62"/>
  <c r="Y62"/>
  <c r="AE62"/>
  <c r="W62"/>
  <c r="AF62"/>
  <c r="AC62"/>
  <c r="X62"/>
  <c r="AG46"/>
  <c r="AE46"/>
  <c r="AL22"/>
  <c r="AJ22"/>
  <c r="AB11"/>
  <c r="AH11"/>
  <c r="AA11"/>
  <c r="Z11"/>
  <c r="AG11"/>
  <c r="Y11"/>
  <c r="X11"/>
  <c r="AF11"/>
  <c r="AE11"/>
  <c r="W11"/>
  <c r="AC11"/>
  <c r="AD11"/>
  <c r="X46"/>
  <c r="AC13"/>
  <c r="AB13"/>
  <c r="AB36" s="1"/>
  <c r="AA13"/>
  <c r="AA36" s="1"/>
  <c r="AH13"/>
  <c r="AH36" s="1"/>
  <c r="Z13"/>
  <c r="AG13"/>
  <c r="Y13"/>
  <c r="AF13"/>
  <c r="X13"/>
  <c r="X36" s="1"/>
  <c r="AE13"/>
  <c r="W13"/>
  <c r="AD13"/>
  <c r="AD36" s="1"/>
  <c r="AH15"/>
  <c r="Z15"/>
  <c r="Z38" s="1"/>
  <c r="AG15"/>
  <c r="Y15"/>
  <c r="AF15"/>
  <c r="AF38" s="1"/>
  <c r="X15"/>
  <c r="AE15"/>
  <c r="AE38" s="1"/>
  <c r="W15"/>
  <c r="AD15"/>
  <c r="AD38" s="1"/>
  <c r="AC15"/>
  <c r="AB15"/>
  <c r="AB38" s="1"/>
  <c r="AA15"/>
  <c r="AA38" s="1"/>
  <c r="AG10"/>
  <c r="Y10"/>
  <c r="AF10"/>
  <c r="X10"/>
  <c r="AE10"/>
  <c r="W10"/>
  <c r="AD10"/>
  <c r="AC10"/>
  <c r="AB10"/>
  <c r="Z10"/>
  <c r="AA10"/>
  <c r="AH10"/>
  <c r="AF61"/>
  <c r="X61"/>
  <c r="AD61"/>
  <c r="AC61"/>
  <c r="AB61"/>
  <c r="AA61"/>
  <c r="AG61"/>
  <c r="Y61"/>
  <c r="AH61"/>
  <c r="AE61"/>
  <c r="Z61"/>
  <c r="W61"/>
  <c r="Z46"/>
  <c r="AD17"/>
  <c r="AD40" s="1"/>
  <c r="AC17"/>
  <c r="AB17"/>
  <c r="AA17"/>
  <c r="AA40" s="1"/>
  <c r="AH17"/>
  <c r="AH40" s="1"/>
  <c r="Z17"/>
  <c r="AG17"/>
  <c r="AG40" s="1"/>
  <c r="Y17"/>
  <c r="Y40" s="1"/>
  <c r="W17"/>
  <c r="AF17"/>
  <c r="X17"/>
  <c r="X40" s="1"/>
  <c r="AE17"/>
  <c r="AE40" s="1"/>
  <c r="AE12"/>
  <c r="AE35" s="1"/>
  <c r="W12"/>
  <c r="W69" s="1"/>
  <c r="AD12"/>
  <c r="AD35" s="1"/>
  <c r="AC12"/>
  <c r="AC69" s="1"/>
  <c r="AB12"/>
  <c r="AB35" s="1"/>
  <c r="AA12"/>
  <c r="AA35" s="1"/>
  <c r="AH12"/>
  <c r="AH35" s="1"/>
  <c r="Z12"/>
  <c r="Z35" s="1"/>
  <c r="AG12"/>
  <c r="AG35" s="1"/>
  <c r="Y12"/>
  <c r="Y35" s="1"/>
  <c r="AF12"/>
  <c r="AF35" s="1"/>
  <c r="X12"/>
  <c r="X35" s="1"/>
  <c r="AH60"/>
  <c r="Z60"/>
  <c r="AF60"/>
  <c r="X60"/>
  <c r="AE60"/>
  <c r="W60"/>
  <c r="AD60"/>
  <c r="AC60"/>
  <c r="AA60"/>
  <c r="AB60"/>
  <c r="Y60"/>
  <c r="AG60"/>
  <c r="AH46"/>
  <c r="X39"/>
  <c r="D62" i="26" l="1"/>
  <c r="E72"/>
  <c r="E80" s="1"/>
  <c r="AC19" i="32"/>
  <c r="AH30"/>
  <c r="AH38" s="1"/>
  <c r="C72" i="26"/>
  <c r="C67" s="1"/>
  <c r="AH14" i="32"/>
  <c r="AG30"/>
  <c r="C61" i="26"/>
  <c r="AB60" i="29"/>
  <c r="AH38" i="28"/>
  <c r="AF40"/>
  <c r="AL23"/>
  <c r="AJ29"/>
  <c r="AG38"/>
  <c r="X38"/>
  <c r="AK29"/>
  <c r="AE60" i="29"/>
  <c r="X59"/>
  <c r="AB59"/>
  <c r="AE59"/>
  <c r="AD46"/>
  <c r="AG59"/>
  <c r="AD60"/>
  <c r="AD47"/>
  <c r="AL31"/>
  <c r="AG60"/>
  <c r="AK31"/>
  <c r="Z59"/>
  <c r="AJ30"/>
  <c r="AF60"/>
  <c r="Y60"/>
  <c r="Y54"/>
  <c r="AL30"/>
  <c r="D61" i="26"/>
  <c r="F62"/>
  <c r="F56"/>
  <c r="AG19" i="32"/>
  <c r="AG37"/>
  <c r="C75" i="26"/>
  <c r="AG38" i="32"/>
  <c r="AG25"/>
  <c r="G57" i="26"/>
  <c r="E8" i="31"/>
  <c r="AI19" i="32"/>
  <c r="E61" i="26"/>
  <c r="AI41" i="30"/>
  <c r="AI24"/>
  <c r="T37" i="32"/>
  <c r="AG29"/>
  <c r="AG24" s="1"/>
  <c r="Z34"/>
  <c r="AI35" i="30"/>
  <c r="AJ35" s="1"/>
  <c r="AI30" i="32"/>
  <c r="E62" i="26"/>
  <c r="F76"/>
  <c r="F75" s="1"/>
  <c r="AC33" i="32"/>
  <c r="AC29"/>
  <c r="AC37" s="1"/>
  <c r="F72" i="26"/>
  <c r="AH19" i="32"/>
  <c r="AG33"/>
  <c r="D76" i="26"/>
  <c r="D75" s="1"/>
  <c r="D72"/>
  <c r="E19" i="31"/>
  <c r="AG34" i="32"/>
  <c r="AJ41" i="30"/>
  <c r="AF54" i="29"/>
  <c r="AF59"/>
  <c r="AK30"/>
  <c r="AA59"/>
  <c r="Y59"/>
  <c r="AE61"/>
  <c r="AD42"/>
  <c r="AH61"/>
  <c r="Z54"/>
  <c r="X56"/>
  <c r="AG54"/>
  <c r="Z61"/>
  <c r="AA54"/>
  <c r="AK27"/>
  <c r="AB61"/>
  <c r="AB54"/>
  <c r="X61"/>
  <c r="AF56"/>
  <c r="AE54"/>
  <c r="AH83"/>
  <c r="AH41"/>
  <c r="AB87"/>
  <c r="AB45"/>
  <c r="AD40"/>
  <c r="X43"/>
  <c r="X85"/>
  <c r="AK75"/>
  <c r="AC61"/>
  <c r="X46"/>
  <c r="X88"/>
  <c r="X54"/>
  <c r="AE83"/>
  <c r="AE41"/>
  <c r="AA83"/>
  <c r="AA41"/>
  <c r="AK74"/>
  <c r="AK60" s="1"/>
  <c r="AC60"/>
  <c r="AL17"/>
  <c r="W89"/>
  <c r="AJ17"/>
  <c r="W47"/>
  <c r="AC87"/>
  <c r="AC45"/>
  <c r="AK15"/>
  <c r="AH45"/>
  <c r="AH87"/>
  <c r="AB82"/>
  <c r="AB40"/>
  <c r="Z82"/>
  <c r="Z40"/>
  <c r="AL25"/>
  <c r="AJ25"/>
  <c r="AF85"/>
  <c r="AF43"/>
  <c r="AD61"/>
  <c r="AJ28"/>
  <c r="AJ57" s="1"/>
  <c r="AL28"/>
  <c r="AL57" s="1"/>
  <c r="AE84"/>
  <c r="AE42"/>
  <c r="Z88"/>
  <c r="Z46"/>
  <c r="AK68"/>
  <c r="AC54"/>
  <c r="AL27"/>
  <c r="AJ27"/>
  <c r="AF83"/>
  <c r="AF41"/>
  <c r="AB83"/>
  <c r="AB41"/>
  <c r="AE89"/>
  <c r="AE47"/>
  <c r="W87"/>
  <c r="AJ15"/>
  <c r="W45"/>
  <c r="AL15"/>
  <c r="AA87"/>
  <c r="AA45"/>
  <c r="Y56"/>
  <c r="AK32"/>
  <c r="AC82"/>
  <c r="AC40"/>
  <c r="AK10"/>
  <c r="AH82"/>
  <c r="AH40"/>
  <c r="Y43"/>
  <c r="Y85"/>
  <c r="AJ75"/>
  <c r="AL75"/>
  <c r="W61"/>
  <c r="AA61"/>
  <c r="X84"/>
  <c r="X42"/>
  <c r="AL68"/>
  <c r="W54"/>
  <c r="AJ68"/>
  <c r="AG82"/>
  <c r="AG40"/>
  <c r="Y83"/>
  <c r="Y41"/>
  <c r="Z89"/>
  <c r="Z47"/>
  <c r="W82"/>
  <c r="AJ10"/>
  <c r="W40"/>
  <c r="AL10"/>
  <c r="AF84"/>
  <c r="AF42"/>
  <c r="X87"/>
  <c r="X45"/>
  <c r="AE82"/>
  <c r="AE40"/>
  <c r="AA84"/>
  <c r="AA42"/>
  <c r="AE88"/>
  <c r="AE46"/>
  <c r="AB88"/>
  <c r="AB46"/>
  <c r="AL73"/>
  <c r="AJ73"/>
  <c r="AJ59" s="1"/>
  <c r="W59"/>
  <c r="W83"/>
  <c r="AL11"/>
  <c r="AJ11"/>
  <c r="W41"/>
  <c r="AH89"/>
  <c r="AH47"/>
  <c r="Y47"/>
  <c r="Y89"/>
  <c r="AF87"/>
  <c r="AF45"/>
  <c r="AD56"/>
  <c r="AH56"/>
  <c r="AK69"/>
  <c r="AC55"/>
  <c r="X82"/>
  <c r="X40"/>
  <c r="AK25"/>
  <c r="AD43"/>
  <c r="AH85"/>
  <c r="AH43"/>
  <c r="AF61"/>
  <c r="AB84"/>
  <c r="AB42"/>
  <c r="Y84"/>
  <c r="Y42"/>
  <c r="W88"/>
  <c r="W46"/>
  <c r="AL16"/>
  <c r="AJ16"/>
  <c r="AD54"/>
  <c r="AC83"/>
  <c r="AC41"/>
  <c r="AK11"/>
  <c r="X47"/>
  <c r="X89"/>
  <c r="AG56"/>
  <c r="AA82"/>
  <c r="AA40"/>
  <c r="Z84"/>
  <c r="Z42"/>
  <c r="Y88"/>
  <c r="Y46"/>
  <c r="AG83"/>
  <c r="AG41"/>
  <c r="AA89"/>
  <c r="AA47"/>
  <c r="AK70"/>
  <c r="AC56"/>
  <c r="Z56"/>
  <c r="AL32"/>
  <c r="AJ32"/>
  <c r="AC85"/>
  <c r="AK13"/>
  <c r="AC43"/>
  <c r="Z85"/>
  <c r="Z43"/>
  <c r="W84"/>
  <c r="W42"/>
  <c r="AL12"/>
  <c r="AJ12"/>
  <c r="AF88"/>
  <c r="AF46"/>
  <c r="AC88"/>
  <c r="AK16"/>
  <c r="AC46"/>
  <c r="X83"/>
  <c r="X41"/>
  <c r="AB89"/>
  <c r="AB47"/>
  <c r="AG47"/>
  <c r="AG89"/>
  <c r="Y45"/>
  <c r="Y87"/>
  <c r="AJ70"/>
  <c r="W56"/>
  <c r="AL70"/>
  <c r="AA56"/>
  <c r="AF82"/>
  <c r="AF40"/>
  <c r="W85"/>
  <c r="AJ13"/>
  <c r="W43"/>
  <c r="AL13"/>
  <c r="AA85"/>
  <c r="AA43"/>
  <c r="Y61"/>
  <c r="AH84"/>
  <c r="AH42"/>
  <c r="AG84"/>
  <c r="AG42"/>
  <c r="Z45"/>
  <c r="Z87"/>
  <c r="AH46"/>
  <c r="AH88"/>
  <c r="AL74"/>
  <c r="AL60" s="1"/>
  <c r="W60"/>
  <c r="AJ74"/>
  <c r="AJ60" s="1"/>
  <c r="AE87"/>
  <c r="AE45"/>
  <c r="AG43"/>
  <c r="AG85"/>
  <c r="AA88"/>
  <c r="AA46"/>
  <c r="AF47"/>
  <c r="AF89"/>
  <c r="AG88"/>
  <c r="AG46"/>
  <c r="AH54"/>
  <c r="AK73"/>
  <c r="AC59"/>
  <c r="Z83"/>
  <c r="Z41"/>
  <c r="AC89"/>
  <c r="AC47"/>
  <c r="AK17"/>
  <c r="AG87"/>
  <c r="AG45"/>
  <c r="AE56"/>
  <c r="AB56"/>
  <c r="W55"/>
  <c r="AL69"/>
  <c r="AJ69"/>
  <c r="Y82"/>
  <c r="Y40"/>
  <c r="AE85"/>
  <c r="AE43"/>
  <c r="AB85"/>
  <c r="AB43"/>
  <c r="AG61"/>
  <c r="AK28"/>
  <c r="AK57" s="1"/>
  <c r="AC84"/>
  <c r="AC42"/>
  <c r="AK12"/>
  <c r="Z40" i="28"/>
  <c r="AL27"/>
  <c r="AB40"/>
  <c r="AL29"/>
  <c r="AK27"/>
  <c r="AJ27"/>
  <c r="AF36"/>
  <c r="AJ25"/>
  <c r="Y38"/>
  <c r="AJ28"/>
  <c r="AJ39" s="1"/>
  <c r="AJ23"/>
  <c r="AK23"/>
  <c r="AL25"/>
  <c r="AE36"/>
  <c r="AL28"/>
  <c r="AL39" s="1"/>
  <c r="AK25"/>
  <c r="Y36"/>
  <c r="Z36"/>
  <c r="AD39"/>
  <c r="AG36"/>
  <c r="AK28"/>
  <c r="AC67"/>
  <c r="AB69"/>
  <c r="AC68"/>
  <c r="AA69"/>
  <c r="Y69"/>
  <c r="AC40"/>
  <c r="AK17"/>
  <c r="AK40" s="1"/>
  <c r="W68"/>
  <c r="W40"/>
  <c r="AL17"/>
  <c r="AJ17"/>
  <c r="AJ40" s="1"/>
  <c r="W38"/>
  <c r="AJ15"/>
  <c r="AJ38" s="1"/>
  <c r="AL15"/>
  <c r="AK11"/>
  <c r="AK39"/>
  <c r="Z69"/>
  <c r="W36"/>
  <c r="AJ13"/>
  <c r="AJ36" s="1"/>
  <c r="AL13"/>
  <c r="AC38"/>
  <c r="AK15"/>
  <c r="AK38" s="1"/>
  <c r="X69"/>
  <c r="W35"/>
  <c r="AL12"/>
  <c r="AL35" s="1"/>
  <c r="AJ12"/>
  <c r="AJ35" s="1"/>
  <c r="AC36"/>
  <c r="AK13"/>
  <c r="AH69"/>
  <c r="AL11"/>
  <c r="AJ11"/>
  <c r="W67"/>
  <c r="AF69"/>
  <c r="AE69"/>
  <c r="AC35"/>
  <c r="AK12"/>
  <c r="AK35" s="1"/>
  <c r="AG69"/>
  <c r="AB51"/>
  <c r="AB74"/>
  <c r="AA47"/>
  <c r="AA70"/>
  <c r="AB50"/>
  <c r="AB73"/>
  <c r="W51"/>
  <c r="AL62"/>
  <c r="AJ62"/>
  <c r="W74"/>
  <c r="AC47"/>
  <c r="AK58"/>
  <c r="AC70"/>
  <c r="AG45"/>
  <c r="AG68"/>
  <c r="X47"/>
  <c r="X70"/>
  <c r="AG49"/>
  <c r="AG72"/>
  <c r="AD45"/>
  <c r="Z45"/>
  <c r="Z68"/>
  <c r="AF47"/>
  <c r="AF70"/>
  <c r="X44"/>
  <c r="X67"/>
  <c r="AE44"/>
  <c r="AE67"/>
  <c r="Y49"/>
  <c r="Y72"/>
  <c r="AF49"/>
  <c r="AF72"/>
  <c r="AE50"/>
  <c r="AE73"/>
  <c r="X50"/>
  <c r="X73"/>
  <c r="AG51"/>
  <c r="AG74"/>
  <c r="AA45"/>
  <c r="AA68"/>
  <c r="AH45"/>
  <c r="AH68"/>
  <c r="Y47"/>
  <c r="Y70"/>
  <c r="Z44"/>
  <c r="Z67"/>
  <c r="Y44"/>
  <c r="Y67"/>
  <c r="AA50"/>
  <c r="AA73"/>
  <c r="AF51"/>
  <c r="AF74"/>
  <c r="AF45"/>
  <c r="AF68"/>
  <c r="W49"/>
  <c r="AJ60"/>
  <c r="W72"/>
  <c r="AL60"/>
  <c r="AD51"/>
  <c r="AD47"/>
  <c r="AE49"/>
  <c r="AE72"/>
  <c r="AC50"/>
  <c r="AC73"/>
  <c r="AK61"/>
  <c r="AE51"/>
  <c r="AE74"/>
  <c r="X49"/>
  <c r="X72"/>
  <c r="AD50"/>
  <c r="Z49"/>
  <c r="Z72"/>
  <c r="AH50"/>
  <c r="AH73"/>
  <c r="AF50"/>
  <c r="AF73"/>
  <c r="Z51"/>
  <c r="Z74"/>
  <c r="AB45"/>
  <c r="AB68"/>
  <c r="AA44"/>
  <c r="AA67"/>
  <c r="AA49"/>
  <c r="AA72"/>
  <c r="AH49"/>
  <c r="AH72"/>
  <c r="Y50"/>
  <c r="Y73"/>
  <c r="X51"/>
  <c r="X74"/>
  <c r="AH51"/>
  <c r="AH74"/>
  <c r="AE45"/>
  <c r="AE68"/>
  <c r="W47"/>
  <c r="W70"/>
  <c r="AJ58"/>
  <c r="AL58"/>
  <c r="Z47"/>
  <c r="Z70"/>
  <c r="AF44"/>
  <c r="AF67"/>
  <c r="AK46"/>
  <c r="AD49"/>
  <c r="AE47"/>
  <c r="AE70"/>
  <c r="AJ46"/>
  <c r="Y45"/>
  <c r="Y68"/>
  <c r="AD44"/>
  <c r="W50"/>
  <c r="W73"/>
  <c r="AL61"/>
  <c r="AJ61"/>
  <c r="AH44"/>
  <c r="AH67"/>
  <c r="Z50"/>
  <c r="Z73"/>
  <c r="Y51"/>
  <c r="Y74"/>
  <c r="AB49"/>
  <c r="AB72"/>
  <c r="AG47"/>
  <c r="AG70"/>
  <c r="AG44"/>
  <c r="AG67"/>
  <c r="AC49"/>
  <c r="AK60"/>
  <c r="AC72"/>
  <c r="AG50"/>
  <c r="AG73"/>
  <c r="AC51"/>
  <c r="AK62"/>
  <c r="AC74"/>
  <c r="AA51"/>
  <c r="AA74"/>
  <c r="X45"/>
  <c r="X68"/>
  <c r="AB47"/>
  <c r="AB70"/>
  <c r="AH47"/>
  <c r="AH70"/>
  <c r="AB44"/>
  <c r="AB67"/>
  <c r="AL46"/>
  <c r="AE33"/>
  <c r="AD34"/>
  <c r="Z34"/>
  <c r="W45"/>
  <c r="AL56"/>
  <c r="AJ56"/>
  <c r="AH33"/>
  <c r="X33"/>
  <c r="AC34"/>
  <c r="AA34"/>
  <c r="W33"/>
  <c r="AL10"/>
  <c r="AJ10"/>
  <c r="AG34"/>
  <c r="AA33"/>
  <c r="AF33"/>
  <c r="W34"/>
  <c r="AH34"/>
  <c r="Z33"/>
  <c r="Y33"/>
  <c r="AE34"/>
  <c r="AB34"/>
  <c r="AC44"/>
  <c r="AK55"/>
  <c r="AB33"/>
  <c r="AG33"/>
  <c r="AF34"/>
  <c r="AC33"/>
  <c r="AK10"/>
  <c r="X34"/>
  <c r="AK56"/>
  <c r="AC45"/>
  <c r="W44"/>
  <c r="AL55"/>
  <c r="AJ55"/>
  <c r="AD33"/>
  <c r="Y34"/>
  <c r="AH25" i="32" l="1"/>
  <c r="C80" i="26"/>
  <c r="E71"/>
  <c r="E67"/>
  <c r="C71"/>
  <c r="AK36" i="28"/>
  <c r="AL36"/>
  <c r="AL40"/>
  <c r="AL59" i="29"/>
  <c r="AK59"/>
  <c r="D67" i="26"/>
  <c r="D71"/>
  <c r="D80"/>
  <c r="F67"/>
  <c r="F71"/>
  <c r="F79" s="1"/>
  <c r="F80"/>
  <c r="E29" i="31"/>
  <c r="AI25" i="32"/>
  <c r="AI38"/>
  <c r="E18" i="31"/>
  <c r="G62" i="26"/>
  <c r="G56"/>
  <c r="G61" s="1"/>
  <c r="E76"/>
  <c r="E75" s="1"/>
  <c r="Z33" i="32"/>
  <c r="AH34"/>
  <c r="AI34"/>
  <c r="E33" i="31" s="1"/>
  <c r="G72" i="26"/>
  <c r="F61"/>
  <c r="AH29" i="32"/>
  <c r="AI29"/>
  <c r="AK56" i="29"/>
  <c r="AJ61"/>
  <c r="AL61"/>
  <c r="AJ56"/>
  <c r="AK61"/>
  <c r="AK83"/>
  <c r="AK41"/>
  <c r="AL87"/>
  <c r="AL45"/>
  <c r="AK88"/>
  <c r="AK46"/>
  <c r="AK82"/>
  <c r="AK40"/>
  <c r="AL40"/>
  <c r="AL82"/>
  <c r="AJ45"/>
  <c r="AJ87"/>
  <c r="AL83"/>
  <c r="AL41"/>
  <c r="AJ82"/>
  <c r="AJ40"/>
  <c r="AK89"/>
  <c r="AK47"/>
  <c r="AL85"/>
  <c r="AL43"/>
  <c r="AJ84"/>
  <c r="AJ42"/>
  <c r="AL88"/>
  <c r="AL46"/>
  <c r="AK96"/>
  <c r="AK55"/>
  <c r="AK54"/>
  <c r="AK95"/>
  <c r="AL89"/>
  <c r="AL47"/>
  <c r="AK84"/>
  <c r="AK42"/>
  <c r="AJ89"/>
  <c r="AJ47"/>
  <c r="AL56"/>
  <c r="AK85"/>
  <c r="AK43"/>
  <c r="AJ54"/>
  <c r="AJ95"/>
  <c r="AJ96"/>
  <c r="AJ55"/>
  <c r="AL84"/>
  <c r="AL42"/>
  <c r="AL54"/>
  <c r="AL95"/>
  <c r="AJ88"/>
  <c r="AJ46"/>
  <c r="AL55"/>
  <c r="AL96"/>
  <c r="AJ85"/>
  <c r="AJ43"/>
  <c r="AJ83"/>
  <c r="AJ41"/>
  <c r="AK87"/>
  <c r="AK45"/>
  <c r="AL38" i="28"/>
  <c r="AL69"/>
  <c r="AJ69"/>
  <c r="AK69"/>
  <c r="AJ73"/>
  <c r="AJ50"/>
  <c r="AL73"/>
  <c r="AL50"/>
  <c r="AL70"/>
  <c r="AL47"/>
  <c r="AJ74"/>
  <c r="AJ51"/>
  <c r="AK49"/>
  <c r="AK72"/>
  <c r="AL74"/>
  <c r="AL51"/>
  <c r="AJ70"/>
  <c r="AJ47"/>
  <c r="AK73"/>
  <c r="AK50"/>
  <c r="AK70"/>
  <c r="AK47"/>
  <c r="AJ72"/>
  <c r="AJ49"/>
  <c r="AK74"/>
  <c r="AK51"/>
  <c r="AL72"/>
  <c r="AL49"/>
  <c r="AJ68"/>
  <c r="AJ34"/>
  <c r="AK34"/>
  <c r="AK68"/>
  <c r="AK80"/>
  <c r="AK45"/>
  <c r="AJ67"/>
  <c r="AJ33"/>
  <c r="AJ44"/>
  <c r="AJ79"/>
  <c r="AK79"/>
  <c r="AK44"/>
  <c r="AL68"/>
  <c r="AL34"/>
  <c r="AL67"/>
  <c r="AL33"/>
  <c r="AL79"/>
  <c r="AL44"/>
  <c r="AL80"/>
  <c r="AL45"/>
  <c r="AK67"/>
  <c r="AK33"/>
  <c r="AJ80"/>
  <c r="AJ45"/>
  <c r="E79" i="26" l="1"/>
  <c r="E66"/>
  <c r="C66"/>
  <c r="C79"/>
  <c r="F66"/>
  <c r="AH33" i="32"/>
  <c r="AI33"/>
  <c r="E32" i="31" s="1"/>
  <c r="AI24" i="32"/>
  <c r="E28" i="31"/>
  <c r="AI37" i="32"/>
  <c r="G80" i="26"/>
  <c r="G67"/>
  <c r="G71"/>
  <c r="G76"/>
  <c r="G75" s="1"/>
  <c r="AH24" i="32"/>
  <c r="AH37"/>
  <c r="D66" i="26"/>
  <c r="D79"/>
  <c r="E24" i="31"/>
  <c r="E37"/>
  <c r="AG10" i="12"/>
  <c r="AA33"/>
  <c r="AE30"/>
  <c r="AB26"/>
  <c r="AC26"/>
  <c r="AD26"/>
  <c r="AE26"/>
  <c r="AB20"/>
  <c r="AC20"/>
  <c r="AD20"/>
  <c r="AE20"/>
  <c r="AB21"/>
  <c r="AC21"/>
  <c r="AD21"/>
  <c r="AE21"/>
  <c r="AD16"/>
  <c r="AE16"/>
  <c r="AE15"/>
  <c r="AE14" s="1"/>
  <c r="AC24" i="11"/>
  <c r="AD24"/>
  <c r="AE24"/>
  <c r="AF24"/>
  <c r="AF14"/>
  <c r="AC16"/>
  <c r="AC14" s="1"/>
  <c r="AD16"/>
  <c r="AD14" s="1"/>
  <c r="AE16"/>
  <c r="AE14" s="1"/>
  <c r="AE32" s="1"/>
  <c r="AE30" s="1"/>
  <c r="AF35" s="1"/>
  <c r="AF16"/>
  <c r="AF9" i="14"/>
  <c r="AF41" s="1"/>
  <c r="AD14"/>
  <c r="AD31" s="1"/>
  <c r="AB25" i="12"/>
  <c r="AC25"/>
  <c r="AD25"/>
  <c r="AE25"/>
  <c r="AC16" i="14"/>
  <c r="AC14" s="1"/>
  <c r="AD16"/>
  <c r="AE16"/>
  <c r="AE14" s="1"/>
  <c r="AD9"/>
  <c r="AC10" i="12" s="1"/>
  <c r="AC9" i="14"/>
  <c r="AE9"/>
  <c r="AD10" i="12" s="1"/>
  <c r="AB9" i="14"/>
  <c r="E23" i="31" l="1"/>
  <c r="E36"/>
  <c r="G66" i="26"/>
  <c r="G79"/>
  <c r="AE10" i="12"/>
  <c r="AE38" s="1"/>
  <c r="AD32" i="11"/>
  <c r="AD30" s="1"/>
  <c r="AE35" s="1"/>
  <c r="AC16" i="12"/>
  <c r="AC32" i="11"/>
  <c r="AC30" s="1"/>
  <c r="AB16" i="12"/>
  <c r="AC31" i="14"/>
  <c r="AB15" i="12"/>
  <c r="AE31" i="14"/>
  <c r="AD15" i="12"/>
  <c r="AD14" s="1"/>
  <c r="AC15"/>
  <c r="AC14" s="1"/>
  <c r="AB10"/>
  <c r="AH10" s="1"/>
  <c r="AB31"/>
  <c r="AE31"/>
  <c r="AI10" l="1"/>
  <c r="F11" i="26"/>
  <c r="AB14" i="12"/>
  <c r="AD35" i="11"/>
  <c r="AD31" i="12"/>
  <c r="AE29"/>
  <c r="AC31"/>
  <c r="AC35" s="1"/>
  <c r="F17" i="26"/>
  <c r="F16"/>
  <c r="E11"/>
  <c r="N35" i="12"/>
  <c r="N34"/>
  <c r="N31"/>
  <c r="N16"/>
  <c r="N15"/>
  <c r="O26" i="14"/>
  <c r="O29"/>
  <c r="N30" i="32" s="1"/>
  <c r="O14" i="14"/>
  <c r="O21"/>
  <c r="O9"/>
  <c r="N10" i="32" s="1"/>
  <c r="O30" i="11"/>
  <c r="O24" s="1"/>
  <c r="O41"/>
  <c r="O25"/>
  <c r="O26"/>
  <c r="O21"/>
  <c r="O22"/>
  <c r="M22"/>
  <c r="N22"/>
  <c r="O19"/>
  <c r="O14"/>
  <c r="N9"/>
  <c r="O9"/>
  <c r="N21" i="12" l="1"/>
  <c r="N38" i="32"/>
  <c r="N9"/>
  <c r="R10"/>
  <c r="Q10"/>
  <c r="O19" i="14"/>
  <c r="N15" i="32"/>
  <c r="N20" s="1"/>
  <c r="N10" i="12"/>
  <c r="N38" s="1"/>
  <c r="N30"/>
  <c r="N29" s="1"/>
  <c r="O41" i="14"/>
  <c r="N29" i="32"/>
  <c r="Q30"/>
  <c r="R30"/>
  <c r="O24" i="14"/>
  <c r="F32" i="26"/>
  <c r="AE35" i="12"/>
  <c r="AD35"/>
  <c r="N14"/>
  <c r="N39"/>
  <c r="F15" i="26"/>
  <c r="F21"/>
  <c r="N33" i="12"/>
  <c r="Q38" i="32" l="1"/>
  <c r="R38"/>
  <c r="R20"/>
  <c r="N37"/>
  <c r="R9"/>
  <c r="N19"/>
  <c r="Q9"/>
  <c r="N14"/>
  <c r="N24" s="1"/>
  <c r="Q15"/>
  <c r="Q25" s="1"/>
  <c r="R15"/>
  <c r="R25" s="1"/>
  <c r="N20" i="12"/>
  <c r="Q29" i="32"/>
  <c r="R29"/>
  <c r="N9" i="12"/>
  <c r="N37" s="1"/>
  <c r="F27" i="26"/>
  <c r="F36"/>
  <c r="N24" i="12"/>
  <c r="R37" i="32" l="1"/>
  <c r="Q14"/>
  <c r="Q24" s="1"/>
  <c r="R14"/>
  <c r="R19" s="1"/>
  <c r="Q20"/>
  <c r="N19" i="12"/>
  <c r="Q37" i="32"/>
  <c r="U17" i="11"/>
  <c r="D11" i="26"/>
  <c r="C11"/>
  <c r="U26" i="12"/>
  <c r="V26"/>
  <c r="W26"/>
  <c r="X26"/>
  <c r="Y26"/>
  <c r="Z26"/>
  <c r="AA26"/>
  <c r="T26"/>
  <c r="U21"/>
  <c r="V21"/>
  <c r="W21"/>
  <c r="X21"/>
  <c r="Y21"/>
  <c r="Z21"/>
  <c r="AA21"/>
  <c r="T21"/>
  <c r="V24" i="11"/>
  <c r="W24"/>
  <c r="X24"/>
  <c r="Y24"/>
  <c r="Z24"/>
  <c r="AA24"/>
  <c r="AB24"/>
  <c r="U24"/>
  <c r="X25" i="12"/>
  <c r="AA20"/>
  <c r="W15"/>
  <c r="X15"/>
  <c r="AA25"/>
  <c r="U25"/>
  <c r="W25"/>
  <c r="T25"/>
  <c r="V14" i="11"/>
  <c r="W16"/>
  <c r="W14" s="1"/>
  <c r="X16"/>
  <c r="X14" s="1"/>
  <c r="Y16"/>
  <c r="Y14" s="1"/>
  <c r="Z16"/>
  <c r="Z14" s="1"/>
  <c r="AA16"/>
  <c r="AA14" s="1"/>
  <c r="AB16"/>
  <c r="AB14" s="1"/>
  <c r="U14"/>
  <c r="T16" i="12" s="1"/>
  <c r="V9" i="11"/>
  <c r="W9"/>
  <c r="X9"/>
  <c r="Y9"/>
  <c r="Z9"/>
  <c r="AA9"/>
  <c r="AB9"/>
  <c r="AA11" i="12" s="1"/>
  <c r="AA9" s="1"/>
  <c r="AC9" i="11"/>
  <c r="AD9"/>
  <c r="AF9"/>
  <c r="U9"/>
  <c r="V14" i="14"/>
  <c r="W16"/>
  <c r="W14" s="1"/>
  <c r="W31" s="1"/>
  <c r="X16"/>
  <c r="X14" s="1"/>
  <c r="X31" s="1"/>
  <c r="Y16"/>
  <c r="Y14" s="1"/>
  <c r="Y31" s="1"/>
  <c r="Z16"/>
  <c r="Z14" s="1"/>
  <c r="Z31" s="1"/>
  <c r="AA16"/>
  <c r="AA14" s="1"/>
  <c r="Z15" i="12" s="1"/>
  <c r="AB14" i="14"/>
  <c r="AB31" s="1"/>
  <c r="U16"/>
  <c r="AA9"/>
  <c r="AI9" s="1"/>
  <c r="Y9"/>
  <c r="X9"/>
  <c r="R24" i="32" l="1"/>
  <c r="Q19"/>
  <c r="AF41" i="11"/>
  <c r="AE11" i="12"/>
  <c r="V16"/>
  <c r="W32" i="11"/>
  <c r="W30" s="1"/>
  <c r="U9" i="12"/>
  <c r="AH9" i="11"/>
  <c r="AC41"/>
  <c r="AB11" i="12"/>
  <c r="Z11"/>
  <c r="AE41" i="11"/>
  <c r="AD11" i="12"/>
  <c r="AD41" i="11"/>
  <c r="AC11" i="12"/>
  <c r="X16"/>
  <c r="Y32" i="11"/>
  <c r="Y30" s="1"/>
  <c r="Y11" i="12"/>
  <c r="Y9" s="1"/>
  <c r="V9"/>
  <c r="W41" i="11"/>
  <c r="U16" i="12"/>
  <c r="V32" i="11"/>
  <c r="V30" s="1"/>
  <c r="V41" s="1"/>
  <c r="AA16" i="12"/>
  <c r="AB30" i="11"/>
  <c r="Z16" i="12"/>
  <c r="Z14" s="1"/>
  <c r="AA32" i="11"/>
  <c r="AA30" s="1"/>
  <c r="Y16" i="12"/>
  <c r="Z32" i="11"/>
  <c r="Z30" s="1"/>
  <c r="X11" i="12"/>
  <c r="X9" s="1"/>
  <c r="Y41" i="11"/>
  <c r="W11" i="12"/>
  <c r="W9" s="1"/>
  <c r="X41" i="11"/>
  <c r="W16" i="12"/>
  <c r="W14" s="1"/>
  <c r="X32" i="11"/>
  <c r="X30" s="1"/>
  <c r="V31" i="14"/>
  <c r="U15" i="12"/>
  <c r="AA15"/>
  <c r="E16" i="26" s="1"/>
  <c r="AA19" i="14"/>
  <c r="Z20" i="12" s="1"/>
  <c r="AA31" i="14"/>
  <c r="Y15" i="12"/>
  <c r="D16" i="26" s="1"/>
  <c r="D21" s="1"/>
  <c r="V15" i="12"/>
  <c r="V14" s="1"/>
  <c r="Y25"/>
  <c r="G11" i="26"/>
  <c r="D9" i="31" s="1"/>
  <c r="Y19" i="14"/>
  <c r="X20" i="12" s="1"/>
  <c r="X19" i="14"/>
  <c r="W20" i="12" s="1"/>
  <c r="C12" i="26"/>
  <c r="T9" i="12"/>
  <c r="C17" i="26"/>
  <c r="Z25" i="12"/>
  <c r="V25"/>
  <c r="V9" i="14"/>
  <c r="W9"/>
  <c r="U9"/>
  <c r="U14"/>
  <c r="U31" s="1"/>
  <c r="Z9"/>
  <c r="N22" i="23"/>
  <c r="N23"/>
  <c r="N24"/>
  <c r="N18"/>
  <c r="N19"/>
  <c r="N20"/>
  <c r="M22"/>
  <c r="M23"/>
  <c r="M24"/>
  <c r="M18"/>
  <c r="M19"/>
  <c r="D18"/>
  <c r="K18"/>
  <c r="K23"/>
  <c r="K22"/>
  <c r="K20"/>
  <c r="K24"/>
  <c r="K19"/>
  <c r="H18"/>
  <c r="F18"/>
  <c r="E18"/>
  <c r="L18"/>
  <c r="L24"/>
  <c r="L20"/>
  <c r="L23"/>
  <c r="L19"/>
  <c r="Q7"/>
  <c r="D17" i="26" l="1"/>
  <c r="X14" i="12"/>
  <c r="X19" s="1"/>
  <c r="U14"/>
  <c r="U19" s="1"/>
  <c r="AA14"/>
  <c r="AA19" s="1"/>
  <c r="AH11"/>
  <c r="AE9"/>
  <c r="AE39"/>
  <c r="W19"/>
  <c r="AG11"/>
  <c r="AC35" i="11"/>
  <c r="AA31" i="12"/>
  <c r="AB35" s="1"/>
  <c r="AI11"/>
  <c r="AC9"/>
  <c r="AC19" s="1"/>
  <c r="F12" i="26"/>
  <c r="AC39" i="12"/>
  <c r="AB9"/>
  <c r="AB39"/>
  <c r="E17" i="26"/>
  <c r="E15" s="1"/>
  <c r="V35" i="11"/>
  <c r="D12" i="26"/>
  <c r="D10" s="1"/>
  <c r="V19" i="12"/>
  <c r="Z41" i="11"/>
  <c r="AD9" i="12"/>
  <c r="AD19" s="1"/>
  <c r="AD39"/>
  <c r="E12" i="26"/>
  <c r="E10" s="1"/>
  <c r="Z9" i="12"/>
  <c r="Z19" s="1"/>
  <c r="AA41" i="11"/>
  <c r="Z19" i="14"/>
  <c r="Y20" i="12" s="1"/>
  <c r="Y14"/>
  <c r="Y19" s="1"/>
  <c r="W19" i="14"/>
  <c r="V20" i="12" s="1"/>
  <c r="AH9" i="14"/>
  <c r="U19"/>
  <c r="T20" i="12" s="1"/>
  <c r="T15"/>
  <c r="E21" i="26"/>
  <c r="C10"/>
  <c r="D15"/>
  <c r="C22"/>
  <c r="X31" i="12"/>
  <c r="W31"/>
  <c r="Z31"/>
  <c r="Y31"/>
  <c r="V31"/>
  <c r="V19" i="14"/>
  <c r="U20" i="12" s="1"/>
  <c r="L17" i="23"/>
  <c r="R61"/>
  <c r="R62"/>
  <c r="R63"/>
  <c r="R64"/>
  <c r="R65"/>
  <c r="R66"/>
  <c r="R67"/>
  <c r="Q60"/>
  <c r="Q41"/>
  <c r="Q42"/>
  <c r="Q43"/>
  <c r="Q44"/>
  <c r="Q46"/>
  <c r="R46"/>
  <c r="S46"/>
  <c r="J67"/>
  <c r="J66"/>
  <c r="N65"/>
  <c r="M65"/>
  <c r="J65"/>
  <c r="J64"/>
  <c r="J63"/>
  <c r="J62"/>
  <c r="N61"/>
  <c r="M61"/>
  <c r="J61"/>
  <c r="S57"/>
  <c r="R57"/>
  <c r="Q57"/>
  <c r="S56"/>
  <c r="R56"/>
  <c r="Q56"/>
  <c r="S55"/>
  <c r="R55"/>
  <c r="Q55"/>
  <c r="R54"/>
  <c r="I54"/>
  <c r="I49" s="1"/>
  <c r="H54"/>
  <c r="H49" s="1"/>
  <c r="G54"/>
  <c r="F54"/>
  <c r="E54"/>
  <c r="D54"/>
  <c r="S53"/>
  <c r="R53"/>
  <c r="Q53"/>
  <c r="S52"/>
  <c r="R52"/>
  <c r="Q52"/>
  <c r="S51"/>
  <c r="R51"/>
  <c r="Q51"/>
  <c r="S50"/>
  <c r="R50"/>
  <c r="Q50"/>
  <c r="N49"/>
  <c r="M49"/>
  <c r="L49"/>
  <c r="K49"/>
  <c r="J49"/>
  <c r="R49" s="1"/>
  <c r="G49"/>
  <c r="F49"/>
  <c r="E49"/>
  <c r="D49"/>
  <c r="J45"/>
  <c r="I45"/>
  <c r="H45"/>
  <c r="G45"/>
  <c r="F45"/>
  <c r="E45"/>
  <c r="D45"/>
  <c r="I44"/>
  <c r="M43"/>
  <c r="L43"/>
  <c r="E43"/>
  <c r="I42"/>
  <c r="I40"/>
  <c r="H40"/>
  <c r="G40"/>
  <c r="F40"/>
  <c r="E40"/>
  <c r="D40"/>
  <c r="G39"/>
  <c r="F39"/>
  <c r="J34"/>
  <c r="R25"/>
  <c r="Q25"/>
  <c r="J25"/>
  <c r="J46" s="1"/>
  <c r="I25"/>
  <c r="I46" s="1"/>
  <c r="H25"/>
  <c r="H46" s="1"/>
  <c r="G25"/>
  <c r="G46" s="1"/>
  <c r="F25"/>
  <c r="F46" s="1"/>
  <c r="E25"/>
  <c r="E46" s="1"/>
  <c r="D25"/>
  <c r="D46" s="1"/>
  <c r="S24"/>
  <c r="S45" s="1"/>
  <c r="Q24"/>
  <c r="Q45" s="1"/>
  <c r="N45"/>
  <c r="M45"/>
  <c r="L45"/>
  <c r="R24"/>
  <c r="R45" s="1"/>
  <c r="N44"/>
  <c r="M44"/>
  <c r="L44"/>
  <c r="K44"/>
  <c r="J23"/>
  <c r="J33" s="1"/>
  <c r="I23"/>
  <c r="H23"/>
  <c r="H44" s="1"/>
  <c r="G23"/>
  <c r="G44" s="1"/>
  <c r="F23"/>
  <c r="F44" s="1"/>
  <c r="E23"/>
  <c r="E44" s="1"/>
  <c r="D23"/>
  <c r="L22"/>
  <c r="K43"/>
  <c r="J22"/>
  <c r="J43" s="1"/>
  <c r="I22"/>
  <c r="I43" s="1"/>
  <c r="H22"/>
  <c r="H43" s="1"/>
  <c r="G22"/>
  <c r="G43" s="1"/>
  <c r="F22"/>
  <c r="E22"/>
  <c r="D22"/>
  <c r="S21"/>
  <c r="S42" s="1"/>
  <c r="R21"/>
  <c r="Q21"/>
  <c r="R20"/>
  <c r="R41" s="1"/>
  <c r="N41"/>
  <c r="M20"/>
  <c r="M41" s="1"/>
  <c r="L41"/>
  <c r="K41"/>
  <c r="J20"/>
  <c r="J30" s="1"/>
  <c r="I20"/>
  <c r="I41" s="1"/>
  <c r="H20"/>
  <c r="H30" s="1"/>
  <c r="G20"/>
  <c r="G41" s="1"/>
  <c r="F20"/>
  <c r="F41" s="1"/>
  <c r="E20"/>
  <c r="E41" s="1"/>
  <c r="D20"/>
  <c r="D41" s="1"/>
  <c r="Q19"/>
  <c r="Q40" s="1"/>
  <c r="M29"/>
  <c r="L40"/>
  <c r="K17"/>
  <c r="K38" s="1"/>
  <c r="J19"/>
  <c r="J40" s="1"/>
  <c r="N39"/>
  <c r="M39"/>
  <c r="L39"/>
  <c r="K39"/>
  <c r="J18"/>
  <c r="J28" s="1"/>
  <c r="I18"/>
  <c r="I39" s="1"/>
  <c r="H39"/>
  <c r="G18"/>
  <c r="E39"/>
  <c r="D39"/>
  <c r="J17"/>
  <c r="J38" s="1"/>
  <c r="D17"/>
  <c r="R15"/>
  <c r="I35"/>
  <c r="H35"/>
  <c r="G35"/>
  <c r="F35"/>
  <c r="E35"/>
  <c r="D35"/>
  <c r="N14"/>
  <c r="N67" s="1"/>
  <c r="M14"/>
  <c r="M67" s="1"/>
  <c r="L14"/>
  <c r="L67" s="1"/>
  <c r="K14"/>
  <c r="I34"/>
  <c r="H34"/>
  <c r="G34"/>
  <c r="F67"/>
  <c r="E67"/>
  <c r="N13"/>
  <c r="M13"/>
  <c r="L13"/>
  <c r="L33" s="1"/>
  <c r="K13"/>
  <c r="K33" s="1"/>
  <c r="I66"/>
  <c r="H66"/>
  <c r="G66"/>
  <c r="D33"/>
  <c r="N12"/>
  <c r="M12"/>
  <c r="M32" s="1"/>
  <c r="L12"/>
  <c r="L65" s="1"/>
  <c r="K12"/>
  <c r="K65" s="1"/>
  <c r="G65"/>
  <c r="F65"/>
  <c r="E65"/>
  <c r="D65"/>
  <c r="R11"/>
  <c r="I31"/>
  <c r="N10"/>
  <c r="N30" s="1"/>
  <c r="M10"/>
  <c r="M30" s="1"/>
  <c r="L10"/>
  <c r="L30" s="1"/>
  <c r="K10"/>
  <c r="I63"/>
  <c r="H63"/>
  <c r="G63"/>
  <c r="F30"/>
  <c r="E30"/>
  <c r="R9"/>
  <c r="N9"/>
  <c r="N62" s="1"/>
  <c r="M9"/>
  <c r="M62" s="1"/>
  <c r="L9"/>
  <c r="K9"/>
  <c r="K62" s="1"/>
  <c r="I62"/>
  <c r="H62"/>
  <c r="G62"/>
  <c r="F29"/>
  <c r="E62"/>
  <c r="N8"/>
  <c r="N28" s="1"/>
  <c r="M8"/>
  <c r="L8"/>
  <c r="L61" s="1"/>
  <c r="K8"/>
  <c r="K61" s="1"/>
  <c r="I28"/>
  <c r="F28"/>
  <c r="E28"/>
  <c r="D61"/>
  <c r="J7"/>
  <c r="R38" i="14"/>
  <c r="Q38"/>
  <c r="R37"/>
  <c r="Q37"/>
  <c r="R36"/>
  <c r="Q36"/>
  <c r="R35"/>
  <c r="Q35"/>
  <c r="R32"/>
  <c r="Q32"/>
  <c r="R31"/>
  <c r="Q31"/>
  <c r="R30"/>
  <c r="Q30"/>
  <c r="Q29"/>
  <c r="N29"/>
  <c r="M29"/>
  <c r="L29"/>
  <c r="K29"/>
  <c r="N26"/>
  <c r="M26"/>
  <c r="L26"/>
  <c r="K26"/>
  <c r="J26"/>
  <c r="I26"/>
  <c r="H26"/>
  <c r="G26"/>
  <c r="F26"/>
  <c r="E26"/>
  <c r="D26"/>
  <c r="N25"/>
  <c r="M25"/>
  <c r="L25"/>
  <c r="K25"/>
  <c r="J25"/>
  <c r="I25"/>
  <c r="H25"/>
  <c r="G25"/>
  <c r="F25"/>
  <c r="E25"/>
  <c r="D25"/>
  <c r="N21"/>
  <c r="M21"/>
  <c r="L21"/>
  <c r="K21"/>
  <c r="I21"/>
  <c r="H21"/>
  <c r="G21"/>
  <c r="F21"/>
  <c r="E21"/>
  <c r="D21"/>
  <c r="N20"/>
  <c r="M20"/>
  <c r="L20"/>
  <c r="K20"/>
  <c r="I20"/>
  <c r="H20"/>
  <c r="G20"/>
  <c r="F20"/>
  <c r="E20"/>
  <c r="D20"/>
  <c r="R17"/>
  <c r="Q17"/>
  <c r="R16"/>
  <c r="S16" s="1"/>
  <c r="Q16"/>
  <c r="R15"/>
  <c r="Q15"/>
  <c r="N14"/>
  <c r="M14"/>
  <c r="L14"/>
  <c r="K14"/>
  <c r="J14"/>
  <c r="J24" s="1"/>
  <c r="I14"/>
  <c r="I24" s="1"/>
  <c r="H14"/>
  <c r="H24" s="1"/>
  <c r="G14"/>
  <c r="F14"/>
  <c r="F24" s="1"/>
  <c r="E14"/>
  <c r="E24" s="1"/>
  <c r="D14"/>
  <c r="R12"/>
  <c r="Q12"/>
  <c r="R11"/>
  <c r="Q11"/>
  <c r="R10"/>
  <c r="Q10"/>
  <c r="Q20" s="1"/>
  <c r="N9"/>
  <c r="N41" s="1"/>
  <c r="M9"/>
  <c r="M41" s="1"/>
  <c r="L9"/>
  <c r="L41" s="1"/>
  <c r="K9"/>
  <c r="J9"/>
  <c r="J41" s="1"/>
  <c r="I9"/>
  <c r="I41" s="1"/>
  <c r="H9"/>
  <c r="H41" s="1"/>
  <c r="G9"/>
  <c r="G41" s="1"/>
  <c r="F9"/>
  <c r="F41" s="1"/>
  <c r="E9"/>
  <c r="E8" s="1"/>
  <c r="D9"/>
  <c r="D41" s="1"/>
  <c r="R37" i="11"/>
  <c r="Q37"/>
  <c r="R36"/>
  <c r="Q36"/>
  <c r="S36" s="1"/>
  <c r="R35"/>
  <c r="Q35"/>
  <c r="R33"/>
  <c r="Q33"/>
  <c r="R32"/>
  <c r="Q32"/>
  <c r="R31"/>
  <c r="Q31"/>
  <c r="S31" s="1"/>
  <c r="N30"/>
  <c r="M30"/>
  <c r="L30"/>
  <c r="K30"/>
  <c r="J30"/>
  <c r="R30" s="1"/>
  <c r="I30"/>
  <c r="H30"/>
  <c r="G30"/>
  <c r="F30"/>
  <c r="E30"/>
  <c r="E24" s="1"/>
  <c r="D30"/>
  <c r="Q30" s="1"/>
  <c r="N26"/>
  <c r="M26"/>
  <c r="L26"/>
  <c r="K26"/>
  <c r="J26"/>
  <c r="I26"/>
  <c r="H26"/>
  <c r="G26"/>
  <c r="F26"/>
  <c r="E26"/>
  <c r="D26"/>
  <c r="N25"/>
  <c r="M25"/>
  <c r="L25"/>
  <c r="K25"/>
  <c r="J25"/>
  <c r="I25"/>
  <c r="H25"/>
  <c r="G25"/>
  <c r="F25"/>
  <c r="E25"/>
  <c r="D25"/>
  <c r="N24"/>
  <c r="M24"/>
  <c r="G24"/>
  <c r="F24"/>
  <c r="N21"/>
  <c r="M21"/>
  <c r="L21"/>
  <c r="K21"/>
  <c r="J21"/>
  <c r="I21"/>
  <c r="H21"/>
  <c r="G21"/>
  <c r="F21"/>
  <c r="E21"/>
  <c r="D21"/>
  <c r="N20"/>
  <c r="M20"/>
  <c r="L20"/>
  <c r="K20"/>
  <c r="J20"/>
  <c r="I20"/>
  <c r="H20"/>
  <c r="G20"/>
  <c r="F20"/>
  <c r="E20"/>
  <c r="D20"/>
  <c r="R17"/>
  <c r="Q17"/>
  <c r="R16"/>
  <c r="Q16"/>
  <c r="R15"/>
  <c r="Q15"/>
  <c r="S15" s="1"/>
  <c r="N14"/>
  <c r="M14"/>
  <c r="L14"/>
  <c r="L24" s="1"/>
  <c r="K14"/>
  <c r="J14"/>
  <c r="R14" s="1"/>
  <c r="I14"/>
  <c r="I13" s="1"/>
  <c r="H14"/>
  <c r="H24" s="1"/>
  <c r="G14"/>
  <c r="F14"/>
  <c r="F13" s="1"/>
  <c r="E14"/>
  <c r="E13" s="1"/>
  <c r="D14"/>
  <c r="D24" s="1"/>
  <c r="H13"/>
  <c r="G13"/>
  <c r="R12"/>
  <c r="Q12"/>
  <c r="R11"/>
  <c r="Q11"/>
  <c r="Q21" s="1"/>
  <c r="R10"/>
  <c r="R20" s="1"/>
  <c r="Q10"/>
  <c r="N41"/>
  <c r="M9"/>
  <c r="M41" s="1"/>
  <c r="L9"/>
  <c r="L19" s="1"/>
  <c r="K9"/>
  <c r="K19" s="1"/>
  <c r="J9"/>
  <c r="R9" s="1"/>
  <c r="R41" s="1"/>
  <c r="I9"/>
  <c r="I19" s="1"/>
  <c r="H9"/>
  <c r="H41" s="1"/>
  <c r="G9"/>
  <c r="G41" s="1"/>
  <c r="F9"/>
  <c r="F41" s="1"/>
  <c r="E9"/>
  <c r="E41" s="1"/>
  <c r="D9"/>
  <c r="F8"/>
  <c r="E8"/>
  <c r="P10" i="12"/>
  <c r="P11"/>
  <c r="M35"/>
  <c r="L35"/>
  <c r="K35"/>
  <c r="J35"/>
  <c r="I35"/>
  <c r="H35"/>
  <c r="G35"/>
  <c r="F35"/>
  <c r="E35"/>
  <c r="D35"/>
  <c r="C35"/>
  <c r="M34"/>
  <c r="L34"/>
  <c r="K34"/>
  <c r="J34"/>
  <c r="I34"/>
  <c r="H34"/>
  <c r="G34"/>
  <c r="F34"/>
  <c r="E34"/>
  <c r="D34"/>
  <c r="C34"/>
  <c r="M31"/>
  <c r="L31"/>
  <c r="K31"/>
  <c r="J31"/>
  <c r="H31"/>
  <c r="H39" s="1"/>
  <c r="G31"/>
  <c r="G39" s="1"/>
  <c r="F31"/>
  <c r="F39" s="1"/>
  <c r="E31"/>
  <c r="E39" s="1"/>
  <c r="D31"/>
  <c r="D39" s="1"/>
  <c r="C31"/>
  <c r="M30"/>
  <c r="L30"/>
  <c r="K30"/>
  <c r="J30"/>
  <c r="H30"/>
  <c r="H38" s="1"/>
  <c r="G30"/>
  <c r="G38" s="1"/>
  <c r="F30"/>
  <c r="F38" s="1"/>
  <c r="E30"/>
  <c r="E38" s="1"/>
  <c r="D30"/>
  <c r="D38" s="1"/>
  <c r="C30"/>
  <c r="H21"/>
  <c r="H20"/>
  <c r="M16"/>
  <c r="L16"/>
  <c r="K16"/>
  <c r="J16"/>
  <c r="G16"/>
  <c r="F16"/>
  <c r="E16"/>
  <c r="E21" s="1"/>
  <c r="D16"/>
  <c r="D21" s="1"/>
  <c r="C16"/>
  <c r="M15"/>
  <c r="L15"/>
  <c r="K15"/>
  <c r="J15"/>
  <c r="G15"/>
  <c r="F15"/>
  <c r="E15"/>
  <c r="D15"/>
  <c r="C15"/>
  <c r="H14"/>
  <c r="M10"/>
  <c r="L10"/>
  <c r="K10"/>
  <c r="J10"/>
  <c r="H9"/>
  <c r="G9"/>
  <c r="F9"/>
  <c r="E9"/>
  <c r="D9"/>
  <c r="C9"/>
  <c r="F8"/>
  <c r="F7"/>
  <c r="E20" i="26" l="1"/>
  <c r="AB19" i="12"/>
  <c r="AH9"/>
  <c r="E32" i="26"/>
  <c r="E27" s="1"/>
  <c r="AE19" i="12"/>
  <c r="AE37"/>
  <c r="G12" i="26"/>
  <c r="F22"/>
  <c r="F10"/>
  <c r="F20" s="1"/>
  <c r="F40"/>
  <c r="E22"/>
  <c r="D20"/>
  <c r="AI9" i="12"/>
  <c r="G17" i="26"/>
  <c r="D15" i="31" s="1"/>
  <c r="D22" i="26"/>
  <c r="T14" i="12"/>
  <c r="T19" s="1"/>
  <c r="C16" i="26"/>
  <c r="X35" i="12"/>
  <c r="U31"/>
  <c r="V35" s="1"/>
  <c r="W35"/>
  <c r="Y35"/>
  <c r="Y39" s="1"/>
  <c r="Z35"/>
  <c r="C21"/>
  <c r="C39"/>
  <c r="F25"/>
  <c r="L38"/>
  <c r="E40" i="26"/>
  <c r="J33" i="12"/>
  <c r="S35" i="14"/>
  <c r="S17"/>
  <c r="R21" i="11"/>
  <c r="S35"/>
  <c r="I41"/>
  <c r="S17"/>
  <c r="J41"/>
  <c r="L41"/>
  <c r="Q22"/>
  <c r="J19"/>
  <c r="K24"/>
  <c r="J8"/>
  <c r="S33"/>
  <c r="S11"/>
  <c r="R22"/>
  <c r="D13"/>
  <c r="D19"/>
  <c r="D8"/>
  <c r="S10"/>
  <c r="S20" s="1"/>
  <c r="S16"/>
  <c r="S21" s="1"/>
  <c r="I24"/>
  <c r="S32"/>
  <c r="S37"/>
  <c r="Q15" i="12"/>
  <c r="Q16"/>
  <c r="M21"/>
  <c r="M14"/>
  <c r="K33"/>
  <c r="C33"/>
  <c r="J29"/>
  <c r="C29"/>
  <c r="C37" s="1"/>
  <c r="Q31"/>
  <c r="P35"/>
  <c r="Q34"/>
  <c r="E25"/>
  <c r="L33"/>
  <c r="Q35"/>
  <c r="R11"/>
  <c r="K29"/>
  <c r="J9"/>
  <c r="P9"/>
  <c r="R35"/>
  <c r="C34" i="31" s="1"/>
  <c r="R15" i="12"/>
  <c r="C14" i="31" s="1"/>
  <c r="Q10" i="12"/>
  <c r="P34"/>
  <c r="R10"/>
  <c r="C9" i="31" s="1"/>
  <c r="L29" i="12"/>
  <c r="R34"/>
  <c r="Q11"/>
  <c r="Q30"/>
  <c r="D32" i="26"/>
  <c r="T31" i="12"/>
  <c r="R35" i="23"/>
  <c r="P30" i="12"/>
  <c r="P38" s="1"/>
  <c r="R30"/>
  <c r="C29" i="31" s="1"/>
  <c r="P31" i="12"/>
  <c r="P15"/>
  <c r="P20" s="1"/>
  <c r="R16"/>
  <c r="C15" i="31" s="1"/>
  <c r="C20" s="1"/>
  <c r="P16" i="12"/>
  <c r="P21" s="1"/>
  <c r="R31"/>
  <c r="C30" i="31" s="1"/>
  <c r="K28" i="23"/>
  <c r="N7"/>
  <c r="N60" s="1"/>
  <c r="S11"/>
  <c r="L38"/>
  <c r="N29"/>
  <c r="E29"/>
  <c r="M7"/>
  <c r="M60" s="1"/>
  <c r="K29"/>
  <c r="M33"/>
  <c r="S22"/>
  <c r="S43" s="1"/>
  <c r="I17"/>
  <c r="I38" s="1"/>
  <c r="E32"/>
  <c r="H41"/>
  <c r="J44"/>
  <c r="S54"/>
  <c r="K66"/>
  <c r="R23"/>
  <c r="R44" s="1"/>
  <c r="Q54"/>
  <c r="L29"/>
  <c r="E33"/>
  <c r="N33"/>
  <c r="R14"/>
  <c r="R34" s="1"/>
  <c r="S49"/>
  <c r="E61"/>
  <c r="G67"/>
  <c r="K40"/>
  <c r="H65"/>
  <c r="F33"/>
  <c r="R13"/>
  <c r="F17"/>
  <c r="F38" s="1"/>
  <c r="N17"/>
  <c r="N38" s="1"/>
  <c r="Q22"/>
  <c r="N32"/>
  <c r="G33"/>
  <c r="F61"/>
  <c r="H67"/>
  <c r="S10"/>
  <c r="S63" s="1"/>
  <c r="R10"/>
  <c r="R30" s="1"/>
  <c r="I65"/>
  <c r="S14"/>
  <c r="Q23"/>
  <c r="D43"/>
  <c r="R29"/>
  <c r="H60"/>
  <c r="E60"/>
  <c r="G60"/>
  <c r="K7"/>
  <c r="S9"/>
  <c r="S62" s="1"/>
  <c r="S13"/>
  <c r="S66" s="1"/>
  <c r="E17"/>
  <c r="E38" s="1"/>
  <c r="M17"/>
  <c r="M38" s="1"/>
  <c r="Q18"/>
  <c r="Q39" s="1"/>
  <c r="S20"/>
  <c r="S41" s="1"/>
  <c r="R22"/>
  <c r="R43" s="1"/>
  <c r="S25"/>
  <c r="M28"/>
  <c r="G29"/>
  <c r="I30"/>
  <c r="G32"/>
  <c r="I33"/>
  <c r="K34"/>
  <c r="M40"/>
  <c r="J41"/>
  <c r="F43"/>
  <c r="N43"/>
  <c r="J60"/>
  <c r="G61"/>
  <c r="D62"/>
  <c r="L62"/>
  <c r="K63"/>
  <c r="D66"/>
  <c r="L66"/>
  <c r="I67"/>
  <c r="S15"/>
  <c r="D28"/>
  <c r="I60"/>
  <c r="L7"/>
  <c r="Q8"/>
  <c r="Q12"/>
  <c r="R18"/>
  <c r="R39" s="1"/>
  <c r="R19"/>
  <c r="R40" s="1"/>
  <c r="H29"/>
  <c r="H32"/>
  <c r="D34"/>
  <c r="L34"/>
  <c r="D38"/>
  <c r="N40"/>
  <c r="D44"/>
  <c r="Q49"/>
  <c r="H61"/>
  <c r="L63"/>
  <c r="E66"/>
  <c r="M66"/>
  <c r="Q20"/>
  <c r="S23"/>
  <c r="S44" s="1"/>
  <c r="L28"/>
  <c r="F32"/>
  <c r="R8"/>
  <c r="R12"/>
  <c r="G17"/>
  <c r="G38" s="1"/>
  <c r="S18"/>
  <c r="S39" s="1"/>
  <c r="S19"/>
  <c r="S40" s="1"/>
  <c r="G28"/>
  <c r="I29"/>
  <c r="K30"/>
  <c r="I32"/>
  <c r="E34"/>
  <c r="M34"/>
  <c r="J39"/>
  <c r="I61"/>
  <c r="F62"/>
  <c r="M63"/>
  <c r="F66"/>
  <c r="N66"/>
  <c r="K67"/>
  <c r="Q9"/>
  <c r="H33"/>
  <c r="S8"/>
  <c r="S61" s="1"/>
  <c r="Q10"/>
  <c r="Q63" s="1"/>
  <c r="S12"/>
  <c r="Q14"/>
  <c r="H17"/>
  <c r="H38" s="1"/>
  <c r="H28"/>
  <c r="J29"/>
  <c r="D30"/>
  <c r="J32"/>
  <c r="F34"/>
  <c r="N34"/>
  <c r="K45"/>
  <c r="F63"/>
  <c r="N63"/>
  <c r="D67"/>
  <c r="Q13"/>
  <c r="Q66" s="1"/>
  <c r="G30"/>
  <c r="Q11"/>
  <c r="Q31" s="1"/>
  <c r="Q15"/>
  <c r="Q35" s="1"/>
  <c r="K32"/>
  <c r="J27"/>
  <c r="D32"/>
  <c r="L32"/>
  <c r="J35"/>
  <c r="Q14" i="14"/>
  <c r="Q24" s="1"/>
  <c r="L24"/>
  <c r="Q21"/>
  <c r="D8"/>
  <c r="S31"/>
  <c r="S10"/>
  <c r="M24"/>
  <c r="S36"/>
  <c r="R21"/>
  <c r="F8"/>
  <c r="G8"/>
  <c r="S12"/>
  <c r="S15"/>
  <c r="S37"/>
  <c r="S32"/>
  <c r="S38"/>
  <c r="R14"/>
  <c r="J8"/>
  <c r="K19"/>
  <c r="K24"/>
  <c r="D19"/>
  <c r="M19"/>
  <c r="I8"/>
  <c r="R20"/>
  <c r="N24"/>
  <c r="R9"/>
  <c r="Q26"/>
  <c r="Q25"/>
  <c r="S30"/>
  <c r="Q9"/>
  <c r="S11"/>
  <c r="S21" s="1"/>
  <c r="L19"/>
  <c r="D24"/>
  <c r="H8"/>
  <c r="E19"/>
  <c r="N19"/>
  <c r="F19"/>
  <c r="G24"/>
  <c r="R29"/>
  <c r="E41"/>
  <c r="G19"/>
  <c r="H19"/>
  <c r="I19"/>
  <c r="R24" i="11"/>
  <c r="S30"/>
  <c r="Q24"/>
  <c r="H8"/>
  <c r="J13"/>
  <c r="Q9"/>
  <c r="I8"/>
  <c r="S12"/>
  <c r="S22" s="1"/>
  <c r="E19"/>
  <c r="M19"/>
  <c r="Q20"/>
  <c r="F19"/>
  <c r="N19"/>
  <c r="G8"/>
  <c r="G19"/>
  <c r="J24"/>
  <c r="Q14"/>
  <c r="S14" s="1"/>
  <c r="H19"/>
  <c r="R19"/>
  <c r="G14" i="12"/>
  <c r="G19" s="1"/>
  <c r="H26"/>
  <c r="J20"/>
  <c r="G33"/>
  <c r="E33"/>
  <c r="M33"/>
  <c r="F33"/>
  <c r="G20"/>
  <c r="K14"/>
  <c r="J21"/>
  <c r="H33"/>
  <c r="K21"/>
  <c r="K38"/>
  <c r="H19"/>
  <c r="J14"/>
  <c r="G26"/>
  <c r="G25"/>
  <c r="H29"/>
  <c r="H37" s="1"/>
  <c r="F20"/>
  <c r="C38"/>
  <c r="F27"/>
  <c r="J38"/>
  <c r="K20"/>
  <c r="M29"/>
  <c r="E14"/>
  <c r="E19" s="1"/>
  <c r="L20"/>
  <c r="F14"/>
  <c r="F19" s="1"/>
  <c r="M9"/>
  <c r="D33"/>
  <c r="C14"/>
  <c r="F21"/>
  <c r="L21"/>
  <c r="D14"/>
  <c r="D19" s="1"/>
  <c r="K9"/>
  <c r="L14"/>
  <c r="F26"/>
  <c r="F32"/>
  <c r="H25"/>
  <c r="L9"/>
  <c r="G21"/>
  <c r="C26"/>
  <c r="D26"/>
  <c r="D29"/>
  <c r="J39"/>
  <c r="F12"/>
  <c r="C20"/>
  <c r="C25"/>
  <c r="E26"/>
  <c r="E29"/>
  <c r="E37" s="1"/>
  <c r="M38"/>
  <c r="K39"/>
  <c r="D20"/>
  <c r="M20"/>
  <c r="D25"/>
  <c r="F29"/>
  <c r="L39"/>
  <c r="E20"/>
  <c r="G29"/>
  <c r="M39"/>
  <c r="Q9" l="1"/>
  <c r="G10" i="26"/>
  <c r="D8" i="31" s="1"/>
  <c r="D10"/>
  <c r="C38"/>
  <c r="C25"/>
  <c r="Q19" i="14"/>
  <c r="C24" i="31"/>
  <c r="C37"/>
  <c r="C19"/>
  <c r="G22" i="26"/>
  <c r="M19" i="12"/>
  <c r="C21" i="26"/>
  <c r="C15"/>
  <c r="C20" s="1"/>
  <c r="G16"/>
  <c r="D14" i="31" s="1"/>
  <c r="D19" s="1"/>
  <c r="G24" i="12"/>
  <c r="X39"/>
  <c r="T35"/>
  <c r="U35"/>
  <c r="W39"/>
  <c r="D36" i="26"/>
  <c r="Z39" i="12"/>
  <c r="E36" i="26"/>
  <c r="V39" i="12"/>
  <c r="M24"/>
  <c r="R21"/>
  <c r="S14" i="14"/>
  <c r="R19"/>
  <c r="F22" i="12"/>
  <c r="K37"/>
  <c r="K24"/>
  <c r="J24"/>
  <c r="Q26"/>
  <c r="Q39"/>
  <c r="Q20"/>
  <c r="Q25"/>
  <c r="R20"/>
  <c r="F23"/>
  <c r="Q29"/>
  <c r="R26"/>
  <c r="R25"/>
  <c r="H24"/>
  <c r="R33"/>
  <c r="Q21"/>
  <c r="L24"/>
  <c r="Q33"/>
  <c r="R39"/>
  <c r="P33"/>
  <c r="J19"/>
  <c r="J37"/>
  <c r="R9"/>
  <c r="C8" i="31" s="1"/>
  <c r="Q14" i="12"/>
  <c r="Q38"/>
  <c r="P26"/>
  <c r="D27" i="26"/>
  <c r="D40"/>
  <c r="C32"/>
  <c r="G32" s="1"/>
  <c r="D30" i="31" s="1"/>
  <c r="D25" s="1"/>
  <c r="N27" i="23"/>
  <c r="R33"/>
  <c r="Q17"/>
  <c r="Q38" s="1"/>
  <c r="R28"/>
  <c r="S32"/>
  <c r="S65"/>
  <c r="Q34"/>
  <c r="Q67"/>
  <c r="Q32"/>
  <c r="Q65"/>
  <c r="S31"/>
  <c r="S64"/>
  <c r="Q28"/>
  <c r="Q61"/>
  <c r="S34"/>
  <c r="S67"/>
  <c r="Q29"/>
  <c r="Q62"/>
  <c r="R38" i="12"/>
  <c r="F24"/>
  <c r="C24"/>
  <c r="R14"/>
  <c r="C13" i="31" s="1"/>
  <c r="P14" i="12"/>
  <c r="P19" s="1"/>
  <c r="P25"/>
  <c r="P39"/>
  <c r="R29"/>
  <c r="C28" i="31" s="1"/>
  <c r="P29" i="12"/>
  <c r="G27" i="23"/>
  <c r="S30"/>
  <c r="M27"/>
  <c r="S17"/>
  <c r="S38" s="1"/>
  <c r="I27"/>
  <c r="Q33"/>
  <c r="K60"/>
  <c r="K27"/>
  <c r="S7"/>
  <c r="S60" s="1"/>
  <c r="D60"/>
  <c r="D27"/>
  <c r="H27"/>
  <c r="L60"/>
  <c r="L27"/>
  <c r="R32"/>
  <c r="R7"/>
  <c r="R60" s="1"/>
  <c r="Q30"/>
  <c r="S35"/>
  <c r="E27"/>
  <c r="R17"/>
  <c r="R38" s="1"/>
  <c r="S28"/>
  <c r="S33"/>
  <c r="F60"/>
  <c r="F27"/>
  <c r="S29"/>
  <c r="R24" i="14"/>
  <c r="S20"/>
  <c r="R43"/>
  <c r="Q43"/>
  <c r="S9"/>
  <c r="S29"/>
  <c r="S24" s="1"/>
  <c r="Q41" i="11"/>
  <c r="Q19"/>
  <c r="S9"/>
  <c r="S24"/>
  <c r="F37" i="12"/>
  <c r="D24"/>
  <c r="M37"/>
  <c r="C19"/>
  <c r="E24"/>
  <c r="K19"/>
  <c r="L37"/>
  <c r="L19"/>
  <c r="D37"/>
  <c r="G37"/>
  <c r="D20" i="31" l="1"/>
  <c r="D38"/>
  <c r="C23"/>
  <c r="S19" i="14"/>
  <c r="C33" i="31"/>
  <c r="C32"/>
  <c r="C18"/>
  <c r="C36"/>
  <c r="G21" i="26"/>
  <c r="G15"/>
  <c r="U39" i="12"/>
  <c r="C36" i="26"/>
  <c r="T39" i="12"/>
  <c r="Q24"/>
  <c r="R37"/>
  <c r="Q19"/>
  <c r="Q37"/>
  <c r="C27" i="26"/>
  <c r="C40"/>
  <c r="Q27" i="23"/>
  <c r="R24" i="12"/>
  <c r="R19"/>
  <c r="P24"/>
  <c r="P37"/>
  <c r="S27" i="23"/>
  <c r="R27"/>
  <c r="S43" i="14"/>
  <c r="S41" i="11"/>
  <c r="S19"/>
  <c r="G20" i="26" l="1"/>
  <c r="D13" i="31"/>
  <c r="D18" s="1"/>
  <c r="G36" i="26"/>
  <c r="D34" i="31" s="1"/>
  <c r="G27" i="26"/>
  <c r="G40"/>
  <c r="AJ57" i="23" l="1"/>
  <c r="AI57"/>
  <c r="AH57"/>
  <c r="AJ56"/>
  <c r="AI56"/>
  <c r="AH56"/>
  <c r="AJ55"/>
  <c r="AI55"/>
  <c r="AH55"/>
  <c r="AI54"/>
  <c r="AJ53"/>
  <c r="AI53"/>
  <c r="AH53"/>
  <c r="AJ52"/>
  <c r="AI52"/>
  <c r="AH52"/>
  <c r="AJ51"/>
  <c r="AI51"/>
  <c r="AH51"/>
  <c r="AJ50"/>
  <c r="AI50"/>
  <c r="AH50"/>
  <c r="AH24"/>
  <c r="AJ21"/>
  <c r="AI21"/>
  <c r="AH21"/>
  <c r="AH19"/>
  <c r="AI11"/>
  <c r="AI15"/>
  <c r="AI31" l="1"/>
  <c r="V40"/>
  <c r="W40"/>
  <c r="X40"/>
  <c r="Y40"/>
  <c r="Z40"/>
  <c r="Z42"/>
  <c r="V45"/>
  <c r="W45"/>
  <c r="X45"/>
  <c r="Y45"/>
  <c r="Z45"/>
  <c r="AA45"/>
  <c r="Z46"/>
  <c r="U45"/>
  <c r="U40"/>
  <c r="AA34"/>
  <c r="AA61"/>
  <c r="AA62"/>
  <c r="AA63"/>
  <c r="AA64"/>
  <c r="AA65"/>
  <c r="AA66"/>
  <c r="AA67"/>
  <c r="Z54"/>
  <c r="Z49" s="1"/>
  <c r="Y54"/>
  <c r="X54"/>
  <c r="X49" s="1"/>
  <c r="W54"/>
  <c r="V54"/>
  <c r="V49" s="1"/>
  <c r="U54"/>
  <c r="AE49"/>
  <c r="AD49"/>
  <c r="AC49"/>
  <c r="AB49"/>
  <c r="AA49"/>
  <c r="AA25"/>
  <c r="AI25" s="1"/>
  <c r="AI35" s="1"/>
  <c r="Z25"/>
  <c r="Y25"/>
  <c r="Y46" s="1"/>
  <c r="X25"/>
  <c r="X46" s="1"/>
  <c r="W25"/>
  <c r="W46" s="1"/>
  <c r="V25"/>
  <c r="V46" s="1"/>
  <c r="U25"/>
  <c r="U46" s="1"/>
  <c r="AE24"/>
  <c r="AE45" s="1"/>
  <c r="AD24"/>
  <c r="AD45" s="1"/>
  <c r="AC24"/>
  <c r="AC45" s="1"/>
  <c r="AB24"/>
  <c r="AB45" s="1"/>
  <c r="AE23"/>
  <c r="AE44" s="1"/>
  <c r="AD23"/>
  <c r="AD44" s="1"/>
  <c r="AC23"/>
  <c r="AC44" s="1"/>
  <c r="AB23"/>
  <c r="AB44" s="1"/>
  <c r="AA23"/>
  <c r="AA33" s="1"/>
  <c r="Z23"/>
  <c r="Z44" s="1"/>
  <c r="Y23"/>
  <c r="Y44" s="1"/>
  <c r="X23"/>
  <c r="X44" s="1"/>
  <c r="W23"/>
  <c r="W44" s="1"/>
  <c r="V23"/>
  <c r="V44" s="1"/>
  <c r="U23"/>
  <c r="AE22"/>
  <c r="AE43" s="1"/>
  <c r="AD22"/>
  <c r="AD43" s="1"/>
  <c r="AC22"/>
  <c r="AC43" s="1"/>
  <c r="AB22"/>
  <c r="AB43" s="1"/>
  <c r="AA22"/>
  <c r="Z22"/>
  <c r="Y22"/>
  <c r="X22"/>
  <c r="W22"/>
  <c r="V22"/>
  <c r="U22"/>
  <c r="AE20"/>
  <c r="AE41" s="1"/>
  <c r="AD20"/>
  <c r="AD41" s="1"/>
  <c r="AC20"/>
  <c r="AC41" s="1"/>
  <c r="AB20"/>
  <c r="AA20"/>
  <c r="Z20"/>
  <c r="Z41" s="1"/>
  <c r="Y20"/>
  <c r="Y41" s="1"/>
  <c r="X20"/>
  <c r="X41" s="1"/>
  <c r="W20"/>
  <c r="W41" s="1"/>
  <c r="V20"/>
  <c r="V41" s="1"/>
  <c r="U20"/>
  <c r="AE19"/>
  <c r="AE40" s="1"/>
  <c r="AD19"/>
  <c r="AD40" s="1"/>
  <c r="AC19"/>
  <c r="AC40" s="1"/>
  <c r="AB19"/>
  <c r="AB40" s="1"/>
  <c r="AA19"/>
  <c r="AA40" s="1"/>
  <c r="AE18"/>
  <c r="AE39" s="1"/>
  <c r="AD18"/>
  <c r="AD39" s="1"/>
  <c r="AC18"/>
  <c r="AC39" s="1"/>
  <c r="AB18"/>
  <c r="AB39" s="1"/>
  <c r="AA18"/>
  <c r="Z18"/>
  <c r="Z39" s="1"/>
  <c r="Y18"/>
  <c r="Y39" s="1"/>
  <c r="X18"/>
  <c r="X39" s="1"/>
  <c r="W18"/>
  <c r="W39" s="1"/>
  <c r="V18"/>
  <c r="V39" s="1"/>
  <c r="U18"/>
  <c r="Z15"/>
  <c r="Y15"/>
  <c r="X15"/>
  <c r="W15"/>
  <c r="V15"/>
  <c r="U15"/>
  <c r="AE14"/>
  <c r="AD14"/>
  <c r="AC14"/>
  <c r="AB14"/>
  <c r="Z14"/>
  <c r="Z67" s="1"/>
  <c r="Y14"/>
  <c r="Y67" s="1"/>
  <c r="X14"/>
  <c r="X67" s="1"/>
  <c r="W14"/>
  <c r="W67" s="1"/>
  <c r="V14"/>
  <c r="V67" s="1"/>
  <c r="U14"/>
  <c r="U67" s="1"/>
  <c r="AE13"/>
  <c r="AD13"/>
  <c r="AD66" s="1"/>
  <c r="AC13"/>
  <c r="AB13"/>
  <c r="AB33" s="1"/>
  <c r="Z13"/>
  <c r="Z66" s="1"/>
  <c r="Y13"/>
  <c r="Y66" s="1"/>
  <c r="X13"/>
  <c r="X33" s="1"/>
  <c r="W13"/>
  <c r="W33" s="1"/>
  <c r="V13"/>
  <c r="V66" s="1"/>
  <c r="U13"/>
  <c r="AE12"/>
  <c r="AE65" s="1"/>
  <c r="AD12"/>
  <c r="AD65" s="1"/>
  <c r="AC12"/>
  <c r="AC65" s="1"/>
  <c r="AB12"/>
  <c r="AB32" s="1"/>
  <c r="Z12"/>
  <c r="Y12"/>
  <c r="X12"/>
  <c r="W12"/>
  <c r="V12"/>
  <c r="U12"/>
  <c r="Z11"/>
  <c r="Z31" s="1"/>
  <c r="Y11"/>
  <c r="X11"/>
  <c r="W11"/>
  <c r="V11"/>
  <c r="U11"/>
  <c r="AE10"/>
  <c r="AD10"/>
  <c r="AD63" s="1"/>
  <c r="AC10"/>
  <c r="AC63" s="1"/>
  <c r="AB10"/>
  <c r="AB63" s="1"/>
  <c r="Z10"/>
  <c r="Z63" s="1"/>
  <c r="Y10"/>
  <c r="X10"/>
  <c r="X63" s="1"/>
  <c r="W10"/>
  <c r="V10"/>
  <c r="U10"/>
  <c r="AE9"/>
  <c r="AD9"/>
  <c r="AC9"/>
  <c r="AB9"/>
  <c r="Z9"/>
  <c r="Z62" s="1"/>
  <c r="Y9"/>
  <c r="Y62" s="1"/>
  <c r="X9"/>
  <c r="X29" s="1"/>
  <c r="W9"/>
  <c r="W29" s="1"/>
  <c r="V9"/>
  <c r="V29" s="1"/>
  <c r="U9"/>
  <c r="U62" s="1"/>
  <c r="AE8"/>
  <c r="AE28" s="1"/>
  <c r="AD8"/>
  <c r="AC8"/>
  <c r="AB8"/>
  <c r="Z8"/>
  <c r="Z28" s="1"/>
  <c r="Y8"/>
  <c r="Y28" s="1"/>
  <c r="X8"/>
  <c r="X28" s="1"/>
  <c r="W8"/>
  <c r="W61" s="1"/>
  <c r="V8"/>
  <c r="V61" s="1"/>
  <c r="U8"/>
  <c r="AA7"/>
  <c r="AH35" i="11"/>
  <c r="AD28" i="23" l="1"/>
  <c r="AE30"/>
  <c r="V65"/>
  <c r="W43"/>
  <c r="AI8"/>
  <c r="W30"/>
  <c r="AI14"/>
  <c r="Y35"/>
  <c r="AI18"/>
  <c r="AI20"/>
  <c r="AC28"/>
  <c r="AE33"/>
  <c r="AC34"/>
  <c r="Z35"/>
  <c r="AB30"/>
  <c r="AE61"/>
  <c r="AA35"/>
  <c r="AD34"/>
  <c r="AI9"/>
  <c r="U43"/>
  <c r="W65"/>
  <c r="AC32"/>
  <c r="AC30"/>
  <c r="AI49"/>
  <c r="AA29"/>
  <c r="V30"/>
  <c r="AC33"/>
  <c r="X35"/>
  <c r="Y43"/>
  <c r="AD32"/>
  <c r="AE66"/>
  <c r="AC29"/>
  <c r="Y30"/>
  <c r="Z32"/>
  <c r="AE34"/>
  <c r="AD29"/>
  <c r="U35"/>
  <c r="AB65"/>
  <c r="AE29"/>
  <c r="AH25"/>
  <c r="AJ25"/>
  <c r="Y49"/>
  <c r="W62"/>
  <c r="AE32"/>
  <c r="AD30"/>
  <c r="AB29"/>
  <c r="AA46"/>
  <c r="AB41"/>
  <c r="AJ18"/>
  <c r="AH18"/>
  <c r="AJ20"/>
  <c r="AH20"/>
  <c r="AC66"/>
  <c r="Z65"/>
  <c r="AE62"/>
  <c r="AD61"/>
  <c r="AD33"/>
  <c r="AA30"/>
  <c r="V43"/>
  <c r="AI22"/>
  <c r="AI24"/>
  <c r="AJ24"/>
  <c r="AE67"/>
  <c r="AB66"/>
  <c r="AD62"/>
  <c r="AC61"/>
  <c r="AA32"/>
  <c r="Z30"/>
  <c r="U41"/>
  <c r="AA44"/>
  <c r="Z34"/>
  <c r="X43"/>
  <c r="X65"/>
  <c r="AI10"/>
  <c r="AI30" s="1"/>
  <c r="AI12"/>
  <c r="AD67"/>
  <c r="AE63"/>
  <c r="AC62"/>
  <c r="AB61"/>
  <c r="X32"/>
  <c r="AB28"/>
  <c r="AA39"/>
  <c r="AJ23"/>
  <c r="AH23"/>
  <c r="U44"/>
  <c r="Y32"/>
  <c r="V35"/>
  <c r="AJ19"/>
  <c r="AI19"/>
  <c r="AJ22"/>
  <c r="AH22"/>
  <c r="U49"/>
  <c r="AJ54"/>
  <c r="AH54"/>
  <c r="AC67"/>
  <c r="AB62"/>
  <c r="V32"/>
  <c r="AA28"/>
  <c r="U39"/>
  <c r="AA43"/>
  <c r="AA41"/>
  <c r="W63"/>
  <c r="AI13"/>
  <c r="W35"/>
  <c r="AI23"/>
  <c r="AB67"/>
  <c r="Z61"/>
  <c r="AB34"/>
  <c r="V33"/>
  <c r="W28"/>
  <c r="Z43"/>
  <c r="Y61"/>
  <c r="Z33"/>
  <c r="AJ11"/>
  <c r="AJ31" s="1"/>
  <c r="AH11"/>
  <c r="AH31" s="1"/>
  <c r="X66"/>
  <c r="X34"/>
  <c r="V62"/>
  <c r="X61"/>
  <c r="Y34"/>
  <c r="U66"/>
  <c r="AH13"/>
  <c r="AJ13"/>
  <c r="AA60"/>
  <c r="W66"/>
  <c r="U34"/>
  <c r="V28"/>
  <c r="AH10"/>
  <c r="AJ10"/>
  <c r="AJ30" s="1"/>
  <c r="U65"/>
  <c r="AH12"/>
  <c r="AJ12"/>
  <c r="U28"/>
  <c r="AJ8"/>
  <c r="AJ28" s="1"/>
  <c r="AH8"/>
  <c r="AH28" s="1"/>
  <c r="AH14"/>
  <c r="AH34" s="1"/>
  <c r="AJ14"/>
  <c r="U32"/>
  <c r="U30"/>
  <c r="U29"/>
  <c r="AH9"/>
  <c r="AH29" s="1"/>
  <c r="AJ9"/>
  <c r="AJ15"/>
  <c r="AH15"/>
  <c r="X62"/>
  <c r="W32"/>
  <c r="Y65"/>
  <c r="U33"/>
  <c r="X30"/>
  <c r="Z29"/>
  <c r="Y29"/>
  <c r="W34"/>
  <c r="Y33"/>
  <c r="Y63"/>
  <c r="U61"/>
  <c r="V34"/>
  <c r="AG35" i="12"/>
  <c r="U17" i="23"/>
  <c r="X17"/>
  <c r="X38" s="1"/>
  <c r="AA17"/>
  <c r="AB7"/>
  <c r="AB17"/>
  <c r="AB38" s="1"/>
  <c r="Y17"/>
  <c r="AC17"/>
  <c r="AC38" s="1"/>
  <c r="Z17"/>
  <c r="Z38" s="1"/>
  <c r="W49"/>
  <c r="AE7"/>
  <c r="AC7"/>
  <c r="V17"/>
  <c r="V38" s="1"/>
  <c r="AD17"/>
  <c r="AD38" s="1"/>
  <c r="Y7"/>
  <c r="AD7"/>
  <c r="AE17"/>
  <c r="AE38" s="1"/>
  <c r="U7"/>
  <c r="Z7"/>
  <c r="W17"/>
  <c r="V7"/>
  <c r="W7"/>
  <c r="X7"/>
  <c r="AJ29" l="1"/>
  <c r="AI34"/>
  <c r="AI28"/>
  <c r="AJ35"/>
  <c r="AJ34"/>
  <c r="AI29"/>
  <c r="AH30"/>
  <c r="AH32"/>
  <c r="AI32"/>
  <c r="AH33"/>
  <c r="AI7"/>
  <c r="AI17"/>
  <c r="AJ49"/>
  <c r="AH49"/>
  <c r="U38"/>
  <c r="W38"/>
  <c r="AJ32"/>
  <c r="AA38"/>
  <c r="Y38"/>
  <c r="AH35"/>
  <c r="AH17"/>
  <c r="AJ17"/>
  <c r="AA27"/>
  <c r="AJ33"/>
  <c r="AI33"/>
  <c r="AH7"/>
  <c r="AJ7"/>
  <c r="Y27"/>
  <c r="Y60"/>
  <c r="V60"/>
  <c r="V27"/>
  <c r="AB60"/>
  <c r="AB27"/>
  <c r="AC27"/>
  <c r="AC60"/>
  <c r="Z27"/>
  <c r="Z60"/>
  <c r="AE60"/>
  <c r="AE27"/>
  <c r="AD27"/>
  <c r="AD60"/>
  <c r="X60"/>
  <c r="X27"/>
  <c r="W60"/>
  <c r="W27"/>
  <c r="U27"/>
  <c r="U60"/>
  <c r="F17" i="20"/>
  <c r="F18"/>
  <c r="F22"/>
  <c r="F32"/>
  <c r="F37"/>
  <c r="E22"/>
  <c r="E23"/>
  <c r="F23" s="1"/>
  <c r="E27"/>
  <c r="F27" s="1"/>
  <c r="E28"/>
  <c r="F28" s="1"/>
  <c r="E33"/>
  <c r="F33" s="1"/>
  <c r="E12"/>
  <c r="F12" s="1"/>
  <c r="E13"/>
  <c r="F13" s="1"/>
  <c r="AH30" i="11"/>
  <c r="AJ27" i="23" l="1"/>
  <c r="AH27"/>
  <c r="AI27"/>
  <c r="AH14" i="14"/>
  <c r="AG9" i="12"/>
  <c r="AH14" i="11"/>
  <c r="AH19" s="1"/>
  <c r="AG15" i="12"/>
  <c r="AG20" s="1"/>
  <c r="AG16"/>
  <c r="AG21" s="1"/>
  <c r="AG31"/>
  <c r="AH15" l="1"/>
  <c r="AI15"/>
  <c r="AJ9" i="14"/>
  <c r="AI14"/>
  <c r="AI16" i="12"/>
  <c r="AI21" s="1"/>
  <c r="AH16"/>
  <c r="AH21" s="1"/>
  <c r="AH19" i="14"/>
  <c r="AH24" i="11"/>
  <c r="AG39" i="12"/>
  <c r="AG26"/>
  <c r="AG14"/>
  <c r="AG19" s="1"/>
  <c r="AH20" l="1"/>
  <c r="AI20"/>
  <c r="AH14"/>
  <c r="AI14"/>
  <c r="AJ14" i="14"/>
  <c r="AJ19" s="1"/>
  <c r="AI19"/>
  <c r="AH41" i="11"/>
  <c r="E16" i="20"/>
  <c r="F16" s="1"/>
  <c r="G16" s="1"/>
  <c r="E10"/>
  <c r="F10" s="1"/>
  <c r="G10" s="1"/>
  <c r="E11"/>
  <c r="F11" s="1"/>
  <c r="G11" s="1"/>
  <c r="H31" s="1"/>
  <c r="AH19" i="12" l="1"/>
  <c r="AI19"/>
  <c r="E20" i="20"/>
  <c r="F20" s="1"/>
  <c r="E15"/>
  <c r="F15" s="1"/>
  <c r="G15" s="1"/>
  <c r="E30"/>
  <c r="F30" s="1"/>
  <c r="G30" s="1"/>
  <c r="E25"/>
  <c r="F25" s="1"/>
  <c r="E21"/>
  <c r="E35"/>
  <c r="F35" s="1"/>
  <c r="E9"/>
  <c r="F9" s="1"/>
  <c r="E31" l="1"/>
  <c r="E26" s="1"/>
  <c r="F26" s="1"/>
  <c r="E36"/>
  <c r="F36" s="1"/>
  <c r="E24"/>
  <c r="F24" s="1"/>
  <c r="F31" l="1"/>
  <c r="G31" s="1"/>
  <c r="E29"/>
  <c r="F29" s="1"/>
  <c r="E34"/>
  <c r="F34" s="1"/>
  <c r="AI14" i="11" l="1"/>
  <c r="AI19" s="1"/>
  <c r="AJ14" l="1"/>
  <c r="AJ19" s="1"/>
  <c r="F21" i="20" l="1"/>
  <c r="E14"/>
  <c r="F14" s="1"/>
  <c r="E19" l="1"/>
  <c r="F19" s="1"/>
  <c r="AI35" i="11" l="1"/>
  <c r="AJ35" s="1"/>
  <c r="AI30" l="1"/>
  <c r="AI24" s="1"/>
  <c r="AJ30" l="1"/>
  <c r="AJ41" s="1"/>
  <c r="AI41"/>
  <c r="AJ24" l="1"/>
  <c r="AH35" i="12" l="1"/>
  <c r="AI35"/>
  <c r="AI31"/>
  <c r="AI26" l="1"/>
  <c r="AI39"/>
  <c r="AH31"/>
  <c r="AH39" l="1"/>
  <c r="AH26"/>
  <c r="U29" i="14" l="1"/>
  <c r="T30" i="12" l="1"/>
  <c r="T34" s="1"/>
  <c r="U35" i="14"/>
  <c r="U41"/>
  <c r="T29" i="12" l="1"/>
  <c r="T37" s="1"/>
  <c r="T38"/>
  <c r="T33"/>
  <c r="Z29" i="14"/>
  <c r="W29"/>
  <c r="V30" i="12"/>
  <c r="AC29" i="14"/>
  <c r="Y29"/>
  <c r="AA29"/>
  <c r="AA41" s="1"/>
  <c r="AD29"/>
  <c r="AC30" i="12"/>
  <c r="AC38" s="1"/>
  <c r="AE29" i="14"/>
  <c r="AD30" i="12" s="1"/>
  <c r="X29" i="14"/>
  <c r="V29"/>
  <c r="AB29"/>
  <c r="AB41" s="1"/>
  <c r="AA30" i="12"/>
  <c r="AA29" s="1"/>
  <c r="AE34" l="1"/>
  <c r="AE33" s="1"/>
  <c r="AD29"/>
  <c r="AD37" s="1"/>
  <c r="AB30"/>
  <c r="AB34" s="1"/>
  <c r="AB33" s="1"/>
  <c r="AD35" i="14"/>
  <c r="AC41"/>
  <c r="AF35"/>
  <c r="AE41"/>
  <c r="AA35"/>
  <c r="Z41"/>
  <c r="X35"/>
  <c r="W41"/>
  <c r="Z35"/>
  <c r="Y41"/>
  <c r="AD38" i="12"/>
  <c r="AE35" i="14"/>
  <c r="AD41"/>
  <c r="AC35"/>
  <c r="V35"/>
  <c r="W35"/>
  <c r="V41"/>
  <c r="W30" i="12"/>
  <c r="X34" s="1"/>
  <c r="Y35" i="14"/>
  <c r="AH35" s="1"/>
  <c r="X41"/>
  <c r="X30" i="12"/>
  <c r="X29" s="1"/>
  <c r="X37" s="1"/>
  <c r="AB29"/>
  <c r="AB37" s="1"/>
  <c r="AB38"/>
  <c r="AC34"/>
  <c r="U30"/>
  <c r="Z30"/>
  <c r="AI29" i="14"/>
  <c r="AC29" i="12"/>
  <c r="AC37" s="1"/>
  <c r="V29"/>
  <c r="V37" s="1"/>
  <c r="AH29" i="14"/>
  <c r="AD34" i="12"/>
  <c r="AD33" s="1"/>
  <c r="Y30"/>
  <c r="F31" i="26"/>
  <c r="W34" i="12" l="1"/>
  <c r="W38" s="1"/>
  <c r="W29"/>
  <c r="W37" s="1"/>
  <c r="AI35" i="14"/>
  <c r="Y34" i="12"/>
  <c r="AJ35" i="14"/>
  <c r="AI24"/>
  <c r="AI41"/>
  <c r="Y29" i="12"/>
  <c r="Y37" s="1"/>
  <c r="Z34"/>
  <c r="AH30"/>
  <c r="E31" i="26"/>
  <c r="Z29" i="12"/>
  <c r="AI30"/>
  <c r="C31" i="26"/>
  <c r="AG30" i="12"/>
  <c r="U29"/>
  <c r="V34"/>
  <c r="U34"/>
  <c r="U33" s="1"/>
  <c r="AJ29" i="14"/>
  <c r="AH24"/>
  <c r="AH41"/>
  <c r="X38" i="12"/>
  <c r="X33"/>
  <c r="F35" i="26"/>
  <c r="F34" s="1"/>
  <c r="AC33" i="12"/>
  <c r="D31" i="26"/>
  <c r="F26"/>
  <c r="F39"/>
  <c r="F30"/>
  <c r="W33" i="12" l="1"/>
  <c r="D35" i="26"/>
  <c r="D34" s="1"/>
  <c r="Y38" i="12"/>
  <c r="Y33"/>
  <c r="AH38"/>
  <c r="AH25"/>
  <c r="V33"/>
  <c r="V38"/>
  <c r="C30" i="26"/>
  <c r="G31"/>
  <c r="D29" i="31" s="1"/>
  <c r="C26" i="26"/>
  <c r="C39"/>
  <c r="AJ24" i="14"/>
  <c r="AJ41"/>
  <c r="C35" i="26"/>
  <c r="U38" i="12"/>
  <c r="AG34"/>
  <c r="AI34"/>
  <c r="E35" i="26"/>
  <c r="E34" s="1"/>
  <c r="Z38" i="12"/>
  <c r="AH34"/>
  <c r="Z33"/>
  <c r="AH33" s="1"/>
  <c r="U37"/>
  <c r="AG29"/>
  <c r="AI29"/>
  <c r="AG25"/>
  <c r="AG38"/>
  <c r="F38" i="26"/>
  <c r="F25"/>
  <c r="AI25" i="12"/>
  <c r="AI38"/>
  <c r="E26" i="26"/>
  <c r="E39"/>
  <c r="E30"/>
  <c r="D39"/>
  <c r="D26"/>
  <c r="D30"/>
  <c r="AH29" i="12"/>
  <c r="Z37"/>
  <c r="D24" i="31" l="1"/>
  <c r="D37"/>
  <c r="G30" i="26"/>
  <c r="D28" i="31" s="1"/>
  <c r="G26" i="26"/>
  <c r="G39"/>
  <c r="C38"/>
  <c r="C25"/>
  <c r="AG33" i="12"/>
  <c r="AI33"/>
  <c r="C34" i="26"/>
  <c r="G35"/>
  <c r="AG24" i="12"/>
  <c r="AG37"/>
  <c r="AH37"/>
  <c r="AH24"/>
  <c r="D38" i="26"/>
  <c r="D25"/>
  <c r="E38"/>
  <c r="E25"/>
  <c r="AI37" i="12"/>
  <c r="AI24"/>
  <c r="G34" i="26" l="1"/>
  <c r="D32" i="31" s="1"/>
  <c r="D33"/>
  <c r="D23"/>
  <c r="D36"/>
  <c r="G25" i="26"/>
  <c r="G38"/>
</calcChain>
</file>

<file path=xl/sharedStrings.xml><?xml version="1.0" encoding="utf-8"?>
<sst xmlns="http://schemas.openxmlformats.org/spreadsheetml/2006/main" count="1055" uniqueCount="304">
  <si>
    <t>Aug-21</t>
  </si>
  <si>
    <t>Dec-21</t>
  </si>
  <si>
    <t>€k</t>
  </si>
  <si>
    <t>Actual</t>
  </si>
  <si>
    <t>Forecast</t>
  </si>
  <si>
    <t>H1</t>
  </si>
  <si>
    <t>H2</t>
  </si>
  <si>
    <t>FY22</t>
  </si>
  <si>
    <t>Jan-22</t>
  </si>
  <si>
    <t>Apr-22</t>
  </si>
  <si>
    <t>Aug-22</t>
  </si>
  <si>
    <t>Sep-22</t>
  </si>
  <si>
    <t>Dec-22</t>
  </si>
  <si>
    <t>Advertising expenses</t>
  </si>
  <si>
    <t>Advertising expenses - ELIMS</t>
  </si>
  <si>
    <t>Advertising expenses- CEL</t>
  </si>
  <si>
    <t># Leads</t>
  </si>
  <si>
    <t>LEADS - ELIMS</t>
  </si>
  <si>
    <t>LEADS= CEL</t>
  </si>
  <si>
    <t>CPL= COSTE/LEAD</t>
  </si>
  <si>
    <t>CPL -ELIMS</t>
  </si>
  <si>
    <t>CPL -CEL</t>
  </si>
  <si>
    <t>CR=Leads / Reservas</t>
  </si>
  <si>
    <t>Lead to appointment -ELIMS</t>
  </si>
  <si>
    <t>Lead to appointment -CEL</t>
  </si>
  <si>
    <t xml:space="preserve">Reservas </t>
  </si>
  <si>
    <t>Reservas -ELIMS</t>
  </si>
  <si>
    <t>Reservas -cel</t>
  </si>
  <si>
    <t>CPR= COSTE/RESERVA</t>
  </si>
  <si>
    <t>CPR -ELIMS</t>
  </si>
  <si>
    <t>CPR -CEL</t>
  </si>
  <si>
    <t>% a tratamiento - tratamientos</t>
  </si>
  <si>
    <t>facturación</t>
  </si>
  <si>
    <t>alternativa tratamientos</t>
  </si>
  <si>
    <t>alternativa reservas</t>
  </si>
  <si>
    <t xml:space="preserve"> Leads</t>
  </si>
  <si>
    <t>Advertising expenses- FB</t>
  </si>
  <si>
    <t>CPL -FB</t>
  </si>
  <si>
    <t>LEADS- FB</t>
  </si>
  <si>
    <t>Lead to appointment -FB</t>
  </si>
  <si>
    <t>Reservas -FB</t>
  </si>
  <si>
    <t>CPR -Google  (YT, Pmax, Display, PPC)</t>
  </si>
  <si>
    <t>Opción 3</t>
  </si>
  <si>
    <t>Reducción Gasto Elims</t>
  </si>
  <si>
    <t>Reducción Sin blanquemiento, campañas Elims en CEL, Bruxismo</t>
  </si>
  <si>
    <r>
      <t>H2 PLANNING</t>
    </r>
    <r>
      <rPr>
        <b/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1. El objetivo principal del forecast H2´22 es la consecución de reservas de manera coste eficiente, con un CPR al rededor de 150€
2. Se ha utilizado la historia data de Junio y Julio como base y se ha fluctuado el investment en función de:
     - Temporalidad de los diferentes meses de H2. Julio y Agosto son los meses con menos demanda y por ende menos inversión y reservas. La inversión irá aumentado desde el mes de Septiembre hasta noviembre, volviendo a tener un descenso en diciembre con las Navidades.
     - Se ha tenido en cuenta que a partir del mes de Sept la competencia será más agresiva y por lo tanto se esperan aumentos en de los CPCs en Google y CPMs en FB, lo que conlleva a una mayor inversión.
3. A nivel de canales de digital;</t>
    </r>
    <r>
      <rPr>
        <u/>
        <sz val="10"/>
        <color rgb="FF000000"/>
        <rFont val="Calibri"/>
        <family val="2"/>
      </rPr>
      <t>solo se tendrá presencia en SEM y FB</t>
    </r>
    <r>
      <rPr>
        <sz val="10"/>
        <color rgb="FF000000"/>
        <rFont val="Calibri"/>
        <family val="2"/>
      </rPr>
      <t xml:space="preserve"> en Q3&amp;Q4  con el objetivo de mitigar el CPR y asentar la parte de abajo del funnel.
4. El cálculo de investment y leads ha tenido en cuenta 
- La NO creación de campañas de Bruxismo 
- PAUSA de campañas de blanqueamiento
- Pausa de campañas CEL en Google Elims
</t>
    </r>
  </si>
  <si>
    <t>CEL</t>
  </si>
  <si>
    <t>Advertising expenses- TIKTOK</t>
  </si>
  <si>
    <t>LEADS- TIKTOK</t>
  </si>
  <si>
    <t>CPL -TIKTOK</t>
  </si>
  <si>
    <t>Lead to appointment -TIKTOK</t>
  </si>
  <si>
    <t>Reservas -TIKTOK</t>
  </si>
  <si>
    <t>CPR -TIKTOK</t>
  </si>
  <si>
    <t>CPR -FB</t>
  </si>
  <si>
    <t>Reservas- Fecha Creación</t>
  </si>
  <si>
    <t>Reservas- Fecha Visita</t>
  </si>
  <si>
    <t>Funnel | ELIMS Group</t>
  </si>
  <si>
    <t>Elims</t>
  </si>
  <si>
    <t>Advertising expenses - Barcelona</t>
  </si>
  <si>
    <t>Advertising expenses - Madrid-Princesa</t>
  </si>
  <si>
    <t>Advertising expenses - Málaga Marbella</t>
  </si>
  <si>
    <t>Advertising expenses - ZGZ</t>
  </si>
  <si>
    <t>Advertising expenses - Alicante</t>
  </si>
  <si>
    <t>Advertising expenses - Goya</t>
  </si>
  <si>
    <t>Both</t>
  </si>
  <si>
    <t>Advertising expenses - Otras</t>
  </si>
  <si>
    <t>LEADS - Barcelona</t>
  </si>
  <si>
    <t>LEADS= ZGZ</t>
  </si>
  <si>
    <t>LEADS= Murcia-Cartegana</t>
  </si>
  <si>
    <t>LEADS= Alicante</t>
  </si>
  <si>
    <t>LEADS= Goya</t>
  </si>
  <si>
    <t>LEADS= Otras</t>
  </si>
  <si>
    <t>CPL -Barcelona</t>
  </si>
  <si>
    <t>CPL - Málaga Marbella</t>
  </si>
  <si>
    <t>CPL - ZGZ</t>
  </si>
  <si>
    <t>CPL - Murcia-Cartegana</t>
  </si>
  <si>
    <t>CPL -Alicante</t>
  </si>
  <si>
    <t>CPL - Goya</t>
  </si>
  <si>
    <t>CPL - Otras</t>
  </si>
  <si>
    <t>Lead to appointment -Barcelona</t>
  </si>
  <si>
    <t>Lead to appointment - Málaga Marbella</t>
  </si>
  <si>
    <t>Lead to appointment - Murcia-Cartegana</t>
  </si>
  <si>
    <t>Lead to appointment -Alicante</t>
  </si>
  <si>
    <t>Lead to appointment - Goya</t>
  </si>
  <si>
    <t>Reservas -Barcelona</t>
  </si>
  <si>
    <t>Reservas - Málaga Marbella</t>
  </si>
  <si>
    <t>CPR -Barcelona</t>
  </si>
  <si>
    <t>CPR - Málaga Marbella</t>
  </si>
  <si>
    <t>LEADS -  Málaga Marbella</t>
  </si>
  <si>
    <t>Lead to appointment -  ZGZ</t>
  </si>
  <si>
    <t>Lead to appointment -  Otras</t>
  </si>
  <si>
    <t>Reservas -  ZGZ</t>
  </si>
  <si>
    <t>Reservas -  Murcia-Cartegana</t>
  </si>
  <si>
    <t>Reservas -  Alicante</t>
  </si>
  <si>
    <t>Reservas -  Goya</t>
  </si>
  <si>
    <t>Reservas -  Otras</t>
  </si>
  <si>
    <t>CPR -  ZGZ</t>
  </si>
  <si>
    <t>CPR -  Murcia-Cartegana</t>
  </si>
  <si>
    <t>CPR -  Alicante</t>
  </si>
  <si>
    <t>CPR -  Goya</t>
  </si>
  <si>
    <t>CPR -  Otras</t>
  </si>
  <si>
    <t>LEADS</t>
  </si>
  <si>
    <t xml:space="preserve">CEL MK Funnel </t>
  </si>
  <si>
    <t xml:space="preserve">ELIMS MK Funnel </t>
  </si>
  <si>
    <t>Leads</t>
  </si>
  <si>
    <t>LEADS - Google ( PPC)</t>
  </si>
  <si>
    <t>CPL - Google  ( PPC)</t>
  </si>
  <si>
    <t>Lead to appointment -Google  ( PPC)</t>
  </si>
  <si>
    <t>Reservas -Google (PPC)</t>
  </si>
  <si>
    <t>Reservas -Google  PPC)</t>
  </si>
  <si>
    <t>CPR -Google  ( PPC)</t>
  </si>
  <si>
    <t>Jan-23</t>
  </si>
  <si>
    <t>Apr-23</t>
  </si>
  <si>
    <t>Aug-23</t>
  </si>
  <si>
    <t>Dec-23</t>
  </si>
  <si>
    <t>FY23</t>
  </si>
  <si>
    <t>LEADS - Google  (PPC)</t>
  </si>
  <si>
    <t>Lead to appointment -Google  (PPC)</t>
  </si>
  <si>
    <t>Reservas -Google  (PPC)</t>
  </si>
  <si>
    <t>LEADS=Madrid Princesa</t>
  </si>
  <si>
    <t>CPL -Madrid Princesa</t>
  </si>
  <si>
    <t>Lead to appointment -Madrid Princesa</t>
  </si>
  <si>
    <t>Reservas -Madrid Princesa</t>
  </si>
  <si>
    <t>CPR -Madrid Princesa</t>
  </si>
  <si>
    <t>Advertising expenses - Murcia-Cartagena</t>
  </si>
  <si>
    <t>Q1</t>
  </si>
  <si>
    <t>Q2</t>
  </si>
  <si>
    <t>Nacionalidad</t>
  </si>
  <si>
    <t xml:space="preserve">Pacientes </t>
  </si>
  <si>
    <t>Porcentaje</t>
  </si>
  <si>
    <t>española</t>
  </si>
  <si>
    <t>no española</t>
  </si>
  <si>
    <t>(blank)</t>
  </si>
  <si>
    <t>TOTAL</t>
  </si>
  <si>
    <t>Sexo</t>
  </si>
  <si>
    <t>Femenino</t>
  </si>
  <si>
    <t>Masculino</t>
  </si>
  <si>
    <t>Región</t>
  </si>
  <si>
    <t>Pacientes</t>
  </si>
  <si>
    <t>Alicante</t>
  </si>
  <si>
    <t>Andalucía</t>
  </si>
  <si>
    <t>Cataluña</t>
  </si>
  <si>
    <t>Madrid</t>
  </si>
  <si>
    <t>Murcia</t>
  </si>
  <si>
    <t>Datos de junio-Noviembre 2022</t>
  </si>
  <si>
    <t>Edad media</t>
  </si>
  <si>
    <t>Picos de edad</t>
  </si>
  <si>
    <t>27,29,42</t>
  </si>
  <si>
    <t>Q3</t>
  </si>
  <si>
    <t>Q4</t>
  </si>
  <si>
    <t>Total</t>
  </si>
  <si>
    <t>Advertising expenses - Google  (ppc)</t>
  </si>
  <si>
    <t>Advertising expenses - Google  (YT,Display)- awareness</t>
  </si>
  <si>
    <t>Advertising expenses - MURCIA</t>
  </si>
  <si>
    <t>Advertising expenses- ALICANTE</t>
  </si>
  <si>
    <t>Advertising expenses- CARTAGENA</t>
  </si>
  <si>
    <t>Advertising expenses- GOYA</t>
  </si>
  <si>
    <t>Advertising expenses- DIAGONAL</t>
  </si>
  <si>
    <t>Advertising expenses- PRINCESA</t>
  </si>
  <si>
    <t>Advertising expenses- MÁLAGA</t>
  </si>
  <si>
    <t>Advertising expenses- MARBELLA</t>
  </si>
  <si>
    <t>Advertising expenses- GRACIA</t>
  </si>
  <si>
    <t>Leads (APROX)</t>
  </si>
  <si>
    <t>LEADS - MURCIA</t>
  </si>
  <si>
    <t>LEADS - ALICANTE</t>
  </si>
  <si>
    <t>LEADS - CARTAGENA</t>
  </si>
  <si>
    <t>LEADS - GOYA</t>
  </si>
  <si>
    <t>LEADS - BCN</t>
  </si>
  <si>
    <t>LEADS - PRINCESA</t>
  </si>
  <si>
    <t>LEADS - MÁLAGA</t>
  </si>
  <si>
    <t>LEADS - MARBELLA</t>
  </si>
  <si>
    <t>CPL - MURCIA</t>
  </si>
  <si>
    <t>CPL - ALICANTE</t>
  </si>
  <si>
    <t>CPL - CARTAGENA</t>
  </si>
  <si>
    <t>CPL - GOYA</t>
  </si>
  <si>
    <t>CPL - BCN</t>
  </si>
  <si>
    <t>CPL - PRINCESA</t>
  </si>
  <si>
    <t>CPL - MÁLAGA</t>
  </si>
  <si>
    <t>CPL - MARBELLA</t>
  </si>
  <si>
    <t>CR - MURCIA</t>
  </si>
  <si>
    <t>CR - ALICANTE</t>
  </si>
  <si>
    <t>CR - CARTAGENA</t>
  </si>
  <si>
    <t>CR - GOYA</t>
  </si>
  <si>
    <t>CR - BCN</t>
  </si>
  <si>
    <t>CR - PRINCESA</t>
  </si>
  <si>
    <t>CR - MÁLAGA</t>
  </si>
  <si>
    <t>CR - MARBELLA</t>
  </si>
  <si>
    <t>Reservas - MURCIA</t>
  </si>
  <si>
    <t>Reservas - ALICANTE</t>
  </si>
  <si>
    <t>Reservas - CARTAGENA</t>
  </si>
  <si>
    <t>Reservas - GOYA</t>
  </si>
  <si>
    <t>Reservas - DIAGONAL</t>
  </si>
  <si>
    <t>Reservas - PRINCESA</t>
  </si>
  <si>
    <t>Reservas - MÁLAGA</t>
  </si>
  <si>
    <t>Reservas - MARBELLA</t>
  </si>
  <si>
    <t>Reservas - GRACIA</t>
  </si>
  <si>
    <t>CPR - MURCIA</t>
  </si>
  <si>
    <t>CPR - ALICANTE</t>
  </si>
  <si>
    <t>CPR - CARTAGENA</t>
  </si>
  <si>
    <t>CPR - GOYA</t>
  </si>
  <si>
    <t>CPR - DIAGONAL</t>
  </si>
  <si>
    <t>CPR - PRINCESA</t>
  </si>
  <si>
    <t>CPR - MÁLAGA</t>
  </si>
  <si>
    <t>CPR - MARBELLA</t>
  </si>
  <si>
    <t>CPR - GRACIA</t>
  </si>
  <si>
    <t>CR=Reservas / Visitas</t>
  </si>
  <si>
    <t>CR - DIAGONAL</t>
  </si>
  <si>
    <t>CR - GRACIA</t>
  </si>
  <si>
    <t>Visitas</t>
  </si>
  <si>
    <t>Visitas - MURCIA</t>
  </si>
  <si>
    <t>Visitas - ALICANTE</t>
  </si>
  <si>
    <t>Visitas - CARTAGENA</t>
  </si>
  <si>
    <t>Visitas - GOYA</t>
  </si>
  <si>
    <t>Visitas - DIAGONAL</t>
  </si>
  <si>
    <t>Visitas - PRINCESA</t>
  </si>
  <si>
    <t>Visitas - MÁLAGA</t>
  </si>
  <si>
    <t>Visitas - MARBELLA</t>
  </si>
  <si>
    <t>Visitas - GRACIA</t>
  </si>
  <si>
    <t>Coste Visita</t>
  </si>
  <si>
    <t>CPV - MURCIA</t>
  </si>
  <si>
    <t>CPV - ALICANTE</t>
  </si>
  <si>
    <t>CPV - CARTAGENA</t>
  </si>
  <si>
    <t>CPV - GOYA</t>
  </si>
  <si>
    <t>CPV - DIAGONAL</t>
  </si>
  <si>
    <t>CPV - PRINCESA</t>
  </si>
  <si>
    <t>CPV - MÁLAGA</t>
  </si>
  <si>
    <t>CPV - MARBELLA</t>
  </si>
  <si>
    <t>CPV - GRACIA</t>
  </si>
  <si>
    <t>CR=Visitas / Tratamiento</t>
  </si>
  <si>
    <t>Treatments</t>
  </si>
  <si>
    <t>Treatments - MURCIA</t>
  </si>
  <si>
    <t>Treatments - ALICANTE</t>
  </si>
  <si>
    <t>Treatments - CARTAGENA</t>
  </si>
  <si>
    <t>Treatments - GOYA</t>
  </si>
  <si>
    <t>Treatments - DIAGONAL</t>
  </si>
  <si>
    <t>Treatments - PRINCESA</t>
  </si>
  <si>
    <t>Treatments - MÁLAGA</t>
  </si>
  <si>
    <t>Treatments - MARBELLA</t>
  </si>
  <si>
    <t>Treatments - GRACIA</t>
  </si>
  <si>
    <t>Coste Treatment</t>
  </si>
  <si>
    <t>CAC- MURCIA</t>
  </si>
  <si>
    <t>CAC - ALICANTE</t>
  </si>
  <si>
    <t>CAC - CARTAGENA</t>
  </si>
  <si>
    <t>CAC - GOYA</t>
  </si>
  <si>
    <t>CAC - DIAGONAL</t>
  </si>
  <si>
    <t>CAC - PRINCESA</t>
  </si>
  <si>
    <t>CAC - MÁLAGA</t>
  </si>
  <si>
    <t>CAC - MARBELLA</t>
  </si>
  <si>
    <t>CAC - GRACIA</t>
  </si>
  <si>
    <t>CPL - VALENCIA</t>
  </si>
  <si>
    <t>Advertising expenses- VALENCIA</t>
  </si>
  <si>
    <t>CR - VALENCIA</t>
  </si>
  <si>
    <t>CPR - VALENCIA</t>
  </si>
  <si>
    <t>Advertising expenses- SIS Sur</t>
  </si>
  <si>
    <t>Advertising expenses- SIS Norte</t>
  </si>
  <si>
    <t>Escenario 1</t>
  </si>
  <si>
    <t>Escenario 2</t>
  </si>
  <si>
    <t>2023 
Escenario 2</t>
  </si>
  <si>
    <t>2023 
escenario 1</t>
  </si>
  <si>
    <t>2022
Total</t>
  </si>
  <si>
    <t>ç</t>
  </si>
  <si>
    <t>LEADS - GRACIA</t>
  </si>
  <si>
    <t>CPL - GRACIA</t>
  </si>
  <si>
    <t>LEADS - VALENCIA</t>
  </si>
  <si>
    <t>LEADS - SIS Sur</t>
  </si>
  <si>
    <t>LEADS -  SIS Norte</t>
  </si>
  <si>
    <t>CPL - SIS Sur</t>
  </si>
  <si>
    <t>CPL -  SIS Norte</t>
  </si>
  <si>
    <t>CR - SIS Sur</t>
  </si>
  <si>
    <t>CR - SIS Norte</t>
  </si>
  <si>
    <t>Reservas - Valencia</t>
  </si>
  <si>
    <t>Reservas - SIS sur</t>
  </si>
  <si>
    <t>Reservas - SIS Norte</t>
  </si>
  <si>
    <t>CPR -SIS Sur</t>
  </si>
  <si>
    <t>CPR - SIS Norte</t>
  </si>
  <si>
    <t>Julio</t>
  </si>
  <si>
    <t>Agosto</t>
  </si>
  <si>
    <t>Septiembre</t>
  </si>
  <si>
    <t>Octubre</t>
  </si>
  <si>
    <t>Noviembre</t>
  </si>
  <si>
    <t>Diciembre</t>
  </si>
  <si>
    <t>Goya</t>
  </si>
  <si>
    <t>Cartagena</t>
  </si>
  <si>
    <t>Diagonal</t>
  </si>
  <si>
    <t>Princesa</t>
  </si>
  <si>
    <t xml:space="preserve">Málaga </t>
  </si>
  <si>
    <t>Marbella</t>
  </si>
  <si>
    <t>SIN CLÍNICA</t>
  </si>
  <si>
    <t>Leads real</t>
  </si>
  <si>
    <t>Diferencia</t>
  </si>
  <si>
    <t>Actuales</t>
  </si>
  <si>
    <t xml:space="preserve">Funnel | </t>
  </si>
  <si>
    <t>Advertising expenses - marca A</t>
  </si>
  <si>
    <t>Advertising expenses- marca B</t>
  </si>
  <si>
    <t>LEADS - marca A</t>
  </si>
  <si>
    <t>LEADS= marca B</t>
  </si>
  <si>
    <t>Lead to appointment -marca A</t>
  </si>
  <si>
    <t>Reservas -marca A</t>
  </si>
  <si>
    <t>CPR -marca A</t>
  </si>
  <si>
    <t>CPL -marca A</t>
  </si>
  <si>
    <t>CPL -marca B</t>
  </si>
  <si>
    <t>Lead to appointment -marca B</t>
  </si>
  <si>
    <t>Reservas -marca B</t>
  </si>
  <si>
    <t>CPR -marca B</t>
  </si>
</sst>
</file>

<file path=xl/styles.xml><?xml version="1.0" encoding="utf-8"?>
<styleSheet xmlns="http://schemas.openxmlformats.org/spreadsheetml/2006/main">
  <numFmts count="11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mmm\-d"/>
    <numFmt numFmtId="166" formatCode="#,##0\ [$€-1]"/>
    <numFmt numFmtId="167" formatCode="#,##0.00\ [$€-1]"/>
    <numFmt numFmtId="168" formatCode="_-* #,##0\ [$€-C0A]_-;\-* #,##0\ [$€-C0A]_-;_-* &quot;-&quot;??\ [$€-C0A]_-;_-@_-"/>
    <numFmt numFmtId="169" formatCode="_-* #,##0.00\ [$€-C0A]_-;\-* #,##0.00\ [$€-C0A]_-;_-* &quot;-&quot;??\ [$€-C0A]_-;_-@_-"/>
    <numFmt numFmtId="170" formatCode="_-* #,##0_-;\-* #,##0_-;_-* &quot;-&quot;??_-;_-@_-"/>
    <numFmt numFmtId="171" formatCode="0.0%"/>
  </numFmts>
  <fonts count="4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8"/>
      <color rgb="FF000000"/>
      <name val="Panama"/>
    </font>
    <font>
      <b/>
      <sz val="10"/>
      <color rgb="FFFFFFFF"/>
      <name val="&quot;noto serif&quot;"/>
    </font>
    <font>
      <b/>
      <u/>
      <sz val="10"/>
      <color rgb="FFFFFFFF"/>
      <name val="&quot;noto serif&quot;"/>
    </font>
    <font>
      <b/>
      <sz val="10"/>
      <color rgb="FFFFFFFF"/>
      <name val="Arial"/>
      <family val="2"/>
    </font>
    <font>
      <b/>
      <sz val="10"/>
      <color theme="0"/>
      <name val="&quot;noto serif&quot;"/>
    </font>
    <font>
      <b/>
      <sz val="10"/>
      <color theme="0"/>
      <name val="Calibri"/>
      <family val="2"/>
    </font>
    <font>
      <b/>
      <sz val="10"/>
      <color rgb="FF000000"/>
      <name val="&quot;noto serif&quot;"/>
    </font>
    <font>
      <sz val="10"/>
      <color rgb="FF000000"/>
      <name val="&quot;noto serif&quot;"/>
    </font>
    <font>
      <sz val="10"/>
      <color theme="0"/>
      <name val="&quot;noto serif&quot;"/>
    </font>
    <font>
      <sz val="10"/>
      <color theme="0"/>
      <name val="Arial"/>
      <family val="2"/>
    </font>
    <font>
      <b/>
      <sz val="10"/>
      <color theme="1"/>
      <name val="&quot;noto serif&quot;"/>
    </font>
    <font>
      <sz val="10"/>
      <color theme="1"/>
      <name val="&quot;noto serif&quot;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8"/>
      <color rgb="FF000000"/>
      <name val="Calibri"/>
      <family val="2"/>
    </font>
    <font>
      <sz val="8"/>
      <color theme="0"/>
      <name val="Calibri"/>
      <family val="2"/>
    </font>
    <font>
      <b/>
      <sz val="10"/>
      <color rgb="FFFFFFFF"/>
      <name val="Calibri"/>
      <family val="2"/>
    </font>
    <font>
      <b/>
      <u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b/>
      <u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Noto Serif"/>
      <family val="1"/>
    </font>
    <font>
      <sz val="10"/>
      <color theme="2"/>
      <name val="Calibri"/>
      <family val="2"/>
    </font>
    <font>
      <u/>
      <sz val="10"/>
      <color rgb="FF000000"/>
      <name val="Calibri"/>
      <family val="2"/>
    </font>
    <font>
      <sz val="10"/>
      <color theme="0"/>
      <name val="Arial"/>
      <family val="2"/>
      <scheme val="minor"/>
    </font>
    <font>
      <sz val="18"/>
      <color rgb="FF000000"/>
      <name val="Arial"/>
      <family val="2"/>
    </font>
    <font>
      <sz val="11"/>
      <color rgb="FF1155CC"/>
      <name val="Inconsolata"/>
    </font>
    <font>
      <sz val="8"/>
      <name val="Arial"/>
      <family val="2"/>
      <scheme val="minor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b/>
      <sz val="10"/>
      <name val="&quot;noto serif&quot;"/>
    </font>
    <font>
      <b/>
      <sz val="10"/>
      <name val="Calibri"/>
      <family val="2"/>
    </font>
    <font>
      <sz val="10"/>
      <name val="&quot;noto serif&quot;"/>
    </font>
    <font>
      <sz val="10"/>
      <name val="Calibri"/>
      <family val="2"/>
    </font>
    <font>
      <i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D4B4B"/>
        <bgColor rgb="FFCD4B4B"/>
      </patternFill>
    </fill>
    <fill>
      <patternFill patternType="solid">
        <fgColor rgb="FF63666A"/>
        <bgColor rgb="FF63666A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CD4B4B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2114"/>
        <bgColor rgb="FFC22114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rgb="FF63666A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CE5C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164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0" fillId="0" borderId="1"/>
    <xf numFmtId="0" fontId="1" fillId="0" borderId="1"/>
    <xf numFmtId="9" fontId="1" fillId="0" borderId="1" applyFont="0" applyFill="0" applyBorder="0" applyAlignment="0" applyProtection="0"/>
    <xf numFmtId="164" fontId="1" fillId="0" borderId="1" applyFont="0" applyFill="0" applyBorder="0" applyAlignment="0" applyProtection="0"/>
  </cellStyleXfs>
  <cellXfs count="312">
    <xf numFmtId="0" fontId="0" fillId="0" borderId="0" xfId="0"/>
    <xf numFmtId="0" fontId="14" fillId="0" borderId="0" xfId="0" applyFont="1"/>
    <xf numFmtId="0" fontId="15" fillId="0" borderId="0" xfId="0" applyFont="1"/>
    <xf numFmtId="0" fontId="12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2" fillId="19" borderId="0" xfId="0" applyFont="1" applyFill="1" applyAlignment="1">
      <alignment wrapText="1"/>
    </xf>
    <xf numFmtId="17" fontId="23" fillId="19" borderId="0" xfId="0" applyNumberFormat="1" applyFont="1" applyFill="1" applyAlignment="1">
      <alignment horizontal="center" wrapText="1"/>
    </xf>
    <xf numFmtId="0" fontId="23" fillId="19" borderId="0" xfId="0" applyFont="1" applyFill="1" applyAlignment="1">
      <alignment horizontal="center" wrapText="1"/>
    </xf>
    <xf numFmtId="6" fontId="21" fillId="13" borderId="0" xfId="0" applyNumberFormat="1" applyFont="1" applyFill="1" applyAlignment="1">
      <alignment horizontal="right" wrapText="1"/>
    </xf>
    <xf numFmtId="0" fontId="25" fillId="19" borderId="0" xfId="0" applyFont="1" applyFill="1" applyAlignment="1">
      <alignment horizontal="center" wrapText="1"/>
    </xf>
    <xf numFmtId="0" fontId="26" fillId="12" borderId="0" xfId="0" applyFont="1" applyFill="1" applyAlignment="1">
      <alignment horizontal="right" wrapText="1"/>
    </xf>
    <xf numFmtId="17" fontId="26" fillId="12" borderId="0" xfId="0" applyNumberFormat="1" applyFont="1" applyFill="1" applyAlignment="1">
      <alignment horizontal="right" wrapText="1"/>
    </xf>
    <xf numFmtId="0" fontId="26" fillId="11" borderId="0" xfId="0" applyFont="1" applyFill="1" applyAlignment="1">
      <alignment horizontal="right" wrapText="1"/>
    </xf>
    <xf numFmtId="6" fontId="26" fillId="0" borderId="0" xfId="0" applyNumberFormat="1" applyFont="1" applyAlignment="1">
      <alignment horizontal="right" wrapText="1"/>
    </xf>
    <xf numFmtId="9" fontId="26" fillId="0" borderId="0" xfId="0" applyNumberFormat="1" applyFont="1" applyAlignment="1">
      <alignment horizontal="right" wrapText="1"/>
    </xf>
    <xf numFmtId="9" fontId="26" fillId="0" borderId="0" xfId="0" applyNumberFormat="1" applyFont="1" applyAlignment="1">
      <alignment horizontal="center" wrapText="1"/>
    </xf>
    <xf numFmtId="0" fontId="28" fillId="0" borderId="0" xfId="0" applyFont="1" applyAlignment="1">
      <alignment wrapText="1"/>
    </xf>
    <xf numFmtId="6" fontId="26" fillId="12" borderId="0" xfId="0" applyNumberFormat="1" applyFont="1" applyFill="1" applyAlignment="1">
      <alignment horizontal="right" wrapText="1"/>
    </xf>
    <xf numFmtId="6" fontId="28" fillId="11" borderId="0" xfId="0" applyNumberFormat="1" applyFont="1" applyFill="1" applyAlignment="1">
      <alignment horizontal="right" wrapText="1"/>
    </xf>
    <xf numFmtId="6" fontId="21" fillId="14" borderId="0" xfId="0" applyNumberFormat="1" applyFont="1" applyFill="1" applyAlignment="1">
      <alignment horizontal="right" wrapText="1"/>
    </xf>
    <xf numFmtId="6" fontId="21" fillId="15" borderId="0" xfId="0" applyNumberFormat="1" applyFont="1" applyFill="1" applyAlignment="1">
      <alignment horizontal="right" wrapText="1"/>
    </xf>
    <xf numFmtId="6" fontId="21" fillId="16" borderId="0" xfId="0" applyNumberFormat="1" applyFont="1" applyFill="1" applyAlignment="1">
      <alignment horizontal="right" wrapText="1"/>
    </xf>
    <xf numFmtId="0" fontId="21" fillId="17" borderId="0" xfId="0" applyFont="1" applyFill="1" applyAlignment="1">
      <alignment wrapText="1"/>
    </xf>
    <xf numFmtId="9" fontId="26" fillId="17" borderId="0" xfId="0" applyNumberFormat="1" applyFont="1" applyFill="1" applyAlignment="1">
      <alignment horizontal="right" wrapText="1"/>
    </xf>
    <xf numFmtId="9" fontId="26" fillId="17" borderId="0" xfId="0" applyNumberFormat="1" applyFont="1" applyFill="1" applyAlignment="1">
      <alignment horizontal="center" wrapText="1"/>
    </xf>
    <xf numFmtId="3" fontId="26" fillId="12" borderId="0" xfId="0" applyNumberFormat="1" applyFont="1" applyFill="1" applyAlignment="1">
      <alignment horizontal="right" wrapText="1"/>
    </xf>
    <xf numFmtId="3" fontId="21" fillId="13" borderId="0" xfId="0" applyNumberFormat="1" applyFont="1" applyFill="1" applyAlignment="1">
      <alignment horizontal="right" wrapText="1"/>
    </xf>
    <xf numFmtId="3" fontId="28" fillId="11" borderId="0" xfId="0" applyNumberFormat="1" applyFont="1" applyFill="1" applyAlignment="1">
      <alignment horizontal="right" wrapText="1"/>
    </xf>
    <xf numFmtId="0" fontId="21" fillId="14" borderId="0" xfId="0" applyFont="1" applyFill="1" applyAlignment="1">
      <alignment horizontal="right" wrapText="1"/>
    </xf>
    <xf numFmtId="3" fontId="21" fillId="14" borderId="0" xfId="0" applyNumberFormat="1" applyFont="1" applyFill="1" applyAlignment="1">
      <alignment horizontal="right" wrapText="1"/>
    </xf>
    <xf numFmtId="0" fontId="21" fillId="15" borderId="0" xfId="0" applyFont="1" applyFill="1" applyAlignment="1">
      <alignment horizontal="right" wrapText="1"/>
    </xf>
    <xf numFmtId="3" fontId="21" fillId="15" borderId="0" xfId="0" applyNumberFormat="1" applyFont="1" applyFill="1" applyAlignment="1">
      <alignment horizontal="right" wrapText="1"/>
    </xf>
    <xf numFmtId="3" fontId="21" fillId="16" borderId="0" xfId="0" applyNumberFormat="1" applyFont="1" applyFill="1" applyAlignment="1">
      <alignment horizontal="right" wrapText="1"/>
    </xf>
    <xf numFmtId="6" fontId="29" fillId="12" borderId="0" xfId="0" applyNumberFormat="1" applyFont="1" applyFill="1" applyAlignment="1">
      <alignment horizontal="right" wrapText="1"/>
    </xf>
    <xf numFmtId="6" fontId="21" fillId="11" borderId="0" xfId="0" applyNumberFormat="1" applyFont="1" applyFill="1" applyAlignment="1">
      <alignment horizontal="right" wrapText="1"/>
    </xf>
    <xf numFmtId="10" fontId="26" fillId="17" borderId="0" xfId="0" applyNumberFormat="1" applyFont="1" applyFill="1" applyAlignment="1">
      <alignment horizontal="right" wrapText="1"/>
    </xf>
    <xf numFmtId="10" fontId="29" fillId="12" borderId="0" xfId="0" applyNumberFormat="1" applyFont="1" applyFill="1" applyAlignment="1">
      <alignment horizontal="right" wrapText="1"/>
    </xf>
    <xf numFmtId="10" fontId="28" fillId="13" borderId="0" xfId="0" applyNumberFormat="1" applyFont="1" applyFill="1" applyAlignment="1">
      <alignment horizontal="right" wrapText="1"/>
    </xf>
    <xf numFmtId="10" fontId="26" fillId="12" borderId="0" xfId="0" applyNumberFormat="1" applyFont="1" applyFill="1" applyAlignment="1">
      <alignment horizontal="right" wrapText="1"/>
    </xf>
    <xf numFmtId="10" fontId="28" fillId="11" borderId="0" xfId="0" applyNumberFormat="1" applyFont="1" applyFill="1" applyAlignment="1">
      <alignment horizontal="right" wrapText="1"/>
    </xf>
    <xf numFmtId="10" fontId="21" fillId="18" borderId="0" xfId="0" applyNumberFormat="1" applyFont="1" applyFill="1" applyAlignment="1">
      <alignment horizontal="right" wrapText="1"/>
    </xf>
    <xf numFmtId="10" fontId="21" fillId="15" borderId="0" xfId="0" applyNumberFormat="1" applyFont="1" applyFill="1" applyAlignment="1">
      <alignment horizontal="right" wrapText="1"/>
    </xf>
    <xf numFmtId="10" fontId="21" fillId="14" borderId="0" xfId="0" applyNumberFormat="1" applyFont="1" applyFill="1" applyAlignment="1">
      <alignment horizontal="right" wrapText="1"/>
    </xf>
    <xf numFmtId="10" fontId="21" fillId="16" borderId="0" xfId="0" applyNumberFormat="1" applyFont="1" applyFill="1" applyAlignment="1">
      <alignment horizontal="right" wrapText="1"/>
    </xf>
    <xf numFmtId="0" fontId="26" fillId="0" borderId="0" xfId="0" applyFont="1" applyAlignment="1">
      <alignment horizontal="right" wrapText="1"/>
    </xf>
    <xf numFmtId="0" fontId="21" fillId="18" borderId="0" xfId="0" applyFont="1" applyFill="1" applyAlignment="1">
      <alignment horizontal="right" wrapText="1"/>
    </xf>
    <xf numFmtId="0" fontId="22" fillId="0" borderId="0" xfId="0" applyFont="1" applyAlignment="1">
      <alignment wrapText="1"/>
    </xf>
    <xf numFmtId="0" fontId="21" fillId="19" borderId="0" xfId="0" applyFont="1" applyFill="1" applyAlignment="1">
      <alignment wrapText="1"/>
    </xf>
    <xf numFmtId="0" fontId="22" fillId="19" borderId="0" xfId="0" applyFont="1" applyFill="1" applyAlignment="1">
      <alignment horizontal="right" wrapText="1"/>
    </xf>
    <xf numFmtId="3" fontId="22" fillId="19" borderId="0" xfId="0" applyNumberFormat="1" applyFont="1" applyFill="1" applyAlignment="1">
      <alignment horizontal="right" wrapText="1"/>
    </xf>
    <xf numFmtId="0" fontId="21" fillId="19" borderId="0" xfId="0" applyFont="1" applyFill="1" applyAlignment="1">
      <alignment vertical="top" wrapText="1"/>
    </xf>
    <xf numFmtId="0" fontId="22" fillId="19" borderId="0" xfId="0" applyFont="1" applyFill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21" fillId="0" borderId="4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21" fillId="0" borderId="0" xfId="0" applyFont="1"/>
    <xf numFmtId="168" fontId="26" fillId="12" borderId="0" xfId="0" applyNumberFormat="1" applyFont="1" applyFill="1" applyAlignment="1">
      <alignment horizontal="right" wrapText="1"/>
    </xf>
    <xf numFmtId="0" fontId="6" fillId="0" borderId="1" xfId="4" applyFont="1"/>
    <xf numFmtId="0" fontId="7" fillId="0" borderId="1" xfId="4" applyFont="1"/>
    <xf numFmtId="0" fontId="20" fillId="0" borderId="1" xfId="4"/>
    <xf numFmtId="0" fontId="8" fillId="0" borderId="1" xfId="4" applyFont="1"/>
    <xf numFmtId="0" fontId="5" fillId="0" borderId="1" xfId="4" applyFont="1"/>
    <xf numFmtId="0" fontId="4" fillId="0" borderId="1" xfId="4" applyFont="1"/>
    <xf numFmtId="0" fontId="9" fillId="3" borderId="1" xfId="4" applyFont="1" applyFill="1" applyAlignment="1">
      <alignment horizontal="right"/>
    </xf>
    <xf numFmtId="165" fontId="9" fillId="3" borderId="1" xfId="4" applyNumberFormat="1" applyFont="1" applyFill="1" applyAlignment="1">
      <alignment horizontal="right"/>
    </xf>
    <xf numFmtId="0" fontId="9" fillId="0" borderId="1" xfId="4" applyFont="1"/>
    <xf numFmtId="0" fontId="12" fillId="0" borderId="1" xfId="4" applyFont="1" applyAlignment="1">
      <alignment horizontal="right"/>
    </xf>
    <xf numFmtId="166" fontId="12" fillId="0" borderId="1" xfId="4" applyNumberFormat="1" applyFont="1"/>
    <xf numFmtId="9" fontId="12" fillId="0" borderId="1" xfId="4" applyNumberFormat="1" applyFont="1"/>
    <xf numFmtId="9" fontId="12" fillId="0" borderId="1" xfId="4" applyNumberFormat="1" applyFont="1" applyAlignment="1">
      <alignment horizontal="center"/>
    </xf>
    <xf numFmtId="0" fontId="13" fillId="0" borderId="1" xfId="4" applyFont="1"/>
    <xf numFmtId="0" fontId="14" fillId="0" borderId="1" xfId="4" applyFont="1"/>
    <xf numFmtId="166" fontId="12" fillId="3" borderId="1" xfId="4" applyNumberFormat="1" applyFont="1" applyFill="1" applyAlignment="1">
      <alignment horizontal="right"/>
    </xf>
    <xf numFmtId="166" fontId="15" fillId="4" borderId="1" xfId="4" applyNumberFormat="1" applyFont="1" applyFill="1" applyAlignment="1">
      <alignment horizontal="right"/>
    </xf>
    <xf numFmtId="166" fontId="14" fillId="0" borderId="1" xfId="4" applyNumberFormat="1" applyFont="1"/>
    <xf numFmtId="166" fontId="14" fillId="2" borderId="1" xfId="4" applyNumberFormat="1" applyFont="1" applyFill="1" applyAlignment="1">
      <alignment horizontal="right"/>
    </xf>
    <xf numFmtId="0" fontId="15" fillId="0" borderId="1" xfId="4" applyFont="1"/>
    <xf numFmtId="166" fontId="15" fillId="5" borderId="1" xfId="4" applyNumberFormat="1" applyFont="1" applyFill="1"/>
    <xf numFmtId="166" fontId="15" fillId="6" borderId="1" xfId="4" applyNumberFormat="1" applyFont="1" applyFill="1"/>
    <xf numFmtId="166" fontId="15" fillId="0" borderId="1" xfId="4" applyNumberFormat="1" applyFont="1"/>
    <xf numFmtId="166" fontId="15" fillId="7" borderId="1" xfId="4" applyNumberFormat="1" applyFont="1" applyFill="1" applyAlignment="1">
      <alignment horizontal="right"/>
    </xf>
    <xf numFmtId="0" fontId="16" fillId="8" borderId="1" xfId="4" applyFont="1" applyFill="1"/>
    <xf numFmtId="3" fontId="12" fillId="8" borderId="1" xfId="4" applyNumberFormat="1" applyFont="1" applyFill="1"/>
    <xf numFmtId="9" fontId="12" fillId="8" borderId="1" xfId="4" applyNumberFormat="1" applyFont="1" applyFill="1"/>
    <xf numFmtId="0" fontId="17" fillId="8" borderId="1" xfId="4" applyFont="1" applyFill="1"/>
    <xf numFmtId="3" fontId="12" fillId="3" borderId="1" xfId="4" applyNumberFormat="1" applyFont="1" applyFill="1" applyAlignment="1">
      <alignment horizontal="right"/>
    </xf>
    <xf numFmtId="3" fontId="15" fillId="4" borderId="1" xfId="4" applyNumberFormat="1" applyFont="1" applyFill="1" applyAlignment="1">
      <alignment horizontal="right"/>
    </xf>
    <xf numFmtId="3" fontId="14" fillId="2" borderId="1" xfId="4" applyNumberFormat="1" applyFont="1" applyFill="1" applyAlignment="1">
      <alignment horizontal="right"/>
    </xf>
    <xf numFmtId="3" fontId="15" fillId="5" borderId="1" xfId="4" applyNumberFormat="1" applyFont="1" applyFill="1"/>
    <xf numFmtId="3" fontId="15" fillId="6" borderId="1" xfId="4" applyNumberFormat="1" applyFont="1" applyFill="1"/>
    <xf numFmtId="3" fontId="14" fillId="0" borderId="1" xfId="4" applyNumberFormat="1" applyFont="1"/>
    <xf numFmtId="3" fontId="15" fillId="7" borderId="1" xfId="4" applyNumberFormat="1" applyFont="1" applyFill="1" applyAlignment="1">
      <alignment horizontal="right"/>
    </xf>
    <xf numFmtId="3" fontId="2" fillId="0" borderId="1" xfId="4" applyNumberFormat="1" applyFont="1"/>
    <xf numFmtId="0" fontId="2" fillId="0" borderId="1" xfId="4" applyFont="1"/>
    <xf numFmtId="166" fontId="16" fillId="3" borderId="1" xfId="4" applyNumberFormat="1" applyFont="1" applyFill="1" applyAlignment="1">
      <alignment horizontal="right"/>
    </xf>
    <xf numFmtId="166" fontId="15" fillId="0" borderId="1" xfId="4" applyNumberFormat="1" applyFont="1" applyAlignment="1">
      <alignment horizontal="right"/>
    </xf>
    <xf numFmtId="166" fontId="15" fillId="2" borderId="1" xfId="4" applyNumberFormat="1" applyFont="1" applyFill="1" applyAlignment="1">
      <alignment horizontal="right"/>
    </xf>
    <xf numFmtId="167" fontId="15" fillId="0" borderId="1" xfId="4" applyNumberFormat="1" applyFont="1" applyAlignment="1">
      <alignment horizontal="right"/>
    </xf>
    <xf numFmtId="166" fontId="15" fillId="5" borderId="1" xfId="4" applyNumberFormat="1" applyFont="1" applyFill="1" applyAlignment="1">
      <alignment horizontal="right"/>
    </xf>
    <xf numFmtId="166" fontId="15" fillId="7" borderId="1" xfId="4" applyNumberFormat="1" applyFont="1" applyFill="1"/>
    <xf numFmtId="10" fontId="12" fillId="0" borderId="1" xfId="4" applyNumberFormat="1" applyFont="1"/>
    <xf numFmtId="0" fontId="12" fillId="0" borderId="1" xfId="4" applyFont="1"/>
    <xf numFmtId="166" fontId="16" fillId="8" borderId="1" xfId="4" applyNumberFormat="1" applyFont="1" applyFill="1" applyAlignment="1">
      <alignment horizontal="right"/>
    </xf>
    <xf numFmtId="10" fontId="16" fillId="3" borderId="1" xfId="4" applyNumberFormat="1" applyFont="1" applyFill="1" applyAlignment="1">
      <alignment horizontal="right"/>
    </xf>
    <xf numFmtId="10" fontId="14" fillId="4" borderId="1" xfId="4" applyNumberFormat="1" applyFont="1" applyFill="1" applyAlignment="1">
      <alignment horizontal="right"/>
    </xf>
    <xf numFmtId="10" fontId="18" fillId="0" borderId="1" xfId="4" applyNumberFormat="1" applyFont="1" applyAlignment="1">
      <alignment horizontal="right"/>
    </xf>
    <xf numFmtId="10" fontId="12" fillId="3" borderId="1" xfId="4" applyNumberFormat="1" applyFont="1" applyFill="1" applyAlignment="1">
      <alignment horizontal="right"/>
    </xf>
    <xf numFmtId="10" fontId="14" fillId="2" borderId="1" xfId="4" applyNumberFormat="1" applyFont="1" applyFill="1" applyAlignment="1">
      <alignment horizontal="right"/>
    </xf>
    <xf numFmtId="10" fontId="15" fillId="9" borderId="1" xfId="4" applyNumberFormat="1" applyFont="1" applyFill="1" applyAlignment="1">
      <alignment horizontal="right"/>
    </xf>
    <xf numFmtId="10" fontId="15" fillId="6" borderId="1" xfId="4" applyNumberFormat="1" applyFont="1" applyFill="1" applyAlignment="1">
      <alignment horizontal="right"/>
    </xf>
    <xf numFmtId="10" fontId="14" fillId="0" borderId="1" xfId="4" applyNumberFormat="1" applyFont="1" applyAlignment="1">
      <alignment horizontal="right"/>
    </xf>
    <xf numFmtId="10" fontId="15" fillId="5" borderId="1" xfId="4" applyNumberFormat="1" applyFont="1" applyFill="1" applyAlignment="1">
      <alignment horizontal="right"/>
    </xf>
    <xf numFmtId="10" fontId="15" fillId="7" borderId="1" xfId="4" applyNumberFormat="1" applyFont="1" applyFill="1" applyAlignment="1">
      <alignment horizontal="right"/>
    </xf>
    <xf numFmtId="10" fontId="32" fillId="6" borderId="1" xfId="4" applyNumberFormat="1" applyFont="1" applyFill="1" applyAlignment="1">
      <alignment horizontal="right"/>
    </xf>
    <xf numFmtId="0" fontId="16" fillId="0" borderId="1" xfId="4" applyFont="1"/>
    <xf numFmtId="3" fontId="12" fillId="0" borderId="1" xfId="4" applyNumberFormat="1" applyFont="1"/>
    <xf numFmtId="3" fontId="15" fillId="9" borderId="1" xfId="4" applyNumberFormat="1" applyFont="1" applyFill="1"/>
    <xf numFmtId="3" fontId="15" fillId="0" borderId="1" xfId="4" applyNumberFormat="1" applyFont="1"/>
    <xf numFmtId="0" fontId="17" fillId="0" borderId="1" xfId="4" applyFont="1"/>
    <xf numFmtId="166" fontId="19" fillId="4" borderId="1" xfId="4" applyNumberFormat="1" applyFont="1" applyFill="1" applyAlignment="1">
      <alignment horizontal="right"/>
    </xf>
    <xf numFmtId="168" fontId="21" fillId="13" borderId="0" xfId="0" applyNumberFormat="1" applyFont="1" applyFill="1" applyAlignment="1">
      <alignment horizontal="right" wrapText="1"/>
    </xf>
    <xf numFmtId="9" fontId="21" fillId="11" borderId="0" xfId="3" applyFont="1" applyFill="1" applyAlignment="1">
      <alignment horizontal="right" wrapText="1"/>
    </xf>
    <xf numFmtId="168" fontId="21" fillId="11" borderId="0" xfId="0" applyNumberFormat="1" applyFont="1" applyFill="1" applyAlignment="1">
      <alignment horizontal="right" wrapText="1"/>
    </xf>
    <xf numFmtId="6" fontId="13" fillId="0" borderId="0" xfId="0" applyNumberFormat="1" applyFont="1" applyAlignment="1">
      <alignment horizontal="right" wrapText="1"/>
    </xf>
    <xf numFmtId="9" fontId="22" fillId="0" borderId="0" xfId="0" applyNumberFormat="1" applyFont="1" applyAlignment="1">
      <alignment wrapText="1"/>
    </xf>
    <xf numFmtId="9" fontId="13" fillId="0" borderId="0" xfId="0" applyNumberFormat="1" applyFont="1" applyAlignment="1">
      <alignment horizontal="right" wrapText="1"/>
    </xf>
    <xf numFmtId="9" fontId="13" fillId="0" borderId="0" xfId="0" applyNumberFormat="1" applyFont="1" applyAlignment="1">
      <alignment horizontal="center" wrapText="1"/>
    </xf>
    <xf numFmtId="9" fontId="22" fillId="0" borderId="0" xfId="3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169" fontId="13" fillId="0" borderId="0" xfId="0" applyNumberFormat="1" applyFont="1" applyAlignment="1">
      <alignment horizontal="right" wrapText="1"/>
    </xf>
    <xf numFmtId="0" fontId="33" fillId="17" borderId="0" xfId="0" applyFont="1" applyFill="1" applyAlignment="1">
      <alignment wrapText="1"/>
    </xf>
    <xf numFmtId="1" fontId="21" fillId="15" borderId="0" xfId="0" applyNumberFormat="1" applyFont="1" applyFill="1" applyAlignment="1">
      <alignment horizontal="right" wrapText="1"/>
    </xf>
    <xf numFmtId="1" fontId="21" fillId="13" borderId="0" xfId="0" applyNumberFormat="1" applyFont="1" applyFill="1" applyAlignment="1">
      <alignment horizontal="right" wrapText="1"/>
    </xf>
    <xf numFmtId="170" fontId="21" fillId="15" borderId="0" xfId="0" applyNumberFormat="1" applyFont="1" applyFill="1" applyAlignment="1">
      <alignment horizontal="right" wrapText="1"/>
    </xf>
    <xf numFmtId="0" fontId="22" fillId="17" borderId="0" xfId="0" applyFont="1" applyFill="1" applyAlignment="1">
      <alignment wrapText="1"/>
    </xf>
    <xf numFmtId="0" fontId="13" fillId="17" borderId="0" xfId="0" applyFont="1" applyFill="1" applyAlignment="1">
      <alignment horizontal="right" wrapText="1"/>
    </xf>
    <xf numFmtId="1" fontId="26" fillId="12" borderId="0" xfId="0" applyNumberFormat="1" applyFont="1" applyFill="1" applyAlignment="1">
      <alignment horizontal="right" wrapText="1"/>
    </xf>
    <xf numFmtId="1" fontId="21" fillId="18" borderId="0" xfId="0" applyNumberFormat="1" applyFont="1" applyFill="1" applyAlignment="1">
      <alignment horizontal="right" wrapText="1"/>
    </xf>
    <xf numFmtId="170" fontId="21" fillId="15" borderId="0" xfId="1" applyNumberFormat="1" applyFont="1" applyFill="1" applyAlignment="1">
      <alignment horizontal="right" wrapText="1"/>
    </xf>
    <xf numFmtId="0" fontId="7" fillId="0" borderId="0" xfId="0" applyFont="1"/>
    <xf numFmtId="0" fontId="13" fillId="23" borderId="1" xfId="0" applyFont="1" applyFill="1" applyBorder="1"/>
    <xf numFmtId="0" fontId="13" fillId="24" borderId="2" xfId="0" applyFont="1" applyFill="1" applyBorder="1"/>
    <xf numFmtId="0" fontId="13" fillId="24" borderId="1" xfId="0" applyFont="1" applyFill="1" applyBorder="1"/>
    <xf numFmtId="0" fontId="13" fillId="24" borderId="1" xfId="0" applyFont="1" applyFill="1" applyBorder="1" applyAlignment="1">
      <alignment wrapText="1"/>
    </xf>
    <xf numFmtId="166" fontId="12" fillId="3" borderId="2" xfId="0" applyNumberFormat="1" applyFont="1" applyFill="1" applyBorder="1" applyAlignment="1">
      <alignment horizontal="center"/>
    </xf>
    <xf numFmtId="166" fontId="15" fillId="4" borderId="1" xfId="0" applyNumberFormat="1" applyFont="1" applyFill="1" applyBorder="1" applyAlignment="1">
      <alignment horizontal="center"/>
    </xf>
    <xf numFmtId="166" fontId="15" fillId="5" borderId="2" xfId="0" applyNumberFormat="1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3" fontId="12" fillId="3" borderId="2" xfId="0" applyNumberFormat="1" applyFont="1" applyFill="1" applyBorder="1" applyAlignment="1">
      <alignment horizontal="center"/>
    </xf>
    <xf numFmtId="3" fontId="15" fillId="4" borderId="1" xfId="0" applyNumberFormat="1" applyFont="1" applyFill="1" applyBorder="1" applyAlignment="1">
      <alignment horizontal="center"/>
    </xf>
    <xf numFmtId="3" fontId="15" fillId="5" borderId="2" xfId="0" applyNumberFormat="1" applyFont="1" applyFill="1" applyBorder="1" applyAlignment="1">
      <alignment horizontal="center"/>
    </xf>
    <xf numFmtId="3" fontId="15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0" fontId="12" fillId="3" borderId="2" xfId="0" applyNumberFormat="1" applyFont="1" applyFill="1" applyBorder="1" applyAlignment="1">
      <alignment horizontal="center"/>
    </xf>
    <xf numFmtId="10" fontId="14" fillId="4" borderId="1" xfId="0" applyNumberFormat="1" applyFont="1" applyFill="1" applyBorder="1" applyAlignment="1">
      <alignment horizontal="center"/>
    </xf>
    <xf numFmtId="10" fontId="15" fillId="5" borderId="2" xfId="0" applyNumberFormat="1" applyFont="1" applyFill="1" applyBorder="1" applyAlignment="1">
      <alignment horizontal="center"/>
    </xf>
    <xf numFmtId="10" fontId="15" fillId="6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6" fontId="19" fillId="4" borderId="1" xfId="0" applyNumberFormat="1" applyFont="1" applyFill="1" applyBorder="1" applyAlignment="1">
      <alignment horizontal="center"/>
    </xf>
    <xf numFmtId="169" fontId="13" fillId="17" borderId="0" xfId="0" applyNumberFormat="1" applyFont="1" applyFill="1" applyAlignment="1">
      <alignment horizontal="center" wrapText="1"/>
    </xf>
    <xf numFmtId="169" fontId="13" fillId="17" borderId="0" xfId="0" applyNumberFormat="1" applyFont="1" applyFill="1" applyAlignment="1">
      <alignment horizontal="right" wrapText="1"/>
    </xf>
    <xf numFmtId="0" fontId="35" fillId="21" borderId="0" xfId="0" applyFont="1" applyFill="1"/>
    <xf numFmtId="166" fontId="35" fillId="21" borderId="0" xfId="0" applyNumberFormat="1" applyFont="1" applyFill="1"/>
    <xf numFmtId="9" fontId="35" fillId="21" borderId="0" xfId="3" applyFont="1" applyFill="1" applyAlignment="1"/>
    <xf numFmtId="0" fontId="9" fillId="2" borderId="1" xfId="4" applyFont="1" applyFill="1" applyAlignment="1">
      <alignment horizontal="left"/>
    </xf>
    <xf numFmtId="0" fontId="24" fillId="0" borderId="0" xfId="0" applyFont="1" applyAlignment="1">
      <alignment horizontal="center" vertical="top" wrapText="1"/>
    </xf>
    <xf numFmtId="0" fontId="36" fillId="0" borderId="1" xfId="4" applyFont="1"/>
    <xf numFmtId="165" fontId="11" fillId="3" borderId="1" xfId="4" applyNumberFormat="1" applyFont="1" applyFill="1" applyAlignment="1">
      <alignment horizontal="right"/>
    </xf>
    <xf numFmtId="0" fontId="9" fillId="0" borderId="1" xfId="4" applyFont="1" applyAlignment="1">
      <alignment horizontal="right"/>
    </xf>
    <xf numFmtId="0" fontId="37" fillId="8" borderId="1" xfId="4" applyFont="1" applyFill="1"/>
    <xf numFmtId="0" fontId="14" fillId="0" borderId="13" xfId="4" applyFont="1" applyBorder="1"/>
    <xf numFmtId="169" fontId="26" fillId="12" borderId="0" xfId="0" applyNumberFormat="1" applyFont="1" applyFill="1" applyAlignment="1">
      <alignment horizontal="right" wrapText="1"/>
    </xf>
    <xf numFmtId="44" fontId="21" fillId="18" borderId="0" xfId="2" applyFont="1" applyFill="1" applyAlignment="1">
      <alignment horizontal="right" wrapText="1"/>
    </xf>
    <xf numFmtId="9" fontId="26" fillId="12" borderId="0" xfId="3" applyFont="1" applyFill="1" applyAlignment="1">
      <alignment horizontal="right" wrapText="1"/>
    </xf>
    <xf numFmtId="9" fontId="21" fillId="18" borderId="0" xfId="3" applyFont="1" applyFill="1" applyAlignment="1">
      <alignment horizontal="right" wrapText="1"/>
    </xf>
    <xf numFmtId="168" fontId="28" fillId="11" borderId="0" xfId="0" applyNumberFormat="1" applyFont="1" applyFill="1" applyAlignment="1">
      <alignment horizontal="right" wrapText="1"/>
    </xf>
    <xf numFmtId="170" fontId="40" fillId="13" borderId="14" xfId="0" applyNumberFormat="1" applyFont="1" applyFill="1" applyBorder="1" applyAlignment="1">
      <alignment vertical="center" wrapText="1"/>
    </xf>
    <xf numFmtId="170" fontId="40" fillId="13" borderId="15" xfId="0" applyNumberFormat="1" applyFont="1" applyFill="1" applyBorder="1" applyAlignment="1">
      <alignment vertical="center" wrapText="1"/>
    </xf>
    <xf numFmtId="170" fontId="40" fillId="13" borderId="16" xfId="0" applyNumberFormat="1" applyFont="1" applyFill="1" applyBorder="1" applyAlignment="1">
      <alignment vertical="center" wrapText="1"/>
    </xf>
    <xf numFmtId="170" fontId="39" fillId="13" borderId="15" xfId="0" applyNumberFormat="1" applyFont="1" applyFill="1" applyBorder="1" applyAlignment="1">
      <alignment vertical="center" wrapText="1"/>
    </xf>
    <xf numFmtId="0" fontId="3" fillId="0" borderId="1" xfId="4" applyFont="1"/>
    <xf numFmtId="1" fontId="28" fillId="11" borderId="0" xfId="0" applyNumberFormat="1" applyFont="1" applyFill="1" applyAlignment="1">
      <alignment horizontal="right" wrapText="1"/>
    </xf>
    <xf numFmtId="1" fontId="21" fillId="14" borderId="0" xfId="0" applyNumberFormat="1" applyFont="1" applyFill="1" applyAlignment="1">
      <alignment horizontal="right" wrapText="1"/>
    </xf>
    <xf numFmtId="1" fontId="21" fillId="16" borderId="0" xfId="0" applyNumberFormat="1" applyFont="1" applyFill="1" applyAlignment="1">
      <alignment horizontal="right" wrapText="1"/>
    </xf>
    <xf numFmtId="0" fontId="41" fillId="25" borderId="1" xfId="4" applyFont="1" applyFill="1" applyAlignment="1">
      <alignment horizontal="right"/>
    </xf>
    <xf numFmtId="165" fontId="41" fillId="25" borderId="1" xfId="4" applyNumberFormat="1" applyFont="1" applyFill="1" applyAlignment="1">
      <alignment horizontal="right"/>
    </xf>
    <xf numFmtId="17" fontId="42" fillId="20" borderId="0" xfId="0" applyNumberFormat="1" applyFont="1" applyFill="1" applyAlignment="1">
      <alignment horizontal="right" wrapText="1"/>
    </xf>
    <xf numFmtId="0" fontId="24" fillId="0" borderId="0" xfId="0" applyFont="1" applyAlignment="1">
      <alignment vertical="top" wrapText="1"/>
    </xf>
    <xf numFmtId="170" fontId="40" fillId="21" borderId="1" xfId="0" applyNumberFormat="1" applyFont="1" applyFill="1" applyBorder="1" applyAlignment="1">
      <alignment vertical="center" wrapText="1"/>
    </xf>
    <xf numFmtId="9" fontId="21" fillId="13" borderId="0" xfId="3" applyFont="1" applyFill="1" applyAlignment="1">
      <alignment horizontal="right" wrapText="1"/>
    </xf>
    <xf numFmtId="9" fontId="28" fillId="11" borderId="0" xfId="3" applyFont="1" applyFill="1" applyAlignment="1">
      <alignment horizontal="right" wrapText="1"/>
    </xf>
    <xf numFmtId="9" fontId="21" fillId="14" borderId="0" xfId="3" applyFont="1" applyFill="1" applyAlignment="1">
      <alignment horizontal="right" wrapText="1"/>
    </xf>
    <xf numFmtId="9" fontId="21" fillId="15" borderId="0" xfId="3" applyFont="1" applyFill="1" applyAlignment="1">
      <alignment horizontal="right" wrapText="1"/>
    </xf>
    <xf numFmtId="9" fontId="21" fillId="16" borderId="0" xfId="3" applyFont="1" applyFill="1" applyAlignment="1">
      <alignment horizontal="right" wrapText="1"/>
    </xf>
    <xf numFmtId="0" fontId="43" fillId="8" borderId="1" xfId="4" applyFont="1" applyFill="1"/>
    <xf numFmtId="3" fontId="41" fillId="8" borderId="1" xfId="4" applyNumberFormat="1" applyFont="1" applyFill="1"/>
    <xf numFmtId="6" fontId="41" fillId="0" borderId="1" xfId="4" applyNumberFormat="1" applyFont="1" applyAlignment="1">
      <alignment horizontal="right"/>
    </xf>
    <xf numFmtId="0" fontId="44" fillId="0" borderId="0" xfId="0" applyFont="1" applyAlignment="1">
      <alignment wrapText="1"/>
    </xf>
    <xf numFmtId="6" fontId="42" fillId="0" borderId="0" xfId="0" applyNumberFormat="1" applyFont="1" applyAlignment="1">
      <alignment horizontal="right" wrapText="1"/>
    </xf>
    <xf numFmtId="9" fontId="42" fillId="0" borderId="0" xfId="0" applyNumberFormat="1" applyFont="1" applyAlignment="1">
      <alignment horizontal="right" wrapText="1"/>
    </xf>
    <xf numFmtId="169" fontId="42" fillId="0" borderId="0" xfId="0" applyNumberFormat="1" applyFont="1" applyAlignment="1">
      <alignment horizontal="center" wrapText="1"/>
    </xf>
    <xf numFmtId="169" fontId="42" fillId="0" borderId="0" xfId="0" applyNumberFormat="1" applyFont="1" applyAlignment="1">
      <alignment horizontal="right" wrapText="1"/>
    </xf>
    <xf numFmtId="169" fontId="44" fillId="0" borderId="0" xfId="3" applyNumberFormat="1" applyFont="1" applyAlignment="1">
      <alignment wrapText="1"/>
    </xf>
    <xf numFmtId="9" fontId="41" fillId="0" borderId="1" xfId="4" applyNumberFormat="1" applyFont="1"/>
    <xf numFmtId="166" fontId="41" fillId="0" borderId="1" xfId="4" applyNumberFormat="1" applyFont="1" applyAlignment="1">
      <alignment horizontal="right"/>
    </xf>
    <xf numFmtId="170" fontId="15" fillId="4" borderId="1" xfId="1" applyNumberFormat="1" applyFont="1" applyFill="1" applyBorder="1" applyAlignment="1">
      <alignment horizontal="right"/>
    </xf>
    <xf numFmtId="10" fontId="41" fillId="0" borderId="1" xfId="4" applyNumberFormat="1" applyFont="1"/>
    <xf numFmtId="9" fontId="14" fillId="0" borderId="1" xfId="3" applyFont="1" applyBorder="1"/>
    <xf numFmtId="170" fontId="21" fillId="0" borderId="0" xfId="0" applyNumberFormat="1" applyFont="1" applyAlignment="1">
      <alignment wrapText="1"/>
    </xf>
    <xf numFmtId="170" fontId="12" fillId="3" borderId="1" xfId="1" applyNumberFormat="1" applyFont="1" applyFill="1" applyBorder="1" applyAlignment="1">
      <alignment horizontal="right"/>
    </xf>
    <xf numFmtId="170" fontId="14" fillId="2" borderId="1" xfId="1" applyNumberFormat="1" applyFont="1" applyFill="1" applyBorder="1" applyAlignment="1">
      <alignment horizontal="right"/>
    </xf>
    <xf numFmtId="168" fontId="14" fillId="2" borderId="1" xfId="1" applyNumberFormat="1" applyFont="1" applyFill="1" applyBorder="1" applyAlignment="1">
      <alignment horizontal="right"/>
    </xf>
    <xf numFmtId="168" fontId="15" fillId="7" borderId="1" xfId="4" applyNumberFormat="1" applyFont="1" applyFill="1" applyAlignment="1">
      <alignment horizontal="right"/>
    </xf>
    <xf numFmtId="0" fontId="0" fillId="26" borderId="13" xfId="0" applyFill="1" applyBorder="1"/>
    <xf numFmtId="0" fontId="0" fillId="27" borderId="13" xfId="0" applyFill="1" applyBorder="1" applyAlignment="1">
      <alignment horizontal="left"/>
    </xf>
    <xf numFmtId="0" fontId="0" fillId="27" borderId="13" xfId="0" applyFill="1" applyBorder="1"/>
    <xf numFmtId="9" fontId="0" fillId="27" borderId="13" xfId="3" applyFont="1" applyFill="1" applyBorder="1"/>
    <xf numFmtId="0" fontId="0" fillId="28" borderId="13" xfId="0" applyFill="1" applyBorder="1" applyAlignment="1">
      <alignment horizontal="left"/>
    </xf>
    <xf numFmtId="0" fontId="0" fillId="28" borderId="13" xfId="0" applyFill="1" applyBorder="1"/>
    <xf numFmtId="9" fontId="0" fillId="28" borderId="13" xfId="3" applyFont="1" applyFill="1" applyBorder="1"/>
    <xf numFmtId="0" fontId="45" fillId="0" borderId="0" xfId="0" applyFont="1"/>
    <xf numFmtId="0" fontId="0" fillId="28" borderId="18" xfId="0" applyFill="1" applyBorder="1"/>
    <xf numFmtId="49" fontId="0" fillId="28" borderId="19" xfId="0" applyNumberFormat="1" applyFill="1" applyBorder="1"/>
    <xf numFmtId="170" fontId="15" fillId="4" borderId="1" xfId="4" applyNumberFormat="1" applyFont="1" applyFill="1" applyAlignment="1">
      <alignment horizontal="right"/>
    </xf>
    <xf numFmtId="170" fontId="15" fillId="6" borderId="1" xfId="4" applyNumberFormat="1" applyFont="1" applyFill="1"/>
    <xf numFmtId="170" fontId="26" fillId="0" borderId="0" xfId="0" applyNumberFormat="1" applyFont="1" applyAlignment="1">
      <alignment horizontal="right" wrapText="1"/>
    </xf>
    <xf numFmtId="170" fontId="21" fillId="14" borderId="0" xfId="1" applyNumberFormat="1" applyFont="1" applyFill="1" applyAlignment="1">
      <alignment horizontal="right" wrapText="1"/>
    </xf>
    <xf numFmtId="170" fontId="21" fillId="16" borderId="0" xfId="1" applyNumberFormat="1" applyFont="1" applyFill="1" applyAlignment="1">
      <alignment horizontal="right" wrapText="1"/>
    </xf>
    <xf numFmtId="169" fontId="28" fillId="0" borderId="0" xfId="0" applyNumberFormat="1" applyFont="1" applyAlignment="1">
      <alignment wrapText="1"/>
    </xf>
    <xf numFmtId="169" fontId="29" fillId="12" borderId="0" xfId="0" applyNumberFormat="1" applyFont="1" applyFill="1" applyAlignment="1">
      <alignment horizontal="right" wrapText="1"/>
    </xf>
    <xf numFmtId="169" fontId="21" fillId="0" borderId="0" xfId="0" applyNumberFormat="1" applyFont="1" applyAlignment="1">
      <alignment wrapText="1"/>
    </xf>
    <xf numFmtId="169" fontId="21" fillId="13" borderId="0" xfId="0" applyNumberFormat="1" applyFont="1" applyFill="1" applyAlignment="1">
      <alignment horizontal="right" wrapText="1"/>
    </xf>
    <xf numFmtId="169" fontId="21" fillId="11" borderId="0" xfId="0" applyNumberFormat="1" applyFont="1" applyFill="1" applyAlignment="1">
      <alignment horizontal="right" wrapText="1"/>
    </xf>
    <xf numFmtId="169" fontId="0" fillId="0" borderId="0" xfId="0" applyNumberFormat="1"/>
    <xf numFmtId="170" fontId="15" fillId="7" borderId="1" xfId="1" applyNumberFormat="1" applyFont="1" applyFill="1" applyBorder="1" applyAlignment="1">
      <alignment horizontal="right"/>
    </xf>
    <xf numFmtId="170" fontId="15" fillId="5" borderId="1" xfId="1" applyNumberFormat="1" applyFont="1" applyFill="1" applyBorder="1"/>
    <xf numFmtId="0" fontId="9" fillId="2" borderId="1" xfId="4" applyFont="1" applyFill="1" applyAlignment="1">
      <alignment horizontal="center"/>
    </xf>
    <xf numFmtId="9" fontId="40" fillId="21" borderId="1" xfId="3" applyFont="1" applyFill="1" applyBorder="1" applyAlignment="1">
      <alignment vertical="center" wrapText="1"/>
    </xf>
    <xf numFmtId="170" fontId="40" fillId="13" borderId="14" xfId="5" applyNumberFormat="1" applyFont="1" applyFill="1" applyBorder="1" applyAlignment="1">
      <alignment vertical="center" wrapText="1"/>
    </xf>
    <xf numFmtId="170" fontId="40" fillId="13" borderId="15" xfId="5" applyNumberFormat="1" applyFont="1" applyFill="1" applyBorder="1" applyAlignment="1">
      <alignment vertical="center" wrapText="1"/>
    </xf>
    <xf numFmtId="170" fontId="39" fillId="13" borderId="15" xfId="5" applyNumberFormat="1" applyFont="1" applyFill="1" applyBorder="1" applyAlignment="1">
      <alignment vertical="center" wrapText="1"/>
    </xf>
    <xf numFmtId="170" fontId="40" fillId="13" borderId="16" xfId="5" applyNumberFormat="1" applyFont="1" applyFill="1" applyBorder="1" applyAlignment="1">
      <alignment vertical="center" wrapText="1"/>
    </xf>
    <xf numFmtId="170" fontId="40" fillId="21" borderId="1" xfId="5" applyNumberFormat="1" applyFont="1" applyFill="1" applyAlignment="1">
      <alignment vertical="center" wrapText="1"/>
    </xf>
    <xf numFmtId="17" fontId="26" fillId="12" borderId="1" xfId="5" applyNumberFormat="1" applyFont="1" applyFill="1" applyAlignment="1">
      <alignment horizontal="right" wrapText="1"/>
    </xf>
    <xf numFmtId="17" fontId="42" fillId="20" borderId="1" xfId="5" applyNumberFormat="1" applyFont="1" applyFill="1" applyAlignment="1">
      <alignment horizontal="right" wrapText="1"/>
    </xf>
    <xf numFmtId="9" fontId="15" fillId="6" borderId="1" xfId="6" applyFont="1" applyFill="1"/>
    <xf numFmtId="170" fontId="15" fillId="6" borderId="1" xfId="7" applyNumberFormat="1" applyFont="1" applyFill="1"/>
    <xf numFmtId="9" fontId="14" fillId="0" borderId="1" xfId="6" applyFont="1" applyBorder="1"/>
    <xf numFmtId="3" fontId="15" fillId="29" borderId="1" xfId="4" applyNumberFormat="1" applyFont="1" applyFill="1"/>
    <xf numFmtId="0" fontId="15" fillId="21" borderId="1" xfId="4" applyFont="1" applyFill="1"/>
    <xf numFmtId="166" fontId="15" fillId="30" borderId="1" xfId="4" applyNumberFormat="1" applyFont="1" applyFill="1" applyAlignment="1">
      <alignment horizontal="right"/>
    </xf>
    <xf numFmtId="0" fontId="7" fillId="21" borderId="1" xfId="4" applyFont="1" applyFill="1"/>
    <xf numFmtId="166" fontId="15" fillId="30" borderId="1" xfId="4" applyNumberFormat="1" applyFont="1" applyFill="1"/>
    <xf numFmtId="166" fontId="15" fillId="31" borderId="1" xfId="4" applyNumberFormat="1" applyFont="1" applyFill="1"/>
    <xf numFmtId="166" fontId="15" fillId="32" borderId="1" xfId="4" applyNumberFormat="1" applyFont="1" applyFill="1" applyAlignment="1">
      <alignment horizontal="right"/>
    </xf>
    <xf numFmtId="0" fontId="20" fillId="21" borderId="1" xfId="4" applyFill="1"/>
    <xf numFmtId="1" fontId="16" fillId="3" borderId="1" xfId="4" applyNumberFormat="1" applyFont="1" applyFill="1" applyAlignment="1">
      <alignment horizontal="right"/>
    </xf>
    <xf numFmtId="1" fontId="40" fillId="21" borderId="1" xfId="5" applyNumberFormat="1" applyFont="1" applyFill="1" applyAlignment="1">
      <alignment vertical="center" wrapText="1"/>
    </xf>
    <xf numFmtId="1" fontId="12" fillId="3" borderId="1" xfId="4" applyNumberFormat="1" applyFont="1" applyFill="1" applyAlignment="1">
      <alignment horizontal="right"/>
    </xf>
    <xf numFmtId="1" fontId="19" fillId="4" borderId="1" xfId="4" applyNumberFormat="1" applyFont="1" applyFill="1" applyAlignment="1">
      <alignment horizontal="right"/>
    </xf>
    <xf numFmtId="1" fontId="14" fillId="2" borderId="1" xfId="4" applyNumberFormat="1" applyFont="1" applyFill="1" applyAlignment="1">
      <alignment horizontal="right"/>
    </xf>
    <xf numFmtId="1" fontId="15" fillId="5" borderId="1" xfId="4" applyNumberFormat="1" applyFont="1" applyFill="1" applyAlignment="1">
      <alignment horizontal="right"/>
    </xf>
    <xf numFmtId="1" fontId="15" fillId="5" borderId="1" xfId="4" applyNumberFormat="1" applyFont="1" applyFill="1"/>
    <xf numFmtId="1" fontId="15" fillId="6" borderId="1" xfId="4" applyNumberFormat="1" applyFont="1" applyFill="1"/>
    <xf numFmtId="1" fontId="15" fillId="7" borderId="1" xfId="4" applyNumberFormat="1" applyFont="1" applyFill="1" applyAlignment="1">
      <alignment horizontal="right"/>
    </xf>
    <xf numFmtId="1" fontId="7" fillId="0" borderId="1" xfId="4" applyNumberFormat="1" applyFont="1"/>
    <xf numFmtId="43" fontId="21" fillId="0" borderId="0" xfId="0" applyNumberFormat="1" applyFont="1" applyAlignment="1">
      <alignment wrapText="1"/>
    </xf>
    <xf numFmtId="9" fontId="41" fillId="8" borderId="1" xfId="4" applyNumberFormat="1" applyFont="1" applyFill="1"/>
    <xf numFmtId="169" fontId="41" fillId="8" borderId="1" xfId="4" applyNumberFormat="1" applyFont="1" applyFill="1"/>
    <xf numFmtId="171" fontId="41" fillId="0" borderId="1" xfId="4" applyNumberFormat="1" applyFont="1"/>
    <xf numFmtId="0" fontId="15" fillId="5" borderId="1" xfId="4" applyNumberFormat="1" applyFont="1" applyFill="1" applyAlignment="1">
      <alignment horizontal="right"/>
    </xf>
    <xf numFmtId="0" fontId="0" fillId="0" borderId="13" xfId="0" applyBorder="1"/>
    <xf numFmtId="0" fontId="0" fillId="0" borderId="1" xfId="0" applyBorder="1"/>
    <xf numFmtId="0" fontId="0" fillId="0" borderId="20" xfId="0" applyBorder="1"/>
    <xf numFmtId="0" fontId="0" fillId="26" borderId="20" xfId="0" applyFill="1" applyBorder="1"/>
    <xf numFmtId="0" fontId="0" fillId="26" borderId="0" xfId="0" applyFill="1"/>
    <xf numFmtId="0" fontId="0" fillId="0" borderId="21" xfId="0" applyBorder="1"/>
    <xf numFmtId="9" fontId="0" fillId="0" borderId="0" xfId="3" applyFont="1"/>
    <xf numFmtId="0" fontId="20" fillId="0" borderId="0" xfId="0" applyFont="1"/>
    <xf numFmtId="0" fontId="0" fillId="0" borderId="20" xfId="0" applyFont="1" applyFill="1" applyBorder="1"/>
    <xf numFmtId="0" fontId="20" fillId="0" borderId="1" xfId="0" applyFont="1" applyBorder="1"/>
    <xf numFmtId="1" fontId="0" fillId="0" borderId="13" xfId="0" applyNumberFormat="1" applyBorder="1"/>
    <xf numFmtId="0" fontId="7" fillId="22" borderId="12" xfId="0" applyFont="1" applyFill="1" applyBorder="1" applyAlignment="1">
      <alignment horizontal="center"/>
    </xf>
    <xf numFmtId="0" fontId="3" fillId="0" borderId="11" xfId="0" applyFont="1" applyBorder="1"/>
    <xf numFmtId="0" fontId="9" fillId="2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6" xfId="0" applyFont="1" applyBorder="1"/>
    <xf numFmtId="0" fontId="3" fillId="0" borderId="3" xfId="0" applyFont="1" applyBorder="1"/>
    <xf numFmtId="0" fontId="30" fillId="0" borderId="8" xfId="0" applyFont="1" applyBorder="1" applyAlignment="1">
      <alignment vertical="top" wrapText="1"/>
    </xf>
    <xf numFmtId="0" fontId="30" fillId="0" borderId="9" xfId="0" applyFont="1" applyBorder="1" applyAlignment="1">
      <alignment vertical="top" wrapText="1"/>
    </xf>
    <xf numFmtId="0" fontId="30" fillId="0" borderId="10" xfId="0" applyFont="1" applyBorder="1" applyAlignment="1">
      <alignment vertical="top" wrapText="1"/>
    </xf>
    <xf numFmtId="0" fontId="9" fillId="2" borderId="1" xfId="4" applyFont="1" applyFill="1" applyAlignment="1">
      <alignment horizontal="left"/>
    </xf>
    <xf numFmtId="0" fontId="3" fillId="0" borderId="1" xfId="4" applyFont="1"/>
    <xf numFmtId="0" fontId="9" fillId="2" borderId="1" xfId="4" applyFont="1" applyFill="1" applyAlignment="1">
      <alignment horizontal="center" wrapText="1"/>
    </xf>
    <xf numFmtId="166" fontId="12" fillId="3" borderId="1" xfId="4" applyNumberFormat="1" applyFont="1" applyFill="1" applyAlignment="1">
      <alignment horizontal="center" wrapText="1"/>
    </xf>
    <xf numFmtId="166" fontId="12" fillId="3" borderId="1" xfId="4" applyNumberFormat="1" applyFont="1" applyFill="1" applyAlignment="1">
      <alignment horizontal="center"/>
    </xf>
    <xf numFmtId="0" fontId="8" fillId="20" borderId="1" xfId="4" applyFont="1" applyFill="1" applyAlignment="1">
      <alignment horizontal="center"/>
    </xf>
    <xf numFmtId="0" fontId="9" fillId="2" borderId="1" xfId="4" applyFont="1" applyFill="1" applyAlignment="1">
      <alignment horizontal="center"/>
    </xf>
    <xf numFmtId="0" fontId="10" fillId="3" borderId="17" xfId="4" applyFont="1" applyFill="1" applyBorder="1" applyAlignment="1">
      <alignment horizontal="center"/>
    </xf>
    <xf numFmtId="0" fontId="26" fillId="11" borderId="0" xfId="0" applyFont="1" applyFill="1" applyAlignment="1">
      <alignment horizontal="center" vertical="center" wrapText="1"/>
    </xf>
    <xf numFmtId="0" fontId="26" fillId="11" borderId="0" xfId="0" applyFont="1" applyFill="1" applyAlignment="1">
      <alignment vertical="center" wrapText="1"/>
    </xf>
    <xf numFmtId="0" fontId="27" fillId="12" borderId="17" xfId="0" applyFont="1" applyFill="1" applyBorder="1" applyAlignment="1">
      <alignment horizontal="center" wrapText="1"/>
    </xf>
    <xf numFmtId="0" fontId="14" fillId="0" borderId="13" xfId="4" applyFont="1" applyBorder="1" applyAlignment="1">
      <alignment horizontal="center" vertical="center"/>
    </xf>
    <xf numFmtId="0" fontId="5" fillId="20" borderId="1" xfId="4" applyFont="1" applyFill="1" applyAlignment="1">
      <alignment horizontal="center"/>
    </xf>
    <xf numFmtId="0" fontId="20" fillId="0" borderId="1" xfId="4"/>
    <xf numFmtId="0" fontId="10" fillId="3" borderId="1" xfId="4" applyFont="1" applyFill="1" applyAlignment="1">
      <alignment horizontal="center"/>
    </xf>
  </cellXfs>
  <cellStyles count="8">
    <cellStyle name="Millares" xfId="1" builtinId="3"/>
    <cellStyle name="Millares 2" xfId="7"/>
    <cellStyle name="Moneda" xfId="2" builtinId="4"/>
    <cellStyle name="Normal" xfId="0" builtinId="0"/>
    <cellStyle name="Normal 2" xfId="4"/>
    <cellStyle name="Normal 3" xfId="5"/>
    <cellStyle name="Porcentaje 2" xfId="6"/>
    <cellStyle name="Porcentual" xfId="3" builtinId="5"/>
  </cellStyles>
  <dxfs count="0"/>
  <tableStyles count="0" defaultTableStyle="TableStyleMedium2" defaultPivotStyle="PivotStyleLight16"/>
  <colors>
    <mruColors>
      <color rgb="FF818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Nacionalidad pacientes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[5]conclusiones!$D$2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spPr>
              <a:solidFill>
                <a:srgbClr val="8186E7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781-4FF3-A34D-00A44E3FED29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781-4FF3-A34D-00A44E3FED29}"/>
              </c:ext>
            </c:extLst>
          </c:dPt>
          <c:dPt>
            <c:idx val="2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781-4FF3-A34D-00A44E3FED2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[5]conclusiones!$B$3:$B$5</c:f>
              <c:strCache>
                <c:ptCount val="3"/>
                <c:pt idx="0">
                  <c:v>española</c:v>
                </c:pt>
                <c:pt idx="1">
                  <c:v>no española</c:v>
                </c:pt>
                <c:pt idx="2">
                  <c:v>(blank)</c:v>
                </c:pt>
              </c:strCache>
            </c:strRef>
          </c:cat>
          <c:val>
            <c:numRef>
              <c:f>[5]conclusiones!$D$3:$D$5</c:f>
              <c:numCache>
                <c:formatCode>General</c:formatCode>
                <c:ptCount val="3"/>
                <c:pt idx="0">
                  <c:v>0.72972972972972971</c:v>
                </c:pt>
                <c:pt idx="1">
                  <c:v>0.22432432432432434</c:v>
                </c:pt>
                <c:pt idx="2">
                  <c:v>4.5945945945945948E-2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781-4FF3-A34D-00A44E3FED29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 pacientes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[5]conclusiones!$D$18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dPt>
            <c:idx val="0"/>
            <c:spPr>
              <a:solidFill>
                <a:srgbClr val="8186E7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24-408D-A963-68AC102EB484}"/>
              </c:ext>
            </c:extLst>
          </c:dPt>
          <c:dPt>
            <c:idx val="1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24-408D-A963-68AC102EB48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[5]conclusiones!$B$19:$B$20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[5]conclusiones!$D$19:$D$20</c:f>
              <c:numCache>
                <c:formatCode>General</c:formatCode>
                <c:ptCount val="2"/>
                <c:pt idx="0">
                  <c:v>0.63487738419618533</c:v>
                </c:pt>
                <c:pt idx="1">
                  <c:v>0.36512261580381472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24-408D-A963-68AC102EB484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Región pacientes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[5]conclusiones!$D$31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71B-4BEC-92DF-9A758D1774DB}"/>
              </c:ext>
            </c:extLst>
          </c:dPt>
          <c:dPt>
            <c:idx val="1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71B-4BEC-92DF-9A758D1774DB}"/>
              </c:ext>
            </c:extLst>
          </c:dPt>
          <c:dPt>
            <c:idx val="2"/>
            <c:spPr>
              <a:solidFill>
                <a:srgbClr val="8186E7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71B-4BEC-92DF-9A758D1774DB}"/>
              </c:ext>
            </c:extLst>
          </c:dPt>
          <c:dPt>
            <c:idx val="3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71B-4BEC-92DF-9A758D1774DB}"/>
              </c:ext>
            </c:extLst>
          </c:dPt>
          <c:dPt>
            <c:idx val="4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71B-4BEC-92DF-9A758D1774DB}"/>
              </c:ext>
            </c:extLst>
          </c:dPt>
          <c:dLbls>
            <c:dLbl>
              <c:idx val="1"/>
              <c:layout>
                <c:manualLayout>
                  <c:x val="4.2573595101768336E-2"/>
                  <c:y val="4.027416636222647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1B-4BEC-92DF-9A758D1774DB}"/>
                </c:ext>
              </c:extLst>
            </c:dLbl>
            <c:dLbl>
              <c:idx val="2"/>
              <c:layout>
                <c:manualLayout>
                  <c:x val="3.9133275665156629E-5"/>
                  <c:y val="-3.340742679436955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1B-4BEC-92DF-9A758D1774DB}"/>
                </c:ext>
              </c:extLst>
            </c:dLbl>
            <c:dLbl>
              <c:idx val="3"/>
              <c:layout>
                <c:manualLayout>
                  <c:x val="1.1654216739988158E-2"/>
                  <c:y val="-9.054885321231044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1B-4BEC-92DF-9A758D1774DB}"/>
                </c:ext>
              </c:extLst>
            </c:dLbl>
            <c:dLbl>
              <c:idx val="4"/>
              <c:layout>
                <c:manualLayout>
                  <c:x val="4.8618390839704671E-2"/>
                  <c:y val="1.5340824576104578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1B-4BEC-92DF-9A758D1774D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[5]conclusiones!$B$32:$B$36</c:f>
              <c:strCache>
                <c:ptCount val="5"/>
                <c:pt idx="0">
                  <c:v>Alicante</c:v>
                </c:pt>
                <c:pt idx="1">
                  <c:v>Andalucía</c:v>
                </c:pt>
                <c:pt idx="2">
                  <c:v>Cataluña</c:v>
                </c:pt>
                <c:pt idx="3">
                  <c:v>Madrid</c:v>
                </c:pt>
                <c:pt idx="4">
                  <c:v>Murcia</c:v>
                </c:pt>
              </c:strCache>
            </c:strRef>
          </c:cat>
          <c:val>
            <c:numRef>
              <c:f>[5]conclusiones!$D$32:$D$36</c:f>
              <c:numCache>
                <c:formatCode>General</c:formatCode>
                <c:ptCount val="5"/>
                <c:pt idx="0">
                  <c:v>2.9411764705882353E-2</c:v>
                </c:pt>
                <c:pt idx="1">
                  <c:v>0.1</c:v>
                </c:pt>
                <c:pt idx="2">
                  <c:v>0.44117647058823528</c:v>
                </c:pt>
                <c:pt idx="3">
                  <c:v>0.3</c:v>
                </c:pt>
                <c:pt idx="4">
                  <c:v>0.12941176470588237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71B-4BEC-92DF-9A758D1774DB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</a:t>
            </a:r>
            <a:r>
              <a:rPr lang="en-US" baseline="0"/>
              <a:t> p</a:t>
            </a:r>
            <a:r>
              <a:rPr lang="en-US"/>
              <a:t>acientes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[5]conclusiones!$M$2</c:f>
              <c:strCache>
                <c:ptCount val="1"/>
                <c:pt idx="0">
                  <c:v>Pacientes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[5]conclusiones!$M$3:$M$66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17</c:v>
                </c:pt>
                <c:pt idx="25">
                  <c:v>15</c:v>
                </c:pt>
                <c:pt idx="26">
                  <c:v>23</c:v>
                </c:pt>
                <c:pt idx="27">
                  <c:v>19</c:v>
                </c:pt>
                <c:pt idx="28">
                  <c:v>23</c:v>
                </c:pt>
                <c:pt idx="29">
                  <c:v>20</c:v>
                </c:pt>
                <c:pt idx="30">
                  <c:v>15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23</c:v>
                </c:pt>
                <c:pt idx="42">
                  <c:v>4</c:v>
                </c:pt>
                <c:pt idx="43">
                  <c:v>8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42-4CDF-B8B5-02B735F54978}"/>
            </c:ext>
          </c:extLst>
        </c:ser>
        <c:gapWidth val="219"/>
        <c:overlap val="-27"/>
        <c:axId val="169988864"/>
        <c:axId val="169990400"/>
      </c:barChart>
      <c:catAx>
        <c:axId val="1699888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90400"/>
        <c:crosses val="autoZero"/>
        <c:auto val="1"/>
        <c:lblAlgn val="ctr"/>
        <c:lblOffset val="100"/>
      </c:catAx>
      <c:valAx>
        <c:axId val="169990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198118</xdr:rowOff>
    </xdr:from>
    <xdr:to>
      <xdr:col>16</xdr:col>
      <xdr:colOff>592455</xdr:colOff>
      <xdr:row>36</xdr:row>
      <xdr:rowOff>95249</xdr:rowOff>
    </xdr:to>
    <xdr:sp macro="" textlink="">
      <xdr:nvSpPr>
        <xdr:cNvPr id="2" name="TextBox 12">
          <a:extLst>
            <a:ext uri="{FF2B5EF4-FFF2-40B4-BE49-F238E27FC236}">
              <a16:creationId xmlns="" xmlns:a16="http://schemas.microsoft.com/office/drawing/2014/main" id="{D5E6BDE7-7753-4D78-910E-56FFC3C323D0}"/>
            </a:ext>
          </a:extLst>
        </xdr:cNvPr>
        <xdr:cNvSpPr txBox="1"/>
      </xdr:nvSpPr>
      <xdr:spPr>
        <a:xfrm>
          <a:off x="9858375" y="883918"/>
          <a:ext cx="6917055" cy="5497831"/>
        </a:xfrm>
        <a:prstGeom prst="rect">
          <a:avLst/>
        </a:prstGeom>
        <a:solidFill>
          <a:schemeClr val="lt1"/>
        </a:solidFill>
        <a:ln w="508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 u="sng"/>
            <a:t>Escenrario 1</a:t>
          </a:r>
        </a:p>
        <a:p>
          <a:r>
            <a:rPr lang="es-ES" sz="1100"/>
            <a:t>Para el cálculo</a:t>
          </a:r>
          <a:r>
            <a:rPr lang="es-ES" sz="1100" baseline="0"/>
            <a:t> de estas proyecciones </a:t>
          </a:r>
          <a:r>
            <a:rPr lang="es-ES" sz="1100" b="1" baseline="0"/>
            <a:t>no se ha tenido en cuenta la apertura de nuevas clínicas, así como lanzamientos</a:t>
          </a:r>
          <a:r>
            <a:rPr lang="es-ES" sz="1100" baseline="0"/>
            <a:t> de nuevos productos en los 6 primeros meses del 2023. </a:t>
          </a:r>
        </a:p>
        <a:p>
          <a:r>
            <a:rPr lang="es-ES" sz="1100" b="1" baseline="0"/>
            <a:t>El escenario 1 es el planteamiento de la actividad empresarial lineable en 2023 como ha sido en 2022 sin ningún cambio relevante.</a:t>
          </a:r>
        </a:p>
        <a:p>
          <a:r>
            <a:rPr lang="es-ES" sz="1100" baseline="0"/>
            <a:t>La proyección de H1 se ha realizado teniendo en cuenta la actividad digital de H2´22.</a:t>
          </a:r>
        </a:p>
        <a:p>
          <a:endParaRPr lang="es-ES" sz="1100" baseline="0"/>
        </a:p>
        <a:p>
          <a:r>
            <a:rPr lang="es-ES" sz="1100" baseline="0"/>
            <a:t>Siguiendo con la estrategia que se ha llevado a cabo en los últimos 6 meses 2022, que es la persecución de la eficiencia y eficacia de los resultados y cuyo objetivo principal es la </a:t>
          </a:r>
          <a:r>
            <a:rPr lang="es-ES" sz="1100" b="1" baseline="0"/>
            <a:t>persecución de conversiones</a:t>
          </a:r>
          <a:r>
            <a:rPr lang="es-ES" sz="1100" baseline="0"/>
            <a:t>, las plataformas que se utilizarán en H1´23 son FB, Brand Google y TIKTOK. Por lo tanto, plataformas de awareness como son YT o Display en este forecast no han sido contenpladas.</a:t>
          </a:r>
        </a:p>
        <a:p>
          <a:endParaRPr lang="es-ES" sz="1100" baseline="0"/>
        </a:p>
        <a:p>
          <a:r>
            <a:rPr lang="es-ES" sz="1100" baseline="0"/>
            <a:t>En este Forecast hemos tenido en cuenta las Reservas por fecha de creación y por fecha de visita. Cabe decir que más o menos el 25% de las reservas de creación del mes son agendadas para el mes siguiente.</a:t>
          </a:r>
        </a:p>
        <a:p>
          <a:endParaRPr lang="es-ES" sz="1100" baseline="0"/>
        </a:p>
        <a:p>
          <a:endParaRPr lang="es-ES" sz="1100"/>
        </a:p>
        <a:p>
          <a:r>
            <a:rPr lang="es-ES" sz="1100" u="sng"/>
            <a:t>Q1</a:t>
          </a:r>
        </a:p>
        <a:p>
          <a:r>
            <a:rPr lang="es-ES" sz="1100" baseline="0"/>
            <a:t>- La marca A, como se ha visto en los últimos meses del 2022, genera mayor volumen de leads que la marca BL.</a:t>
          </a:r>
        </a:p>
        <a:p>
          <a:r>
            <a:rPr lang="es-ES" sz="1100" baseline="0"/>
            <a:t>- Se ha tenido en cuenta que la demanda del mes de enero es mayor que los meses de Febrero y Marzo. Se espera un declive es demanda en esos dos meses y por ende la inversión será menor</a:t>
          </a:r>
        </a:p>
        <a:p>
          <a:endParaRPr lang="es-ES" sz="1100" baseline="0"/>
        </a:p>
        <a:p>
          <a:r>
            <a:rPr lang="es-ES" sz="1100" u="sng" baseline="0"/>
            <a:t>Q2</a:t>
          </a:r>
        </a:p>
        <a:p>
          <a:r>
            <a:rPr lang="es-ES" sz="1100" baseline="0"/>
            <a:t>- La demanda vuelve a fluctuar a partir del mes de abril hasta el mes de junio mostrando una subida de inversión en esos meses y por ende el CR flucturá también en esos meses.</a:t>
          </a:r>
        </a:p>
        <a:p>
          <a:r>
            <a:rPr lang="es-ES" sz="1100" u="sng" baseline="0"/>
            <a:t>Q3</a:t>
          </a:r>
        </a:p>
        <a:p>
          <a:r>
            <a:rPr lang="es-ES" sz="1100" baseline="0"/>
            <a:t>Durante el mes de agosto la actividad será mínima, pero nos ayudará a generar reservas para el mes de Sept y los meses venideros.</a:t>
          </a:r>
        </a:p>
        <a:p>
          <a:r>
            <a:rPr lang="es-ES" sz="1100" baseline="0"/>
            <a:t>En el mes de Julio la demanda empezará a bajar con modtivo de la estacionalidad.</a:t>
          </a:r>
        </a:p>
        <a:p>
          <a:endParaRPr lang="es-ES" sz="1100" baseline="0"/>
        </a:p>
        <a:p>
          <a:r>
            <a:rPr lang="es-ES" sz="1100" u="sng" baseline="0"/>
            <a:t>Q4</a:t>
          </a:r>
        </a:p>
        <a:p>
          <a:r>
            <a:rPr lang="es-ES" sz="1100" baseline="0"/>
            <a:t>Incremento de la inversión para hacer frente a los 3 meses de mayor demanda y de mayor estacionalidad (pre BF, BF, y BF)</a:t>
          </a:r>
        </a:p>
        <a:p>
          <a:endParaRPr lang="es-ES" sz="1100" baseline="0"/>
        </a:p>
        <a:p>
          <a:endParaRPr lang="es-ES" sz="1100" baseline="0"/>
        </a:p>
        <a:p>
          <a:endParaRPr lang="es-ES" sz="1100" baseline="0"/>
        </a:p>
        <a:p>
          <a:endParaRPr lang="es-ES" sz="1100" baseline="0"/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16</xdr:col>
      <xdr:colOff>588645</xdr:colOff>
      <xdr:row>79</xdr:row>
      <xdr:rowOff>140368</xdr:rowOff>
    </xdr:to>
    <xdr:sp macro="" textlink="">
      <xdr:nvSpPr>
        <xdr:cNvPr id="3" name="TextBox 12">
          <a:extLst>
            <a:ext uri="{FF2B5EF4-FFF2-40B4-BE49-F238E27FC236}">
              <a16:creationId xmlns="" xmlns:a16="http://schemas.microsoft.com/office/drawing/2014/main" id="{1F28FB34-70A3-4375-883A-7C6278BF4732}"/>
            </a:ext>
          </a:extLst>
        </xdr:cNvPr>
        <xdr:cNvSpPr txBox="1"/>
      </xdr:nvSpPr>
      <xdr:spPr>
        <a:xfrm>
          <a:off x="9875921" y="7790447"/>
          <a:ext cx="6925277" cy="6055895"/>
        </a:xfrm>
        <a:prstGeom prst="rect">
          <a:avLst/>
        </a:prstGeom>
        <a:solidFill>
          <a:schemeClr val="lt1"/>
        </a:solidFill>
        <a:ln w="508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 u="sng"/>
            <a:t>Escenrario 2</a:t>
          </a:r>
        </a:p>
        <a:p>
          <a:r>
            <a:rPr lang="es-ES" sz="1100"/>
            <a:t>Para el cálculo</a:t>
          </a:r>
          <a:r>
            <a:rPr lang="es-ES" sz="1100" baseline="0"/>
            <a:t> de estas </a:t>
          </a:r>
          <a:r>
            <a:rPr lang="es-ES" sz="1100" b="0" baseline="0"/>
            <a:t>proyecciones se ha tenido en cuenta </a:t>
          </a:r>
          <a:r>
            <a:rPr lang="es-ES" sz="1100" b="1" baseline="0"/>
            <a:t>la apertura de las siguientes clínnicas para la marca A</a:t>
          </a:r>
        </a:p>
        <a:p>
          <a:r>
            <a:rPr lang="es-ES" sz="1100" b="1" baseline="0"/>
            <a:t>- Apertura de clínica propia Gracia en Abril</a:t>
          </a:r>
        </a:p>
        <a:p>
          <a:r>
            <a:rPr lang="es-ES" sz="1100" b="1" baseline="0"/>
            <a:t>- Apertura de clínica propia Valencia en Abril</a:t>
          </a:r>
        </a:p>
        <a:p>
          <a:r>
            <a:rPr lang="es-ES" sz="1100" b="1" baseline="0"/>
            <a:t>- Apertuta de 4 SIS ( País Vasco y Andalucia) en Junio</a:t>
          </a:r>
        </a:p>
        <a:p>
          <a:endParaRPr lang="es-ES" sz="1100" b="1" baseline="0"/>
        </a:p>
        <a:p>
          <a:r>
            <a:rPr lang="es-ES" sz="1100" baseline="0"/>
            <a:t>La proyección de H1 se ha realizado teniendo en cuenta la actividad digital de H2´22.</a:t>
          </a:r>
        </a:p>
        <a:p>
          <a:r>
            <a:rPr lang="es-ES" sz="1100" baseline="0"/>
            <a:t>La proyección de la marca B será la misma que en el "Escenario 1 " dado que no se preveé la apertura de ninguna clínica para esta marca, y ninguna apertura de la marca A impacta a esta marca.</a:t>
          </a:r>
        </a:p>
        <a:p>
          <a:endParaRPr lang="es-ES" sz="1100" baseline="0"/>
        </a:p>
        <a:p>
          <a:r>
            <a:rPr lang="es-ES" sz="1100" baseline="0"/>
            <a:t>En este Forecast, como en el escenario 1, hemos tenido en cuenta las Reservas por fecha de creación y por fecha de visita. Cabe decir que más o menos el 25% de las reservas de creación del mes son agendadas para el mes siguiente.</a:t>
          </a:r>
        </a:p>
        <a:p>
          <a:endParaRPr lang="es-ES" sz="1100" baseline="0"/>
        </a:p>
        <a:p>
          <a:endParaRPr lang="es-ES" sz="1100"/>
        </a:p>
        <a:p>
          <a:r>
            <a:rPr lang="es-ES" sz="1100" u="sng"/>
            <a:t>Q1</a:t>
          </a:r>
        </a:p>
        <a:p>
          <a:r>
            <a:rPr lang="es-ES" sz="1100" baseline="0"/>
            <a:t>- La Marca A, como se ha visto en los últimos meses del 2022, genera mayor volumen de leads que la marca B..</a:t>
          </a:r>
        </a:p>
        <a:p>
          <a:endParaRPr lang="es-ES" sz="1100" baseline="0"/>
        </a:p>
        <a:p>
          <a:r>
            <a:rPr lang="es-ES" sz="1100" u="sng" baseline="0"/>
            <a:t>Q2</a:t>
          </a:r>
        </a:p>
        <a:p>
          <a:r>
            <a:rPr lang="es-ES" sz="1100" baseline="0"/>
            <a:t>- Se ha proyectado que en abrirá la la clínica propia Valencia y de Gracia en el mes de Abril</a:t>
          </a:r>
        </a:p>
        <a:p>
          <a:r>
            <a:rPr lang="es-ES" sz="1100" baseline="0"/>
            <a:t>- En el mes de Junio se preveé abrir una Asis en Andalucia y otra en el País Vasco para la marca A</a:t>
          </a:r>
        </a:p>
        <a:p>
          <a:r>
            <a:rPr lang="es-ES" sz="1100" u="sng" baseline="0"/>
            <a:t>Q3</a:t>
          </a:r>
        </a:p>
        <a:p>
          <a:r>
            <a:rPr lang="es-ES" sz="1100" baseline="0"/>
            <a:t>Durante el mes de agosto la actividad será mínima, pero nos ayudará a generar reservas para el mes de Sept y los meses venideros.</a:t>
          </a:r>
        </a:p>
        <a:p>
          <a:r>
            <a:rPr lang="es-ES" sz="1100" baseline="0"/>
            <a:t>En el mes de Julio la demanda empezará a bajar con modtivo de la estacionalidad.</a:t>
          </a:r>
        </a:p>
        <a:p>
          <a:endParaRPr lang="es-ES" sz="1100" baseline="0"/>
        </a:p>
        <a:p>
          <a:r>
            <a:rPr lang="es-ES" sz="1100" u="sng" baseline="0"/>
            <a:t>Q4</a:t>
          </a:r>
        </a:p>
        <a:p>
          <a:r>
            <a:rPr lang="es-ES" sz="1100" baseline="0"/>
            <a:t>Incremento de la inversión para hacer frente a los 3 meses de mayor demanda y de mayor estacionalidad (pre BF, BF, y BF)</a:t>
          </a:r>
        </a:p>
        <a:p>
          <a:endParaRPr lang="es-ES" sz="1100" baseline="0"/>
        </a:p>
        <a:p>
          <a:endParaRPr lang="es-ES" sz="1100" baseline="0"/>
        </a:p>
        <a:p>
          <a:endParaRPr lang="es-ES" sz="1100" baseline="0"/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3</xdr:row>
      <xdr:rowOff>45720</xdr:rowOff>
    </xdr:from>
    <xdr:to>
      <xdr:col>5</xdr:col>
      <xdr:colOff>530507</xdr:colOff>
      <xdr:row>16</xdr:row>
      <xdr:rowOff>144684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7DF8C981-996B-4E2D-B30F-B60CEEDFB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48226</xdr:colOff>
      <xdr:row>3</xdr:row>
      <xdr:rowOff>96455</xdr:rowOff>
    </xdr:from>
    <xdr:to>
      <xdr:col>9</xdr:col>
      <xdr:colOff>588377</xdr:colOff>
      <xdr:row>16</xdr:row>
      <xdr:rowOff>144682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C6F61ED3-65CB-4E22-900A-26957083B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57872</xdr:colOff>
      <xdr:row>4</xdr:row>
      <xdr:rowOff>35834</xdr:rowOff>
    </xdr:from>
    <xdr:to>
      <xdr:col>13</xdr:col>
      <xdr:colOff>115745</xdr:colOff>
      <xdr:row>17</xdr:row>
      <xdr:rowOff>0</xdr:rowOff>
    </xdr:to>
    <xdr:graphicFrame macro="">
      <xdr:nvGraphicFramePr>
        <xdr:cNvPr id="5" name="Chart 11">
          <a:extLst>
            <a:ext uri="{FF2B5EF4-FFF2-40B4-BE49-F238E27FC236}">
              <a16:creationId xmlns="" xmlns:a16="http://schemas.microsoft.com/office/drawing/2014/main" id="{FC74C50C-54F2-4AD7-9C17-C4E9603AC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102870</xdr:colOff>
      <xdr:row>26</xdr:row>
      <xdr:rowOff>150495</xdr:rowOff>
    </xdr:from>
    <xdr:to>
      <xdr:col>11</xdr:col>
      <xdr:colOff>100965</xdr:colOff>
      <xdr:row>48</xdr:row>
      <xdr:rowOff>6668</xdr:rowOff>
    </xdr:to>
    <xdr:graphicFrame macro="">
      <xdr:nvGraphicFramePr>
        <xdr:cNvPr id="6" name="Chart 8">
          <a:extLst>
            <a:ext uri="{FF2B5EF4-FFF2-40B4-BE49-F238E27FC236}">
              <a16:creationId xmlns="" xmlns:a16="http://schemas.microsoft.com/office/drawing/2014/main" id="{669C14AC-C72E-428E-AF36-1A87EE86D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41910</xdr:colOff>
      <xdr:row>60</xdr:row>
      <xdr:rowOff>7618</xdr:rowOff>
    </xdr:to>
    <xdr:sp macro="" textlink="">
      <xdr:nvSpPr>
        <xdr:cNvPr id="7" name="TextBox 12">
          <a:extLst>
            <a:ext uri="{FF2B5EF4-FFF2-40B4-BE49-F238E27FC236}">
              <a16:creationId xmlns="" xmlns:a16="http://schemas.microsoft.com/office/drawing/2014/main" id="{EEF63BF0-6ABF-4485-80B2-8E868ABC944B}"/>
            </a:ext>
          </a:extLst>
        </xdr:cNvPr>
        <xdr:cNvSpPr txBox="1"/>
      </xdr:nvSpPr>
      <xdr:spPr>
        <a:xfrm>
          <a:off x="762000" y="8511540"/>
          <a:ext cx="4758690" cy="1127758"/>
        </a:xfrm>
        <a:prstGeom prst="rect">
          <a:avLst/>
        </a:prstGeom>
        <a:solidFill>
          <a:schemeClr val="lt1"/>
        </a:solidFill>
        <a:ln w="508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paciente</a:t>
          </a:r>
          <a:r>
            <a:rPr lang="es-ES" sz="1100" baseline="0"/>
            <a:t> de las clínicas Elims y CEL es en general:</a:t>
          </a:r>
        </a:p>
        <a:p>
          <a:r>
            <a:rPr lang="es-ES" sz="1100" baseline="0"/>
            <a:t>- español</a:t>
          </a:r>
        </a:p>
        <a:p>
          <a:r>
            <a:rPr lang="es-ES" sz="1100" baseline="0"/>
            <a:t>- Sexo femenino</a:t>
          </a:r>
        </a:p>
        <a:p>
          <a:r>
            <a:rPr lang="es-ES" sz="1100" baseline="0"/>
            <a:t>- 32 años</a:t>
          </a:r>
        </a:p>
        <a:p>
          <a:r>
            <a:rPr lang="es-ES" sz="1100" baseline="0"/>
            <a:t>Además, la mayoría de pacientes se encuentran en Cataluña, seguido de Madrid.</a:t>
          </a:r>
        </a:p>
      </xdr:txBody>
    </xdr:sp>
    <xdr:clientData/>
  </xdr:twoCellAnchor>
  <xdr:twoCellAnchor>
    <xdr:from>
      <xdr:col>1</xdr:col>
      <xdr:colOff>0</xdr:colOff>
      <xdr:row>61</xdr:row>
      <xdr:rowOff>0</xdr:rowOff>
    </xdr:from>
    <xdr:to>
      <xdr:col>8</xdr:col>
      <xdr:colOff>41910</xdr:colOff>
      <xdr:row>68</xdr:row>
      <xdr:rowOff>7618</xdr:rowOff>
    </xdr:to>
    <xdr:sp macro="" textlink="">
      <xdr:nvSpPr>
        <xdr:cNvPr id="8" name="TextBox 12">
          <a:extLst>
            <a:ext uri="{FF2B5EF4-FFF2-40B4-BE49-F238E27FC236}">
              <a16:creationId xmlns="" xmlns:a16="http://schemas.microsoft.com/office/drawing/2014/main" id="{789FD84D-7994-4E72-9292-5C0DF4740649}"/>
            </a:ext>
          </a:extLst>
        </xdr:cNvPr>
        <xdr:cNvSpPr txBox="1"/>
      </xdr:nvSpPr>
      <xdr:spPr>
        <a:xfrm>
          <a:off x="762000" y="9791700"/>
          <a:ext cx="4758690" cy="1127758"/>
        </a:xfrm>
        <a:prstGeom prst="rect">
          <a:avLst/>
        </a:prstGeom>
        <a:solidFill>
          <a:schemeClr val="lt1"/>
        </a:solidFill>
        <a:ln w="508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paciente</a:t>
          </a:r>
          <a:r>
            <a:rPr lang="es-ES" sz="1100" baseline="0"/>
            <a:t> de las clínicas Elims y CEL es en general:</a:t>
          </a:r>
        </a:p>
        <a:p>
          <a:r>
            <a:rPr lang="es-ES" sz="1100" baseline="0"/>
            <a:t>- español</a:t>
          </a:r>
        </a:p>
        <a:p>
          <a:r>
            <a:rPr lang="es-ES" sz="1100" baseline="0"/>
            <a:t>- Sexo femenino</a:t>
          </a:r>
        </a:p>
        <a:p>
          <a:r>
            <a:rPr lang="es-ES" sz="1100" baseline="0"/>
            <a:t>- 32 años</a:t>
          </a:r>
        </a:p>
        <a:p>
          <a:r>
            <a:rPr lang="es-ES" sz="1100" baseline="0"/>
            <a:t>Además, la mayoría de pacientes se encuentran en Cataluña, seguido de Madrid.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8</xdr:col>
      <xdr:colOff>99060</xdr:colOff>
      <xdr:row>79</xdr:row>
      <xdr:rowOff>22859</xdr:rowOff>
    </xdr:to>
    <xdr:sp macro="" textlink="">
      <xdr:nvSpPr>
        <xdr:cNvPr id="9" name="TextBox 4">
          <a:extLst>
            <a:ext uri="{FF2B5EF4-FFF2-40B4-BE49-F238E27FC236}">
              <a16:creationId xmlns="" xmlns:a16="http://schemas.microsoft.com/office/drawing/2014/main" id="{572E5EFC-482C-40E4-8C16-A999DCDF96B5}"/>
            </a:ext>
          </a:extLst>
        </xdr:cNvPr>
        <xdr:cNvSpPr txBox="1"/>
      </xdr:nvSpPr>
      <xdr:spPr>
        <a:xfrm>
          <a:off x="762000" y="11071860"/>
          <a:ext cx="4815840" cy="1623059"/>
        </a:xfrm>
        <a:prstGeom prst="rect">
          <a:avLst/>
        </a:prstGeom>
        <a:solidFill>
          <a:schemeClr val="lt1"/>
        </a:solidFill>
        <a:ln w="508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paciente</a:t>
          </a:r>
          <a:r>
            <a:rPr lang="es-ES" sz="1100" baseline="0"/>
            <a:t> de las clínicas </a:t>
          </a:r>
          <a:r>
            <a:rPr lang="es-ES" sz="1100" b="1" baseline="0"/>
            <a:t>ELIMS</a:t>
          </a:r>
          <a:r>
            <a:rPr lang="es-ES" sz="1100" baseline="0"/>
            <a:t> está interesado en:</a:t>
          </a:r>
        </a:p>
        <a:p>
          <a:r>
            <a:rPr lang="es-ES" sz="1100" baseline="0"/>
            <a:t>- Cataluña, Madrid y Andalucía:</a:t>
          </a:r>
        </a:p>
        <a:p>
          <a:r>
            <a:rPr lang="es-ES" sz="1100" baseline="0"/>
            <a:t>	1.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Dining/Cooking Enthusiasts/30 Minute Chefs</a:t>
          </a:r>
          <a:r>
            <a:rPr lang="es-ES"/>
            <a:t> </a:t>
          </a:r>
          <a:r>
            <a:rPr lang="es-ES" sz="1100" baseline="0"/>
            <a:t>	</a:t>
          </a:r>
        </a:p>
        <a:p>
          <a:r>
            <a:rPr lang="es-ES" sz="1100" baseline="0"/>
            <a:t>	2.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Beauty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Wellness/Beauty Mavens</a:t>
          </a:r>
          <a:r>
            <a:rPr lang="es-ES"/>
            <a:t> </a:t>
          </a:r>
          <a:endParaRPr lang="es-E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3.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Lifestyles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Hobbies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Fashionistas</a:t>
          </a:r>
          <a:r>
            <a:rPr lang="es-ES"/>
            <a:t> </a:t>
          </a:r>
        </a:p>
        <a:p>
          <a:r>
            <a:rPr lang="es-ES" sz="1100" baseline="0"/>
            <a:t>- Alicante:	1.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 &amp; Dining/Cooking Enthusiasts/30 Minute Chefs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2. Food &amp; Dining/Fast Food Cravers</a:t>
          </a:r>
          <a:r>
            <a:rPr lang="es-ES"/>
            <a:t>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es-ES"/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21</xdr:col>
      <xdr:colOff>41910</xdr:colOff>
      <xdr:row>14</xdr:row>
      <xdr:rowOff>7618</xdr:rowOff>
    </xdr:to>
    <xdr:sp macro="" textlink="">
      <xdr:nvSpPr>
        <xdr:cNvPr id="10" name="TextBox 12">
          <a:extLst>
            <a:ext uri="{FF2B5EF4-FFF2-40B4-BE49-F238E27FC236}">
              <a16:creationId xmlns="" xmlns:a16="http://schemas.microsoft.com/office/drawing/2014/main" id="{C6BD279C-85E8-48ED-8737-697D8779D1FE}"/>
            </a:ext>
          </a:extLst>
        </xdr:cNvPr>
        <xdr:cNvSpPr txBox="1"/>
      </xdr:nvSpPr>
      <xdr:spPr>
        <a:xfrm>
          <a:off x="762000" y="8709949"/>
          <a:ext cx="4758594" cy="1153536"/>
        </a:xfrm>
        <a:prstGeom prst="rect">
          <a:avLst/>
        </a:prstGeom>
        <a:solidFill>
          <a:schemeClr val="lt1"/>
        </a:solidFill>
        <a:ln w="508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paciente</a:t>
          </a:r>
          <a:r>
            <a:rPr lang="es-ES" sz="1100" baseline="0"/>
            <a:t> de las clínicas Elims y CEL es en general:</a:t>
          </a:r>
        </a:p>
        <a:p>
          <a:r>
            <a:rPr lang="es-ES" sz="1100" baseline="0"/>
            <a:t>- español</a:t>
          </a:r>
        </a:p>
        <a:p>
          <a:r>
            <a:rPr lang="es-ES" sz="1100" baseline="0"/>
            <a:t>- Sexo femenino</a:t>
          </a:r>
        </a:p>
        <a:p>
          <a:r>
            <a:rPr lang="es-ES" sz="1100" baseline="0"/>
            <a:t>- 32 años</a:t>
          </a:r>
        </a:p>
        <a:p>
          <a:r>
            <a:rPr lang="es-ES" sz="1100" baseline="0"/>
            <a:t>Además, la mayoría de pacientes se encuentran en Cataluña, seguido de Madrid.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41910</xdr:colOff>
      <xdr:row>22</xdr:row>
      <xdr:rowOff>7618</xdr:rowOff>
    </xdr:to>
    <xdr:sp macro="" textlink="">
      <xdr:nvSpPr>
        <xdr:cNvPr id="11" name="TextBox 12">
          <a:extLst>
            <a:ext uri="{FF2B5EF4-FFF2-40B4-BE49-F238E27FC236}">
              <a16:creationId xmlns="" xmlns:a16="http://schemas.microsoft.com/office/drawing/2014/main" id="{DB3069E5-3225-4230-B997-BC689928D007}"/>
            </a:ext>
          </a:extLst>
        </xdr:cNvPr>
        <xdr:cNvSpPr txBox="1"/>
      </xdr:nvSpPr>
      <xdr:spPr>
        <a:xfrm>
          <a:off x="762000" y="10021747"/>
          <a:ext cx="4758594" cy="1153536"/>
        </a:xfrm>
        <a:prstGeom prst="rect">
          <a:avLst/>
        </a:prstGeom>
        <a:solidFill>
          <a:schemeClr val="lt1"/>
        </a:solidFill>
        <a:ln w="508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paciente</a:t>
          </a:r>
          <a:r>
            <a:rPr lang="es-ES" sz="1100" baseline="0"/>
            <a:t> de las clínicas Elims y CEL es en general:</a:t>
          </a:r>
        </a:p>
        <a:p>
          <a:r>
            <a:rPr lang="es-ES" sz="1100" baseline="0"/>
            <a:t>- español</a:t>
          </a:r>
        </a:p>
        <a:p>
          <a:r>
            <a:rPr lang="es-ES" sz="1100" baseline="0"/>
            <a:t>- Sexo femenino</a:t>
          </a:r>
        </a:p>
        <a:p>
          <a:r>
            <a:rPr lang="es-ES" sz="1100" baseline="0"/>
            <a:t>- 32 años</a:t>
          </a:r>
        </a:p>
        <a:p>
          <a:r>
            <a:rPr lang="es-ES" sz="1100" baseline="0"/>
            <a:t>Además, la mayoría de pacientes se encuentran en Cataluña, seguido de Madrid.</a:t>
          </a:r>
        </a:p>
      </xdr:txBody>
    </xdr:sp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99060</xdr:colOff>
      <xdr:row>33</xdr:row>
      <xdr:rowOff>22859</xdr:rowOff>
    </xdr:to>
    <xdr:sp macro="" textlink="">
      <xdr:nvSpPr>
        <xdr:cNvPr id="12" name="TextBox 4">
          <a:extLst>
            <a:ext uri="{FF2B5EF4-FFF2-40B4-BE49-F238E27FC236}">
              <a16:creationId xmlns="" xmlns:a16="http://schemas.microsoft.com/office/drawing/2014/main" id="{BE0264A6-FCE9-49E2-8BC8-AD17E732C3C2}"/>
            </a:ext>
          </a:extLst>
        </xdr:cNvPr>
        <xdr:cNvSpPr txBox="1"/>
      </xdr:nvSpPr>
      <xdr:spPr>
        <a:xfrm>
          <a:off x="762000" y="11333544"/>
          <a:ext cx="4819554" cy="1666416"/>
        </a:xfrm>
        <a:prstGeom prst="rect">
          <a:avLst/>
        </a:prstGeom>
        <a:solidFill>
          <a:schemeClr val="lt1"/>
        </a:solidFill>
        <a:ln w="508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paciente</a:t>
          </a:r>
          <a:r>
            <a:rPr lang="es-ES" sz="1100" baseline="0"/>
            <a:t> de las clínicas </a:t>
          </a:r>
          <a:r>
            <a:rPr lang="es-ES" sz="1100" b="1" baseline="0"/>
            <a:t>ELIMS</a:t>
          </a:r>
          <a:r>
            <a:rPr lang="es-ES" sz="1100" baseline="0"/>
            <a:t> está interesado en:</a:t>
          </a:r>
        </a:p>
        <a:p>
          <a:r>
            <a:rPr lang="es-ES" sz="1100" baseline="0"/>
            <a:t>- Cataluña, Madrid y Andalucía:</a:t>
          </a:r>
        </a:p>
        <a:p>
          <a:r>
            <a:rPr lang="es-ES" sz="1100" baseline="0"/>
            <a:t>	1.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Dining/Cooking Enthusiasts/30 Minute Chefs</a:t>
          </a:r>
          <a:r>
            <a:rPr lang="es-ES"/>
            <a:t> </a:t>
          </a:r>
          <a:r>
            <a:rPr lang="es-ES" sz="1100" baseline="0"/>
            <a:t>	</a:t>
          </a:r>
        </a:p>
        <a:p>
          <a:r>
            <a:rPr lang="es-ES" sz="1100" baseline="0"/>
            <a:t>	2.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Beauty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Wellness/Beauty Mavens</a:t>
          </a:r>
          <a:r>
            <a:rPr lang="es-ES"/>
            <a:t> </a:t>
          </a:r>
          <a:endParaRPr lang="es-E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3.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Lifestyles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Hobbies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Fashionistas</a:t>
          </a:r>
          <a:r>
            <a:rPr lang="es-ES"/>
            <a:t> </a:t>
          </a:r>
        </a:p>
        <a:p>
          <a:r>
            <a:rPr lang="es-ES" sz="1100" baseline="0"/>
            <a:t>- Alicante:	1.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 &amp; Dining/Cooking Enthusiasts/30 Minute Chefs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2. Food &amp; Dining/Fast Food Cravers</a:t>
          </a:r>
          <a:r>
            <a:rPr lang="es-ES"/>
            <a:t>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es-E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2</xdr:row>
      <xdr:rowOff>9525</xdr:rowOff>
    </xdr:from>
    <xdr:to>
      <xdr:col>15</xdr:col>
      <xdr:colOff>197187</xdr:colOff>
      <xdr:row>34</xdr:row>
      <xdr:rowOff>9974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A3FD36C9-129F-CE2E-08A6-0B81D869D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333375"/>
          <a:ext cx="11217612" cy="5182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ores/Downloads/Datos%20hist&#243;ricos%20ELIMS&amp;CEL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ores/Downloads/Posibles%20Media%20Plan%20MK%20H2%20-Pausar%20campa&#241;as%20ellims%20y%20tratamientos%20-%202.08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ores/Documents/Marta/5.%20Finanzas/1.AOP%202022/Gastos%20Finales%20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anovas/Downloads/Mireia%20-%202022%20(1)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ores/Downloads/Pacien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-Marca"/>
      <sheetName val=" Search Total -Marca"/>
      <sheetName val="Total -Plataforma"/>
      <sheetName val="Total -Producto"/>
      <sheetName val="  CEL-Clínica"/>
      <sheetName val="Elims-Clínica"/>
      <sheetName val="Total-Clínica"/>
      <sheetName val="Facebook-Total-Clínica"/>
      <sheetName val="Google-Total-Clínica"/>
      <sheetName val=" CEL-Plataforma"/>
      <sheetName val="ELIMS-Plataforma"/>
      <sheetName val="Copia de ELIMS-Plataforma"/>
      <sheetName val="Inv. mktg"/>
      <sheetName val="Reservas"/>
      <sheetName val="NO TOCAR - datos supermetrics "/>
      <sheetName val="SupermetricsQu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C9">
            <v>3068.12</v>
          </cell>
          <cell r="D9">
            <v>13520.74</v>
          </cell>
          <cell r="E9">
            <v>14539.41</v>
          </cell>
          <cell r="F9">
            <v>11895.81</v>
          </cell>
          <cell r="G9">
            <v>22301.86</v>
          </cell>
          <cell r="H9">
            <v>19159.18</v>
          </cell>
        </row>
        <row r="10">
          <cell r="C10">
            <v>2082.21</v>
          </cell>
          <cell r="D10">
            <v>14319.4</v>
          </cell>
          <cell r="E10">
            <v>28548.86</v>
          </cell>
          <cell r="F10">
            <v>15487.71</v>
          </cell>
          <cell r="G10">
            <v>20135.68</v>
          </cell>
          <cell r="H10">
            <v>16818</v>
          </cell>
        </row>
        <row r="11">
          <cell r="C11">
            <v>0</v>
          </cell>
          <cell r="D11">
            <v>14.77</v>
          </cell>
          <cell r="E11">
            <v>3467.18</v>
          </cell>
          <cell r="F11">
            <v>4608.7700000000004</v>
          </cell>
          <cell r="G11">
            <v>15561.26</v>
          </cell>
          <cell r="H11">
            <v>8374.81</v>
          </cell>
        </row>
        <row r="12">
          <cell r="C12">
            <v>0</v>
          </cell>
          <cell r="D12">
            <v>1.82</v>
          </cell>
          <cell r="E12">
            <v>16.14</v>
          </cell>
          <cell r="F12">
            <v>30.97</v>
          </cell>
          <cell r="G12">
            <v>4.33</v>
          </cell>
          <cell r="H12">
            <v>40.119999999999997</v>
          </cell>
        </row>
        <row r="13">
          <cell r="C13">
            <v>5478.4</v>
          </cell>
          <cell r="D13">
            <v>5995.76</v>
          </cell>
          <cell r="E13">
            <v>5541.56</v>
          </cell>
          <cell r="F13">
            <v>7506.91</v>
          </cell>
          <cell r="G13">
            <v>22720.21</v>
          </cell>
          <cell r="H13">
            <v>10797.73</v>
          </cell>
        </row>
        <row r="14">
          <cell r="C14">
            <v>4576.72</v>
          </cell>
          <cell r="D14">
            <v>7423.04</v>
          </cell>
          <cell r="E14">
            <v>4934.46</v>
          </cell>
          <cell r="F14">
            <v>5478.33</v>
          </cell>
          <cell r="G14">
            <v>11600.11</v>
          </cell>
          <cell r="H14">
            <v>7048.89</v>
          </cell>
        </row>
        <row r="15">
          <cell r="C15">
            <v>3616.55</v>
          </cell>
          <cell r="D15">
            <v>6456.55</v>
          </cell>
          <cell r="E15">
            <v>15110.61</v>
          </cell>
          <cell r="F15">
            <v>7673.15</v>
          </cell>
          <cell r="G15">
            <v>17676.009999999998</v>
          </cell>
          <cell r="H15">
            <v>11941.32</v>
          </cell>
        </row>
        <row r="16">
          <cell r="C16">
            <v>49.69</v>
          </cell>
          <cell r="D16">
            <v>457.72</v>
          </cell>
          <cell r="E16">
            <v>995.96</v>
          </cell>
          <cell r="F16">
            <v>875.74</v>
          </cell>
          <cell r="G16">
            <v>194.06</v>
          </cell>
          <cell r="H16">
            <v>224.87</v>
          </cell>
        </row>
      </sheetData>
      <sheetData sheetId="8">
        <row r="9">
          <cell r="B9">
            <v>5043.3900000000003</v>
          </cell>
          <cell r="C9">
            <v>6409.81</v>
          </cell>
          <cell r="D9">
            <v>15046.79</v>
          </cell>
          <cell r="E9">
            <v>11594.04</v>
          </cell>
          <cell r="F9">
            <v>10567.91</v>
          </cell>
          <cell r="G9">
            <v>13766.89</v>
          </cell>
        </row>
        <row r="10">
          <cell r="B10">
            <v>5310.52</v>
          </cell>
          <cell r="C10">
            <v>8151.37</v>
          </cell>
          <cell r="D10">
            <v>24860.55</v>
          </cell>
          <cell r="E10">
            <v>20092.59</v>
          </cell>
          <cell r="F10">
            <v>13952.85</v>
          </cell>
          <cell r="G10">
            <v>20984.400000000001</v>
          </cell>
        </row>
        <row r="11">
          <cell r="B11">
            <v>67.680000000000007</v>
          </cell>
          <cell r="C11">
            <v>64.489999999999995</v>
          </cell>
          <cell r="D11">
            <v>0</v>
          </cell>
          <cell r="E11">
            <v>3184</v>
          </cell>
          <cell r="F11">
            <v>4573.34</v>
          </cell>
          <cell r="G11">
            <v>6529.45</v>
          </cell>
        </row>
        <row r="12">
          <cell r="B12">
            <v>148.69999999999999</v>
          </cell>
          <cell r="C12">
            <v>5.13</v>
          </cell>
          <cell r="D12">
            <v>0</v>
          </cell>
          <cell r="E12">
            <v>0</v>
          </cell>
          <cell r="F12">
            <v>0</v>
          </cell>
          <cell r="G12">
            <v>76.27</v>
          </cell>
        </row>
        <row r="13">
          <cell r="B13">
            <v>3246.21</v>
          </cell>
          <cell r="C13">
            <v>7350.64</v>
          </cell>
          <cell r="D13">
            <v>15291.09</v>
          </cell>
          <cell r="E13">
            <v>14419.07</v>
          </cell>
          <cell r="F13">
            <v>10988.62</v>
          </cell>
          <cell r="G13">
            <v>11714.25</v>
          </cell>
        </row>
        <row r="14">
          <cell r="B14">
            <v>2073.63</v>
          </cell>
          <cell r="C14">
            <v>4440.72</v>
          </cell>
          <cell r="D14">
            <v>8657.2199999999993</v>
          </cell>
          <cell r="E14">
            <v>8637.16</v>
          </cell>
          <cell r="F14">
            <v>6519.32</v>
          </cell>
          <cell r="G14">
            <v>6694.9</v>
          </cell>
        </row>
        <row r="15">
          <cell r="B15">
            <v>2452.09</v>
          </cell>
          <cell r="C15">
            <v>3062.51</v>
          </cell>
          <cell r="D15">
            <v>9049.4599999999991</v>
          </cell>
          <cell r="E15">
            <v>17781.849999999999</v>
          </cell>
          <cell r="F15">
            <v>21146.77</v>
          </cell>
          <cell r="G15">
            <v>6867.06</v>
          </cell>
        </row>
        <row r="16">
          <cell r="B16">
            <v>38.880000000000003</v>
          </cell>
          <cell r="C16">
            <v>186.17</v>
          </cell>
          <cell r="D16">
            <v>9.9499999999999993</v>
          </cell>
          <cell r="E16">
            <v>4.1500000000000004</v>
          </cell>
          <cell r="F16">
            <v>2.96</v>
          </cell>
          <cell r="G16">
            <v>4.8</v>
          </cell>
        </row>
      </sheetData>
      <sheetData sheetId="9"/>
      <sheetData sheetId="10"/>
      <sheetData sheetId="11"/>
      <sheetData sheetId="12"/>
      <sheetData sheetId="13"/>
      <sheetData sheetId="14">
        <row r="2">
          <cell r="A2" t="str">
            <v>Date</v>
          </cell>
          <cell r="B2" t="str">
            <v>Cost</v>
          </cell>
          <cell r="D2" t="str">
            <v>Date</v>
          </cell>
          <cell r="E2" t="str">
            <v>Cost</v>
          </cell>
          <cell r="G2" t="str">
            <v>Date</v>
          </cell>
          <cell r="H2" t="str">
            <v>Cost</v>
          </cell>
          <cell r="J2" t="str">
            <v>Date</v>
          </cell>
          <cell r="K2" t="str">
            <v>Cost</v>
          </cell>
          <cell r="M2" t="str">
            <v>Date</v>
          </cell>
          <cell r="N2" t="str">
            <v>All conversions</v>
          </cell>
          <cell r="P2" t="str">
            <v>Date</v>
          </cell>
          <cell r="Q2" t="str">
            <v>Conversions</v>
          </cell>
          <cell r="S2" t="str">
            <v>Date</v>
          </cell>
          <cell r="T2" t="str">
            <v>Impressions</v>
          </cell>
          <cell r="U2" t="str">
            <v>Clicks</v>
          </cell>
          <cell r="W2" t="str">
            <v>Date</v>
          </cell>
          <cell r="X2" t="str">
            <v>Impressions</v>
          </cell>
          <cell r="Y2" t="str">
            <v>Link clicks</v>
          </cell>
        </row>
        <row r="3">
          <cell r="A3">
            <v>44562</v>
          </cell>
          <cell r="B3">
            <v>327</v>
          </cell>
          <cell r="D3">
            <v>44562</v>
          </cell>
          <cell r="E3">
            <v>47.11</v>
          </cell>
          <cell r="G3">
            <v>44562</v>
          </cell>
          <cell r="H3">
            <v>208.47</v>
          </cell>
          <cell r="J3">
            <v>44562</v>
          </cell>
          <cell r="K3">
            <v>0</v>
          </cell>
          <cell r="M3">
            <v>44562</v>
          </cell>
          <cell r="N3">
            <v>9.1</v>
          </cell>
          <cell r="P3">
            <v>44562</v>
          </cell>
          <cell r="Q3">
            <v>1</v>
          </cell>
          <cell r="S3">
            <v>44562</v>
          </cell>
          <cell r="T3">
            <v>3600</v>
          </cell>
          <cell r="U3">
            <v>191</v>
          </cell>
          <cell r="W3">
            <v>44562</v>
          </cell>
          <cell r="X3">
            <v>11451</v>
          </cell>
          <cell r="Y3">
            <v>363</v>
          </cell>
        </row>
        <row r="4">
          <cell r="A4">
            <v>44563</v>
          </cell>
          <cell r="B4">
            <v>392.36</v>
          </cell>
          <cell r="D4">
            <v>44563</v>
          </cell>
          <cell r="E4">
            <v>56.96</v>
          </cell>
          <cell r="G4">
            <v>44563</v>
          </cell>
          <cell r="H4">
            <v>213.59</v>
          </cell>
          <cell r="J4">
            <v>44563</v>
          </cell>
          <cell r="K4">
            <v>0</v>
          </cell>
          <cell r="M4">
            <v>44563</v>
          </cell>
          <cell r="N4">
            <v>6.9</v>
          </cell>
          <cell r="P4">
            <v>44563</v>
          </cell>
          <cell r="Q4">
            <v>1</v>
          </cell>
          <cell r="S4">
            <v>44563</v>
          </cell>
          <cell r="T4">
            <v>4887</v>
          </cell>
          <cell r="U4">
            <v>281</v>
          </cell>
          <cell r="W4">
            <v>44563</v>
          </cell>
          <cell r="X4">
            <v>11219</v>
          </cell>
          <cell r="Y4">
            <v>409</v>
          </cell>
        </row>
        <row r="5">
          <cell r="A5">
            <v>44564</v>
          </cell>
          <cell r="B5">
            <v>688.21</v>
          </cell>
          <cell r="D5">
            <v>44564</v>
          </cell>
          <cell r="E5">
            <v>114.7</v>
          </cell>
          <cell r="G5">
            <v>44564</v>
          </cell>
          <cell r="H5">
            <v>212.08</v>
          </cell>
          <cell r="J5">
            <v>44564</v>
          </cell>
          <cell r="K5">
            <v>186.23</v>
          </cell>
          <cell r="M5">
            <v>44564</v>
          </cell>
          <cell r="N5">
            <v>9.0299999999999994</v>
          </cell>
          <cell r="P5">
            <v>44564</v>
          </cell>
          <cell r="Q5">
            <v>1</v>
          </cell>
          <cell r="S5">
            <v>44564</v>
          </cell>
          <cell r="T5">
            <v>10522</v>
          </cell>
          <cell r="U5">
            <v>452</v>
          </cell>
          <cell r="W5">
            <v>44564</v>
          </cell>
          <cell r="X5">
            <v>38756</v>
          </cell>
          <cell r="Y5">
            <v>431</v>
          </cell>
        </row>
        <row r="6">
          <cell r="A6">
            <v>44565</v>
          </cell>
          <cell r="B6">
            <v>583.37</v>
          </cell>
          <cell r="D6">
            <v>44565</v>
          </cell>
          <cell r="E6">
            <v>82.57</v>
          </cell>
          <cell r="G6">
            <v>44565</v>
          </cell>
          <cell r="H6">
            <v>207.35</v>
          </cell>
          <cell r="J6">
            <v>44565</v>
          </cell>
          <cell r="K6">
            <v>185.85</v>
          </cell>
          <cell r="M6">
            <v>44565</v>
          </cell>
          <cell r="N6">
            <v>6</v>
          </cell>
          <cell r="P6">
            <v>44565</v>
          </cell>
          <cell r="Q6">
            <v>0</v>
          </cell>
          <cell r="S6">
            <v>44565</v>
          </cell>
          <cell r="T6">
            <v>8412</v>
          </cell>
          <cell r="U6">
            <v>354</v>
          </cell>
          <cell r="W6">
            <v>44565</v>
          </cell>
          <cell r="X6">
            <v>40422</v>
          </cell>
          <cell r="Y6">
            <v>397</v>
          </cell>
        </row>
        <row r="7">
          <cell r="A7">
            <v>44566</v>
          </cell>
          <cell r="B7">
            <v>581.77</v>
          </cell>
          <cell r="D7">
            <v>44566</v>
          </cell>
          <cell r="E7">
            <v>82.43</v>
          </cell>
          <cell r="G7">
            <v>44566</v>
          </cell>
          <cell r="H7">
            <v>225.48</v>
          </cell>
          <cell r="J7">
            <v>44566</v>
          </cell>
          <cell r="K7">
            <v>186.07</v>
          </cell>
          <cell r="M7">
            <v>44566</v>
          </cell>
          <cell r="N7">
            <v>6</v>
          </cell>
          <cell r="P7">
            <v>44566</v>
          </cell>
          <cell r="Q7">
            <v>0</v>
          </cell>
          <cell r="S7">
            <v>44566</v>
          </cell>
          <cell r="T7">
            <v>7093</v>
          </cell>
          <cell r="U7">
            <v>348</v>
          </cell>
          <cell r="W7">
            <v>44566</v>
          </cell>
          <cell r="X7">
            <v>41625</v>
          </cell>
          <cell r="Y7">
            <v>404</v>
          </cell>
        </row>
        <row r="8">
          <cell r="A8">
            <v>44567</v>
          </cell>
          <cell r="B8">
            <v>362.17</v>
          </cell>
          <cell r="D8">
            <v>44567</v>
          </cell>
          <cell r="E8">
            <v>191.6</v>
          </cell>
          <cell r="G8">
            <v>44567</v>
          </cell>
          <cell r="H8">
            <v>273.87</v>
          </cell>
          <cell r="J8">
            <v>44567</v>
          </cell>
          <cell r="K8">
            <v>231.69</v>
          </cell>
          <cell r="M8">
            <v>44567</v>
          </cell>
          <cell r="N8">
            <v>8.1</v>
          </cell>
          <cell r="P8">
            <v>44567</v>
          </cell>
          <cell r="Q8">
            <v>0</v>
          </cell>
          <cell r="S8">
            <v>44567</v>
          </cell>
          <cell r="T8">
            <v>36761</v>
          </cell>
          <cell r="U8">
            <v>317</v>
          </cell>
          <cell r="W8">
            <v>44567</v>
          </cell>
          <cell r="X8">
            <v>54365</v>
          </cell>
          <cell r="Y8">
            <v>638</v>
          </cell>
        </row>
        <row r="9">
          <cell r="A9">
            <v>44568</v>
          </cell>
          <cell r="B9">
            <v>632.24</v>
          </cell>
          <cell r="D9">
            <v>44568</v>
          </cell>
          <cell r="E9">
            <v>395.55</v>
          </cell>
          <cell r="G9">
            <v>44568</v>
          </cell>
          <cell r="H9">
            <v>282.16000000000003</v>
          </cell>
          <cell r="J9">
            <v>44568</v>
          </cell>
          <cell r="K9">
            <v>235.78</v>
          </cell>
          <cell r="M9">
            <v>44568</v>
          </cell>
          <cell r="N9">
            <v>10.199999999999999</v>
          </cell>
          <cell r="P9">
            <v>44568</v>
          </cell>
          <cell r="Q9">
            <v>0</v>
          </cell>
          <cell r="S9">
            <v>44568</v>
          </cell>
          <cell r="T9">
            <v>55354</v>
          </cell>
          <cell r="U9">
            <v>612</v>
          </cell>
          <cell r="W9">
            <v>44568</v>
          </cell>
          <cell r="X9">
            <v>55136</v>
          </cell>
          <cell r="Y9">
            <v>580</v>
          </cell>
        </row>
        <row r="10">
          <cell r="A10">
            <v>44569</v>
          </cell>
          <cell r="B10">
            <v>517.64</v>
          </cell>
          <cell r="D10">
            <v>44569</v>
          </cell>
          <cell r="E10">
            <v>400.84</v>
          </cell>
          <cell r="G10">
            <v>44569</v>
          </cell>
          <cell r="H10">
            <v>296.32</v>
          </cell>
          <cell r="J10">
            <v>44569</v>
          </cell>
          <cell r="K10">
            <v>233.76</v>
          </cell>
          <cell r="M10">
            <v>44569</v>
          </cell>
          <cell r="N10">
            <v>6.4</v>
          </cell>
          <cell r="P10">
            <v>44569</v>
          </cell>
          <cell r="Q10">
            <v>0</v>
          </cell>
          <cell r="S10">
            <v>44569</v>
          </cell>
          <cell r="T10">
            <v>60123</v>
          </cell>
          <cell r="U10">
            <v>502</v>
          </cell>
          <cell r="W10">
            <v>44569</v>
          </cell>
          <cell r="X10">
            <v>58998</v>
          </cell>
          <cell r="Y10">
            <v>679</v>
          </cell>
        </row>
        <row r="11">
          <cell r="A11">
            <v>44570</v>
          </cell>
          <cell r="B11">
            <v>423.32</v>
          </cell>
          <cell r="D11">
            <v>44570</v>
          </cell>
          <cell r="E11">
            <v>304.88</v>
          </cell>
          <cell r="G11">
            <v>44570</v>
          </cell>
          <cell r="H11">
            <v>301.33999999999997</v>
          </cell>
          <cell r="J11">
            <v>44570</v>
          </cell>
          <cell r="K11">
            <v>231.89</v>
          </cell>
          <cell r="M11">
            <v>44570</v>
          </cell>
          <cell r="N11">
            <v>2</v>
          </cell>
          <cell r="P11">
            <v>44570</v>
          </cell>
          <cell r="Q11">
            <v>0</v>
          </cell>
          <cell r="S11">
            <v>44570</v>
          </cell>
          <cell r="T11">
            <v>94538</v>
          </cell>
          <cell r="U11">
            <v>515</v>
          </cell>
          <cell r="W11">
            <v>44570</v>
          </cell>
          <cell r="X11">
            <v>64192</v>
          </cell>
          <cell r="Y11">
            <v>804</v>
          </cell>
        </row>
        <row r="12">
          <cell r="A12">
            <v>44571</v>
          </cell>
          <cell r="B12">
            <v>774.39</v>
          </cell>
          <cell r="D12">
            <v>44571</v>
          </cell>
          <cell r="E12">
            <v>437.18</v>
          </cell>
          <cell r="G12">
            <v>44571</v>
          </cell>
          <cell r="H12">
            <v>282.43</v>
          </cell>
          <cell r="J12">
            <v>44571</v>
          </cell>
          <cell r="K12">
            <v>189.96</v>
          </cell>
          <cell r="M12">
            <v>44571</v>
          </cell>
          <cell r="N12">
            <v>12.4</v>
          </cell>
          <cell r="P12">
            <v>44571</v>
          </cell>
          <cell r="Q12">
            <v>2</v>
          </cell>
          <cell r="S12">
            <v>44571</v>
          </cell>
          <cell r="T12">
            <v>89778</v>
          </cell>
          <cell r="U12">
            <v>834</v>
          </cell>
          <cell r="W12">
            <v>44571</v>
          </cell>
          <cell r="X12">
            <v>48645</v>
          </cell>
          <cell r="Y12">
            <v>722</v>
          </cell>
        </row>
        <row r="13">
          <cell r="A13">
            <v>44572</v>
          </cell>
          <cell r="B13">
            <v>753.94</v>
          </cell>
          <cell r="D13">
            <v>44572</v>
          </cell>
          <cell r="E13">
            <v>99.61</v>
          </cell>
          <cell r="G13">
            <v>44572</v>
          </cell>
          <cell r="H13">
            <v>268.81</v>
          </cell>
          <cell r="J13">
            <v>44572</v>
          </cell>
          <cell r="K13">
            <v>187.99</v>
          </cell>
          <cell r="M13">
            <v>44572</v>
          </cell>
          <cell r="N13">
            <v>7</v>
          </cell>
          <cell r="P13">
            <v>44572</v>
          </cell>
          <cell r="Q13">
            <v>3</v>
          </cell>
          <cell r="S13">
            <v>44572</v>
          </cell>
          <cell r="T13">
            <v>53574</v>
          </cell>
          <cell r="U13">
            <v>688</v>
          </cell>
          <cell r="W13">
            <v>44572</v>
          </cell>
          <cell r="X13">
            <v>44343</v>
          </cell>
          <cell r="Y13">
            <v>649</v>
          </cell>
        </row>
        <row r="14">
          <cell r="A14">
            <v>44573</v>
          </cell>
          <cell r="B14">
            <v>714.02</v>
          </cell>
          <cell r="D14">
            <v>44573</v>
          </cell>
          <cell r="E14">
            <v>105.19</v>
          </cell>
          <cell r="G14">
            <v>44573</v>
          </cell>
          <cell r="H14">
            <v>270.22000000000003</v>
          </cell>
          <cell r="J14">
            <v>44573</v>
          </cell>
          <cell r="K14">
            <v>190.45</v>
          </cell>
          <cell r="M14">
            <v>44573</v>
          </cell>
          <cell r="N14">
            <v>12.5</v>
          </cell>
          <cell r="P14">
            <v>44573</v>
          </cell>
          <cell r="Q14">
            <v>1</v>
          </cell>
          <cell r="S14">
            <v>44573</v>
          </cell>
          <cell r="T14">
            <v>62943</v>
          </cell>
          <cell r="U14">
            <v>672</v>
          </cell>
          <cell r="W14">
            <v>44573</v>
          </cell>
          <cell r="X14">
            <v>43892</v>
          </cell>
          <cell r="Y14">
            <v>613</v>
          </cell>
        </row>
        <row r="15">
          <cell r="A15">
            <v>44574</v>
          </cell>
          <cell r="B15">
            <v>643.63</v>
          </cell>
          <cell r="D15">
            <v>44574</v>
          </cell>
          <cell r="E15">
            <v>102.87</v>
          </cell>
          <cell r="G15">
            <v>44574</v>
          </cell>
          <cell r="H15">
            <v>270.86</v>
          </cell>
          <cell r="J15">
            <v>44574</v>
          </cell>
          <cell r="K15">
            <v>190.36</v>
          </cell>
          <cell r="M15">
            <v>44574</v>
          </cell>
          <cell r="N15">
            <v>4</v>
          </cell>
          <cell r="P15">
            <v>44574</v>
          </cell>
          <cell r="Q15">
            <v>2</v>
          </cell>
          <cell r="S15">
            <v>44574</v>
          </cell>
          <cell r="T15">
            <v>12373</v>
          </cell>
          <cell r="U15">
            <v>474</v>
          </cell>
          <cell r="W15">
            <v>44574</v>
          </cell>
          <cell r="X15">
            <v>43295</v>
          </cell>
          <cell r="Y15">
            <v>539</v>
          </cell>
        </row>
        <row r="16">
          <cell r="A16">
            <v>44575</v>
          </cell>
          <cell r="B16">
            <v>349.41</v>
          </cell>
          <cell r="D16">
            <v>44575</v>
          </cell>
          <cell r="E16">
            <v>77.489999999999995</v>
          </cell>
          <cell r="G16">
            <v>44575</v>
          </cell>
          <cell r="H16">
            <v>258.92</v>
          </cell>
          <cell r="J16">
            <v>44575</v>
          </cell>
          <cell r="K16">
            <v>184.87</v>
          </cell>
          <cell r="M16">
            <v>44575</v>
          </cell>
          <cell r="N16">
            <v>5</v>
          </cell>
          <cell r="P16">
            <v>44575</v>
          </cell>
          <cell r="Q16">
            <v>1</v>
          </cell>
          <cell r="S16">
            <v>44575</v>
          </cell>
          <cell r="T16">
            <v>5995</v>
          </cell>
          <cell r="U16">
            <v>293</v>
          </cell>
          <cell r="W16">
            <v>44575</v>
          </cell>
          <cell r="X16">
            <v>36024</v>
          </cell>
          <cell r="Y16">
            <v>455</v>
          </cell>
        </row>
        <row r="17">
          <cell r="A17">
            <v>44576</v>
          </cell>
          <cell r="B17">
            <v>216.22</v>
          </cell>
          <cell r="D17">
            <v>44576</v>
          </cell>
          <cell r="E17">
            <v>73.94</v>
          </cell>
          <cell r="G17">
            <v>44576</v>
          </cell>
          <cell r="H17">
            <v>263.52999999999997</v>
          </cell>
          <cell r="J17">
            <v>44576</v>
          </cell>
          <cell r="K17">
            <v>190.41</v>
          </cell>
          <cell r="M17">
            <v>44576</v>
          </cell>
          <cell r="N17">
            <v>4</v>
          </cell>
          <cell r="P17">
            <v>44576</v>
          </cell>
          <cell r="Q17">
            <v>0</v>
          </cell>
          <cell r="S17">
            <v>44576</v>
          </cell>
          <cell r="T17">
            <v>4132</v>
          </cell>
          <cell r="U17">
            <v>216</v>
          </cell>
          <cell r="W17">
            <v>44576</v>
          </cell>
          <cell r="X17">
            <v>40247</v>
          </cell>
          <cell r="Y17">
            <v>468</v>
          </cell>
        </row>
        <row r="18">
          <cell r="A18">
            <v>44577</v>
          </cell>
          <cell r="B18">
            <v>330.42</v>
          </cell>
          <cell r="D18">
            <v>44577</v>
          </cell>
          <cell r="E18">
            <v>76.41</v>
          </cell>
          <cell r="G18">
            <v>44577</v>
          </cell>
          <cell r="H18">
            <v>284.23</v>
          </cell>
          <cell r="J18">
            <v>44577</v>
          </cell>
          <cell r="K18">
            <v>193.09</v>
          </cell>
          <cell r="M18">
            <v>44577</v>
          </cell>
          <cell r="N18">
            <v>7</v>
          </cell>
          <cell r="P18">
            <v>44577</v>
          </cell>
          <cell r="Q18">
            <v>0</v>
          </cell>
          <cell r="S18">
            <v>44577</v>
          </cell>
          <cell r="T18">
            <v>5010</v>
          </cell>
          <cell r="U18">
            <v>294</v>
          </cell>
          <cell r="W18">
            <v>44577</v>
          </cell>
          <cell r="X18">
            <v>47052</v>
          </cell>
          <cell r="Y18">
            <v>580</v>
          </cell>
        </row>
        <row r="19">
          <cell r="A19">
            <v>44578</v>
          </cell>
          <cell r="B19">
            <v>360.53</v>
          </cell>
          <cell r="D19">
            <v>44578</v>
          </cell>
          <cell r="E19">
            <v>150.69999999999999</v>
          </cell>
          <cell r="G19">
            <v>44578</v>
          </cell>
          <cell r="H19">
            <v>284.98</v>
          </cell>
          <cell r="J19">
            <v>44578</v>
          </cell>
          <cell r="K19">
            <v>189.09</v>
          </cell>
          <cell r="M19">
            <v>44578</v>
          </cell>
          <cell r="N19">
            <v>9.6</v>
          </cell>
          <cell r="P19">
            <v>44578</v>
          </cell>
          <cell r="Q19">
            <v>1</v>
          </cell>
          <cell r="S19">
            <v>44578</v>
          </cell>
          <cell r="T19">
            <v>8963</v>
          </cell>
          <cell r="U19">
            <v>417</v>
          </cell>
          <cell r="W19">
            <v>44578</v>
          </cell>
          <cell r="X19">
            <v>43936</v>
          </cell>
          <cell r="Y19">
            <v>476</v>
          </cell>
        </row>
        <row r="20">
          <cell r="A20">
            <v>44579</v>
          </cell>
          <cell r="B20">
            <v>372.2</v>
          </cell>
          <cell r="D20">
            <v>44579</v>
          </cell>
          <cell r="E20">
            <v>115.32</v>
          </cell>
          <cell r="G20">
            <v>44579</v>
          </cell>
          <cell r="H20">
            <v>287.47000000000003</v>
          </cell>
          <cell r="J20">
            <v>44579</v>
          </cell>
          <cell r="K20">
            <v>188.69</v>
          </cell>
          <cell r="M20">
            <v>44579</v>
          </cell>
          <cell r="N20">
            <v>6</v>
          </cell>
          <cell r="P20">
            <v>44579</v>
          </cell>
          <cell r="Q20">
            <v>0</v>
          </cell>
          <cell r="S20">
            <v>44579</v>
          </cell>
          <cell r="T20">
            <v>6805</v>
          </cell>
          <cell r="U20">
            <v>311</v>
          </cell>
          <cell r="W20">
            <v>44579</v>
          </cell>
          <cell r="X20">
            <v>36901</v>
          </cell>
          <cell r="Y20">
            <v>519</v>
          </cell>
        </row>
        <row r="21">
          <cell r="A21">
            <v>44580</v>
          </cell>
          <cell r="B21">
            <v>299.43</v>
          </cell>
          <cell r="D21">
            <v>44580</v>
          </cell>
          <cell r="E21">
            <v>147.03</v>
          </cell>
          <cell r="G21">
            <v>44580</v>
          </cell>
          <cell r="H21">
            <v>286.51</v>
          </cell>
          <cell r="J21">
            <v>44580</v>
          </cell>
          <cell r="K21">
            <v>190.55</v>
          </cell>
          <cell r="M21">
            <v>44580</v>
          </cell>
          <cell r="N21">
            <v>3.5</v>
          </cell>
          <cell r="P21">
            <v>44580</v>
          </cell>
          <cell r="Q21">
            <v>1</v>
          </cell>
          <cell r="S21">
            <v>44580</v>
          </cell>
          <cell r="T21">
            <v>6936</v>
          </cell>
          <cell r="U21">
            <v>281</v>
          </cell>
          <cell r="W21">
            <v>44580</v>
          </cell>
          <cell r="X21">
            <v>34745</v>
          </cell>
          <cell r="Y21">
            <v>497</v>
          </cell>
        </row>
        <row r="22">
          <cell r="A22">
            <v>44581</v>
          </cell>
          <cell r="B22">
            <v>367.59</v>
          </cell>
          <cell r="D22">
            <v>44581</v>
          </cell>
          <cell r="E22">
            <v>102.07</v>
          </cell>
          <cell r="G22">
            <v>44581</v>
          </cell>
          <cell r="H22">
            <v>362.68</v>
          </cell>
          <cell r="J22">
            <v>44581</v>
          </cell>
          <cell r="K22">
            <v>192.45</v>
          </cell>
          <cell r="M22">
            <v>44581</v>
          </cell>
          <cell r="N22">
            <v>5</v>
          </cell>
          <cell r="P22">
            <v>44581</v>
          </cell>
          <cell r="Q22">
            <v>1</v>
          </cell>
          <cell r="S22">
            <v>44581</v>
          </cell>
          <cell r="T22">
            <v>6537</v>
          </cell>
          <cell r="U22">
            <v>303</v>
          </cell>
          <cell r="W22">
            <v>44581</v>
          </cell>
          <cell r="X22">
            <v>44859</v>
          </cell>
          <cell r="Y22">
            <v>632</v>
          </cell>
        </row>
        <row r="23">
          <cell r="A23">
            <v>44582</v>
          </cell>
          <cell r="B23">
            <v>323.44</v>
          </cell>
          <cell r="D23">
            <v>44582</v>
          </cell>
          <cell r="E23">
            <v>66.849999999999994</v>
          </cell>
          <cell r="G23">
            <v>44582</v>
          </cell>
          <cell r="H23">
            <v>402.15</v>
          </cell>
          <cell r="J23">
            <v>44582</v>
          </cell>
          <cell r="K23">
            <v>185.96</v>
          </cell>
          <cell r="M23">
            <v>44582</v>
          </cell>
          <cell r="N23">
            <v>3.4</v>
          </cell>
          <cell r="P23">
            <v>44582</v>
          </cell>
          <cell r="Q23">
            <v>0</v>
          </cell>
          <cell r="S23">
            <v>44582</v>
          </cell>
          <cell r="T23">
            <v>5491</v>
          </cell>
          <cell r="U23">
            <v>243</v>
          </cell>
          <cell r="W23">
            <v>44582</v>
          </cell>
          <cell r="X23">
            <v>48118</v>
          </cell>
          <cell r="Y23">
            <v>697</v>
          </cell>
        </row>
        <row r="24">
          <cell r="A24">
            <v>44583</v>
          </cell>
          <cell r="B24">
            <v>293.74</v>
          </cell>
          <cell r="D24">
            <v>44583</v>
          </cell>
          <cell r="E24">
            <v>64.069999999999993</v>
          </cell>
          <cell r="G24">
            <v>44583</v>
          </cell>
          <cell r="H24">
            <v>393.51</v>
          </cell>
          <cell r="J24">
            <v>44583</v>
          </cell>
          <cell r="K24">
            <v>190.17</v>
          </cell>
          <cell r="M24">
            <v>44583</v>
          </cell>
          <cell r="N24">
            <v>5.0999999999999996</v>
          </cell>
          <cell r="P24">
            <v>44583</v>
          </cell>
          <cell r="Q24">
            <v>0</v>
          </cell>
          <cell r="S24">
            <v>44583</v>
          </cell>
          <cell r="T24">
            <v>4559</v>
          </cell>
          <cell r="U24">
            <v>229</v>
          </cell>
          <cell r="W24">
            <v>44583</v>
          </cell>
          <cell r="X24">
            <v>45284</v>
          </cell>
          <cell r="Y24">
            <v>725</v>
          </cell>
        </row>
        <row r="25">
          <cell r="A25">
            <v>44584</v>
          </cell>
          <cell r="B25">
            <v>355.1</v>
          </cell>
          <cell r="D25">
            <v>44584</v>
          </cell>
          <cell r="E25">
            <v>57.28</v>
          </cell>
          <cell r="G25">
            <v>44584</v>
          </cell>
          <cell r="H25">
            <v>423.13</v>
          </cell>
          <cell r="J25">
            <v>44584</v>
          </cell>
          <cell r="K25">
            <v>190.22</v>
          </cell>
          <cell r="M25">
            <v>44584</v>
          </cell>
          <cell r="N25">
            <v>0</v>
          </cell>
          <cell r="P25">
            <v>44584</v>
          </cell>
          <cell r="Q25">
            <v>2</v>
          </cell>
          <cell r="S25">
            <v>44584</v>
          </cell>
          <cell r="T25">
            <v>4877</v>
          </cell>
          <cell r="U25">
            <v>278</v>
          </cell>
          <cell r="W25">
            <v>44584</v>
          </cell>
          <cell r="X25">
            <v>46488</v>
          </cell>
          <cell r="Y25">
            <v>803</v>
          </cell>
        </row>
        <row r="26">
          <cell r="A26">
            <v>44585</v>
          </cell>
          <cell r="B26">
            <v>666.99</v>
          </cell>
          <cell r="D26">
            <v>44585</v>
          </cell>
          <cell r="E26">
            <v>90.66</v>
          </cell>
          <cell r="G26">
            <v>44585</v>
          </cell>
          <cell r="H26">
            <v>424.65</v>
          </cell>
          <cell r="J26">
            <v>44585</v>
          </cell>
          <cell r="K26">
            <v>232.14</v>
          </cell>
          <cell r="M26">
            <v>44585</v>
          </cell>
          <cell r="N26">
            <v>13.8</v>
          </cell>
          <cell r="P26">
            <v>44585</v>
          </cell>
          <cell r="Q26">
            <v>1</v>
          </cell>
          <cell r="S26">
            <v>44585</v>
          </cell>
          <cell r="T26">
            <v>9544</v>
          </cell>
          <cell r="U26">
            <v>493</v>
          </cell>
          <cell r="W26">
            <v>44585</v>
          </cell>
          <cell r="X26">
            <v>53346</v>
          </cell>
          <cell r="Y26">
            <v>712</v>
          </cell>
        </row>
        <row r="27">
          <cell r="A27">
            <v>44586</v>
          </cell>
          <cell r="B27">
            <v>503.3</v>
          </cell>
          <cell r="D27">
            <v>44586</v>
          </cell>
          <cell r="E27">
            <v>85.32</v>
          </cell>
          <cell r="G27">
            <v>44586</v>
          </cell>
          <cell r="H27">
            <v>437.94</v>
          </cell>
          <cell r="J27">
            <v>44586</v>
          </cell>
          <cell r="K27">
            <v>254.5</v>
          </cell>
          <cell r="M27">
            <v>44586</v>
          </cell>
          <cell r="N27">
            <v>3</v>
          </cell>
          <cell r="P27">
            <v>44586</v>
          </cell>
          <cell r="Q27">
            <v>0</v>
          </cell>
          <cell r="S27">
            <v>44586</v>
          </cell>
          <cell r="T27">
            <v>7514</v>
          </cell>
          <cell r="U27">
            <v>397</v>
          </cell>
          <cell r="W27">
            <v>44586</v>
          </cell>
          <cell r="X27">
            <v>50408</v>
          </cell>
          <cell r="Y27">
            <v>649</v>
          </cell>
        </row>
        <row r="28">
          <cell r="A28">
            <v>44587</v>
          </cell>
          <cell r="B28">
            <v>504.72</v>
          </cell>
          <cell r="D28">
            <v>44587</v>
          </cell>
          <cell r="E28">
            <v>138.52000000000001</v>
          </cell>
          <cell r="G28">
            <v>44587</v>
          </cell>
          <cell r="H28">
            <v>656.23</v>
          </cell>
          <cell r="J28">
            <v>44587</v>
          </cell>
          <cell r="K28">
            <v>246.77</v>
          </cell>
          <cell r="M28">
            <v>44587</v>
          </cell>
          <cell r="N28">
            <v>7</v>
          </cell>
          <cell r="P28">
            <v>44587</v>
          </cell>
          <cell r="Q28">
            <v>0</v>
          </cell>
          <cell r="S28">
            <v>44587</v>
          </cell>
          <cell r="T28">
            <v>8595</v>
          </cell>
          <cell r="U28">
            <v>443</v>
          </cell>
          <cell r="W28">
            <v>44587</v>
          </cell>
          <cell r="X28">
            <v>81641</v>
          </cell>
          <cell r="Y28">
            <v>874</v>
          </cell>
        </row>
        <row r="29">
          <cell r="A29">
            <v>44588</v>
          </cell>
          <cell r="B29">
            <v>613.23</v>
          </cell>
          <cell r="D29">
            <v>44588</v>
          </cell>
          <cell r="E29">
            <v>127.9</v>
          </cell>
          <cell r="G29">
            <v>44588</v>
          </cell>
          <cell r="H29">
            <v>772.5</v>
          </cell>
          <cell r="J29">
            <v>44588</v>
          </cell>
          <cell r="K29">
            <v>272.44</v>
          </cell>
          <cell r="M29">
            <v>44588</v>
          </cell>
          <cell r="N29">
            <v>10</v>
          </cell>
          <cell r="P29">
            <v>44588</v>
          </cell>
          <cell r="Q29">
            <v>0</v>
          </cell>
          <cell r="S29">
            <v>44588</v>
          </cell>
          <cell r="T29">
            <v>7137</v>
          </cell>
          <cell r="U29">
            <v>405</v>
          </cell>
          <cell r="W29">
            <v>44588</v>
          </cell>
          <cell r="X29">
            <v>84552</v>
          </cell>
          <cell r="Y29">
            <v>813</v>
          </cell>
        </row>
        <row r="30">
          <cell r="A30">
            <v>44589</v>
          </cell>
          <cell r="B30">
            <v>308.33</v>
          </cell>
          <cell r="D30">
            <v>44589</v>
          </cell>
          <cell r="E30">
            <v>110.15</v>
          </cell>
          <cell r="G30">
            <v>44589</v>
          </cell>
          <cell r="H30">
            <v>1062</v>
          </cell>
          <cell r="J30">
            <v>44589</v>
          </cell>
          <cell r="K30">
            <v>310.20999999999998</v>
          </cell>
          <cell r="M30">
            <v>44589</v>
          </cell>
          <cell r="N30">
            <v>6</v>
          </cell>
          <cell r="P30">
            <v>44589</v>
          </cell>
          <cell r="Q30">
            <v>0</v>
          </cell>
          <cell r="S30">
            <v>44589</v>
          </cell>
          <cell r="T30">
            <v>5751</v>
          </cell>
          <cell r="U30">
            <v>280</v>
          </cell>
          <cell r="W30">
            <v>44589</v>
          </cell>
          <cell r="X30">
            <v>104087</v>
          </cell>
          <cell r="Y30">
            <v>1271</v>
          </cell>
        </row>
        <row r="31">
          <cell r="A31">
            <v>44590</v>
          </cell>
          <cell r="B31">
            <v>218.98</v>
          </cell>
          <cell r="D31">
            <v>44590</v>
          </cell>
          <cell r="E31">
            <v>81.77</v>
          </cell>
          <cell r="G31">
            <v>44590</v>
          </cell>
          <cell r="H31">
            <v>841.92</v>
          </cell>
          <cell r="J31">
            <v>44590</v>
          </cell>
          <cell r="K31">
            <v>305.95</v>
          </cell>
          <cell r="M31">
            <v>44590</v>
          </cell>
          <cell r="N31">
            <v>12.4</v>
          </cell>
          <cell r="P31">
            <v>44590</v>
          </cell>
          <cell r="Q31">
            <v>0</v>
          </cell>
          <cell r="S31">
            <v>44590</v>
          </cell>
          <cell r="T31">
            <v>4122</v>
          </cell>
          <cell r="U31">
            <v>216</v>
          </cell>
          <cell r="W31">
            <v>44590</v>
          </cell>
          <cell r="X31">
            <v>89321</v>
          </cell>
          <cell r="Y31">
            <v>1267</v>
          </cell>
        </row>
        <row r="32">
          <cell r="A32">
            <v>44591</v>
          </cell>
          <cell r="B32">
            <v>247.64</v>
          </cell>
          <cell r="D32">
            <v>44591</v>
          </cell>
          <cell r="E32">
            <v>66.959999999999994</v>
          </cell>
          <cell r="G32">
            <v>44591</v>
          </cell>
          <cell r="H32">
            <v>909.63</v>
          </cell>
          <cell r="J32">
            <v>44591</v>
          </cell>
          <cell r="K32">
            <v>310.16000000000003</v>
          </cell>
          <cell r="M32">
            <v>44591</v>
          </cell>
          <cell r="N32">
            <v>2</v>
          </cell>
          <cell r="P32">
            <v>44591</v>
          </cell>
          <cell r="Q32">
            <v>0</v>
          </cell>
          <cell r="S32">
            <v>44591</v>
          </cell>
          <cell r="T32">
            <v>4494</v>
          </cell>
          <cell r="U32">
            <v>247</v>
          </cell>
          <cell r="W32">
            <v>44591</v>
          </cell>
          <cell r="X32">
            <v>103620</v>
          </cell>
          <cell r="Y32">
            <v>1601</v>
          </cell>
        </row>
        <row r="33">
          <cell r="A33">
            <v>44592</v>
          </cell>
          <cell r="B33">
            <v>513.05999999999995</v>
          </cell>
          <cell r="D33">
            <v>44592</v>
          </cell>
          <cell r="E33">
            <v>88.95</v>
          </cell>
          <cell r="G33">
            <v>44592</v>
          </cell>
          <cell r="H33">
            <v>815.33</v>
          </cell>
          <cell r="J33">
            <v>44592</v>
          </cell>
          <cell r="K33">
            <v>313.7</v>
          </cell>
          <cell r="M33">
            <v>44592</v>
          </cell>
          <cell r="N33">
            <v>2</v>
          </cell>
          <cell r="P33">
            <v>44592</v>
          </cell>
          <cell r="Q33">
            <v>0</v>
          </cell>
          <cell r="S33">
            <v>44592</v>
          </cell>
          <cell r="T33">
            <v>9022</v>
          </cell>
          <cell r="U33">
            <v>440</v>
          </cell>
          <cell r="W33">
            <v>44592</v>
          </cell>
          <cell r="X33">
            <v>101844</v>
          </cell>
          <cell r="Y33">
            <v>1479</v>
          </cell>
        </row>
        <row r="34">
          <cell r="A34">
            <v>44593</v>
          </cell>
          <cell r="B34">
            <v>367.92</v>
          </cell>
          <cell r="D34">
            <v>44593</v>
          </cell>
          <cell r="E34">
            <v>55.11</v>
          </cell>
          <cell r="G34">
            <v>44593</v>
          </cell>
          <cell r="H34">
            <v>828.85</v>
          </cell>
          <cell r="J34">
            <v>44593</v>
          </cell>
          <cell r="K34">
            <v>337.46</v>
          </cell>
          <cell r="M34">
            <v>44593</v>
          </cell>
          <cell r="N34">
            <v>1.6</v>
          </cell>
          <cell r="P34">
            <v>44593</v>
          </cell>
          <cell r="Q34">
            <v>1</v>
          </cell>
          <cell r="S34">
            <v>44593</v>
          </cell>
          <cell r="T34">
            <v>6938</v>
          </cell>
          <cell r="U34">
            <v>312</v>
          </cell>
          <cell r="W34">
            <v>44593</v>
          </cell>
          <cell r="X34">
            <v>99013</v>
          </cell>
          <cell r="Y34">
            <v>1450</v>
          </cell>
        </row>
        <row r="35">
          <cell r="A35">
            <v>44594</v>
          </cell>
          <cell r="B35">
            <v>557.08000000000004</v>
          </cell>
          <cell r="D35">
            <v>44594</v>
          </cell>
          <cell r="E35">
            <v>98.7</v>
          </cell>
          <cell r="G35">
            <v>44594</v>
          </cell>
          <cell r="H35">
            <v>827.29</v>
          </cell>
          <cell r="J35">
            <v>44594</v>
          </cell>
          <cell r="K35">
            <v>335.42</v>
          </cell>
          <cell r="M35">
            <v>44594</v>
          </cell>
          <cell r="N35">
            <v>9.5</v>
          </cell>
          <cell r="P35">
            <v>44594</v>
          </cell>
          <cell r="Q35">
            <v>0</v>
          </cell>
          <cell r="S35">
            <v>44594</v>
          </cell>
          <cell r="T35">
            <v>7567</v>
          </cell>
          <cell r="U35">
            <v>391</v>
          </cell>
          <cell r="W35">
            <v>44594</v>
          </cell>
          <cell r="X35">
            <v>99235</v>
          </cell>
          <cell r="Y35">
            <v>1534</v>
          </cell>
        </row>
        <row r="36">
          <cell r="A36">
            <v>44595</v>
          </cell>
          <cell r="B36">
            <v>249.92</v>
          </cell>
          <cell r="D36">
            <v>44595</v>
          </cell>
          <cell r="E36">
            <v>40.69</v>
          </cell>
          <cell r="G36">
            <v>44595</v>
          </cell>
          <cell r="H36">
            <v>378.16</v>
          </cell>
          <cell r="J36">
            <v>44595</v>
          </cell>
          <cell r="K36">
            <v>328.67</v>
          </cell>
          <cell r="M36">
            <v>44595</v>
          </cell>
          <cell r="N36">
            <v>4</v>
          </cell>
          <cell r="P36">
            <v>44595</v>
          </cell>
          <cell r="Q36">
            <v>0</v>
          </cell>
          <cell r="S36">
            <v>44595</v>
          </cell>
          <cell r="T36">
            <v>4284</v>
          </cell>
          <cell r="U36">
            <v>227</v>
          </cell>
          <cell r="W36">
            <v>44595</v>
          </cell>
          <cell r="X36">
            <v>67998</v>
          </cell>
          <cell r="Y36">
            <v>756</v>
          </cell>
        </row>
        <row r="37">
          <cell r="A37">
            <v>44596</v>
          </cell>
          <cell r="B37">
            <v>177.65</v>
          </cell>
          <cell r="D37">
            <v>44596</v>
          </cell>
          <cell r="E37">
            <v>18.78</v>
          </cell>
          <cell r="G37">
            <v>44596</v>
          </cell>
          <cell r="H37">
            <v>226.63</v>
          </cell>
          <cell r="J37">
            <v>44596</v>
          </cell>
          <cell r="K37">
            <v>273.68</v>
          </cell>
          <cell r="M37">
            <v>44596</v>
          </cell>
          <cell r="N37">
            <v>4.5</v>
          </cell>
          <cell r="P37">
            <v>44596</v>
          </cell>
          <cell r="Q37">
            <v>0</v>
          </cell>
          <cell r="S37">
            <v>44596</v>
          </cell>
          <cell r="T37">
            <v>2810</v>
          </cell>
          <cell r="U37">
            <v>136</v>
          </cell>
          <cell r="W37">
            <v>44596</v>
          </cell>
          <cell r="X37">
            <v>57519</v>
          </cell>
          <cell r="Y37">
            <v>461</v>
          </cell>
        </row>
        <row r="38">
          <cell r="A38">
            <v>44597</v>
          </cell>
          <cell r="B38">
            <v>125.3</v>
          </cell>
          <cell r="D38">
            <v>44597</v>
          </cell>
          <cell r="E38">
            <v>8.5399999999999991</v>
          </cell>
          <cell r="G38">
            <v>44597</v>
          </cell>
          <cell r="H38">
            <v>223.45</v>
          </cell>
          <cell r="J38">
            <v>44597</v>
          </cell>
          <cell r="K38">
            <v>249.25</v>
          </cell>
          <cell r="M38">
            <v>44597</v>
          </cell>
          <cell r="N38">
            <v>3</v>
          </cell>
          <cell r="P38">
            <v>44597</v>
          </cell>
          <cell r="Q38">
            <v>0</v>
          </cell>
          <cell r="S38">
            <v>44597</v>
          </cell>
          <cell r="T38">
            <v>2158</v>
          </cell>
          <cell r="U38">
            <v>109</v>
          </cell>
          <cell r="W38">
            <v>44597</v>
          </cell>
          <cell r="X38">
            <v>54206</v>
          </cell>
          <cell r="Y38">
            <v>601</v>
          </cell>
        </row>
        <row r="39">
          <cell r="A39">
            <v>44598</v>
          </cell>
          <cell r="B39">
            <v>170.48</v>
          </cell>
          <cell r="D39">
            <v>44598</v>
          </cell>
          <cell r="E39">
            <v>10.119999999999999</v>
          </cell>
          <cell r="G39">
            <v>44598</v>
          </cell>
          <cell r="H39">
            <v>250.34</v>
          </cell>
          <cell r="J39">
            <v>44598</v>
          </cell>
          <cell r="K39">
            <v>257.45999999999998</v>
          </cell>
          <cell r="M39">
            <v>44598</v>
          </cell>
          <cell r="N39">
            <v>2.5</v>
          </cell>
          <cell r="P39">
            <v>44598</v>
          </cell>
          <cell r="Q39">
            <v>1</v>
          </cell>
          <cell r="S39">
            <v>44598</v>
          </cell>
          <cell r="T39">
            <v>2233</v>
          </cell>
          <cell r="U39">
            <v>137</v>
          </cell>
          <cell r="W39">
            <v>44598</v>
          </cell>
          <cell r="X39">
            <v>46200</v>
          </cell>
          <cell r="Y39">
            <v>541</v>
          </cell>
        </row>
        <row r="40">
          <cell r="A40">
            <v>44599</v>
          </cell>
          <cell r="B40">
            <v>331.77</v>
          </cell>
          <cell r="D40">
            <v>44599</v>
          </cell>
          <cell r="E40">
            <v>21.36</v>
          </cell>
          <cell r="G40">
            <v>44599</v>
          </cell>
          <cell r="H40">
            <v>228.56</v>
          </cell>
          <cell r="J40">
            <v>44599</v>
          </cell>
          <cell r="K40">
            <v>261.27999999999997</v>
          </cell>
          <cell r="M40">
            <v>44599</v>
          </cell>
          <cell r="N40">
            <v>9</v>
          </cell>
          <cell r="P40">
            <v>44599</v>
          </cell>
          <cell r="Q40">
            <v>1</v>
          </cell>
          <cell r="S40">
            <v>44599</v>
          </cell>
          <cell r="T40">
            <v>5554</v>
          </cell>
          <cell r="U40">
            <v>240</v>
          </cell>
          <cell r="W40">
            <v>44599</v>
          </cell>
          <cell r="X40">
            <v>47854</v>
          </cell>
          <cell r="Y40">
            <v>431</v>
          </cell>
        </row>
        <row r="41">
          <cell r="A41">
            <v>44600</v>
          </cell>
          <cell r="B41">
            <v>369.6</v>
          </cell>
          <cell r="D41">
            <v>44600</v>
          </cell>
          <cell r="E41">
            <v>79.53</v>
          </cell>
          <cell r="G41">
            <v>44600</v>
          </cell>
          <cell r="H41">
            <v>270.33999999999997</v>
          </cell>
          <cell r="J41">
            <v>44600</v>
          </cell>
          <cell r="K41">
            <v>261.91000000000003</v>
          </cell>
          <cell r="M41">
            <v>44600</v>
          </cell>
          <cell r="N41">
            <v>5.5</v>
          </cell>
          <cell r="P41">
            <v>44600</v>
          </cell>
          <cell r="Q41">
            <v>1</v>
          </cell>
          <cell r="S41">
            <v>44600</v>
          </cell>
          <cell r="T41">
            <v>9080</v>
          </cell>
          <cell r="U41">
            <v>265</v>
          </cell>
          <cell r="W41">
            <v>44600</v>
          </cell>
          <cell r="X41">
            <v>52499</v>
          </cell>
          <cell r="Y41">
            <v>431</v>
          </cell>
        </row>
        <row r="42">
          <cell r="A42">
            <v>44601</v>
          </cell>
          <cell r="B42">
            <v>414.28</v>
          </cell>
          <cell r="D42">
            <v>44601</v>
          </cell>
          <cell r="E42">
            <v>102.04</v>
          </cell>
          <cell r="G42">
            <v>44601</v>
          </cell>
          <cell r="H42">
            <v>546.41</v>
          </cell>
          <cell r="J42">
            <v>44601</v>
          </cell>
          <cell r="K42">
            <v>266.94</v>
          </cell>
          <cell r="M42">
            <v>44601</v>
          </cell>
          <cell r="N42">
            <v>11.1</v>
          </cell>
          <cell r="P42">
            <v>44601</v>
          </cell>
          <cell r="Q42">
            <v>0</v>
          </cell>
          <cell r="S42">
            <v>44601</v>
          </cell>
          <cell r="T42">
            <v>9545</v>
          </cell>
          <cell r="U42">
            <v>310</v>
          </cell>
          <cell r="W42">
            <v>44601</v>
          </cell>
          <cell r="X42">
            <v>68393</v>
          </cell>
          <cell r="Y42">
            <v>655</v>
          </cell>
        </row>
        <row r="43">
          <cell r="A43">
            <v>44602</v>
          </cell>
          <cell r="B43">
            <v>573.01</v>
          </cell>
          <cell r="D43">
            <v>44602</v>
          </cell>
          <cell r="E43">
            <v>179.23</v>
          </cell>
          <cell r="G43">
            <v>44602</v>
          </cell>
          <cell r="H43">
            <v>668.21</v>
          </cell>
          <cell r="J43">
            <v>44602</v>
          </cell>
          <cell r="K43">
            <v>269.42</v>
          </cell>
          <cell r="M43">
            <v>44602</v>
          </cell>
          <cell r="N43">
            <v>9.9</v>
          </cell>
          <cell r="P43">
            <v>44602</v>
          </cell>
          <cell r="Q43">
            <v>1</v>
          </cell>
          <cell r="S43">
            <v>44602</v>
          </cell>
          <cell r="T43">
            <v>27814</v>
          </cell>
          <cell r="U43">
            <v>550</v>
          </cell>
          <cell r="W43">
            <v>44602</v>
          </cell>
          <cell r="X43">
            <v>77356</v>
          </cell>
          <cell r="Y43">
            <v>657</v>
          </cell>
        </row>
        <row r="44">
          <cell r="A44">
            <v>44603</v>
          </cell>
          <cell r="B44">
            <v>533.73</v>
          </cell>
          <cell r="D44">
            <v>44603</v>
          </cell>
          <cell r="E44">
            <v>463.7</v>
          </cell>
          <cell r="G44">
            <v>44603</v>
          </cell>
          <cell r="H44">
            <v>1048.83</v>
          </cell>
          <cell r="J44">
            <v>44603</v>
          </cell>
          <cell r="K44">
            <v>491.03</v>
          </cell>
          <cell r="M44">
            <v>44603</v>
          </cell>
          <cell r="N44">
            <v>8</v>
          </cell>
          <cell r="P44">
            <v>44603</v>
          </cell>
          <cell r="Q44">
            <v>2</v>
          </cell>
          <cell r="S44">
            <v>44603</v>
          </cell>
          <cell r="T44">
            <v>25787</v>
          </cell>
          <cell r="U44">
            <v>592</v>
          </cell>
          <cell r="W44">
            <v>44603</v>
          </cell>
          <cell r="X44">
            <v>142319</v>
          </cell>
          <cell r="Y44">
            <v>859</v>
          </cell>
        </row>
        <row r="45">
          <cell r="A45">
            <v>44604</v>
          </cell>
          <cell r="B45">
            <v>609.97</v>
          </cell>
          <cell r="D45">
            <v>44604</v>
          </cell>
          <cell r="E45">
            <v>677.84</v>
          </cell>
          <cell r="G45">
            <v>44604</v>
          </cell>
          <cell r="H45">
            <v>1267.96</v>
          </cell>
          <cell r="J45">
            <v>44604</v>
          </cell>
          <cell r="K45">
            <v>816.71</v>
          </cell>
          <cell r="M45">
            <v>44604</v>
          </cell>
          <cell r="N45">
            <v>8.4</v>
          </cell>
          <cell r="P45">
            <v>44604</v>
          </cell>
          <cell r="Q45">
            <v>2</v>
          </cell>
          <cell r="S45">
            <v>44604</v>
          </cell>
          <cell r="T45">
            <v>302826</v>
          </cell>
          <cell r="U45">
            <v>3665</v>
          </cell>
          <cell r="W45">
            <v>44604</v>
          </cell>
          <cell r="X45">
            <v>206523</v>
          </cell>
          <cell r="Y45">
            <v>1188</v>
          </cell>
        </row>
        <row r="46">
          <cell r="A46">
            <v>44605</v>
          </cell>
          <cell r="B46">
            <v>607.29</v>
          </cell>
          <cell r="D46">
            <v>44605</v>
          </cell>
          <cell r="E46">
            <v>488.4</v>
          </cell>
          <cell r="G46">
            <v>44605</v>
          </cell>
          <cell r="H46">
            <v>1377.24</v>
          </cell>
          <cell r="J46">
            <v>44605</v>
          </cell>
          <cell r="K46">
            <v>857.26</v>
          </cell>
          <cell r="M46">
            <v>44605</v>
          </cell>
          <cell r="N46">
            <v>15.4</v>
          </cell>
          <cell r="P46">
            <v>44605</v>
          </cell>
          <cell r="Q46">
            <v>4</v>
          </cell>
          <cell r="S46">
            <v>44605</v>
          </cell>
          <cell r="T46">
            <v>190994</v>
          </cell>
          <cell r="U46">
            <v>2457</v>
          </cell>
          <cell r="W46">
            <v>44605</v>
          </cell>
          <cell r="X46">
            <v>203165</v>
          </cell>
          <cell r="Y46">
            <v>1303</v>
          </cell>
        </row>
        <row r="47">
          <cell r="A47">
            <v>44606</v>
          </cell>
          <cell r="B47">
            <v>1672.45</v>
          </cell>
          <cell r="D47">
            <v>44606</v>
          </cell>
          <cell r="E47">
            <v>873.67</v>
          </cell>
          <cell r="G47">
            <v>44606</v>
          </cell>
          <cell r="H47">
            <v>2280.25</v>
          </cell>
          <cell r="J47">
            <v>44606</v>
          </cell>
          <cell r="K47">
            <v>1369.99</v>
          </cell>
          <cell r="M47">
            <v>44606</v>
          </cell>
          <cell r="N47">
            <v>32.69</v>
          </cell>
          <cell r="P47">
            <v>44606</v>
          </cell>
          <cell r="Q47">
            <v>6</v>
          </cell>
          <cell r="S47">
            <v>44606</v>
          </cell>
          <cell r="T47">
            <v>641775</v>
          </cell>
          <cell r="U47">
            <v>7724</v>
          </cell>
          <cell r="W47">
            <v>44606</v>
          </cell>
          <cell r="X47">
            <v>362484</v>
          </cell>
          <cell r="Y47">
            <v>2802</v>
          </cell>
        </row>
        <row r="48">
          <cell r="A48">
            <v>44607</v>
          </cell>
          <cell r="B48">
            <v>1585.42</v>
          </cell>
          <cell r="D48">
            <v>44607</v>
          </cell>
          <cell r="E48">
            <v>883.46</v>
          </cell>
          <cell r="G48">
            <v>44607</v>
          </cell>
          <cell r="H48">
            <v>2676.61</v>
          </cell>
          <cell r="J48">
            <v>44607</v>
          </cell>
          <cell r="K48">
            <v>1438.04</v>
          </cell>
          <cell r="M48">
            <v>44607</v>
          </cell>
          <cell r="N48">
            <v>21.51</v>
          </cell>
          <cell r="P48">
            <v>44607</v>
          </cell>
          <cell r="Q48">
            <v>2</v>
          </cell>
          <cell r="S48">
            <v>44607</v>
          </cell>
          <cell r="T48">
            <v>590195</v>
          </cell>
          <cell r="U48">
            <v>7343</v>
          </cell>
          <cell r="W48">
            <v>44607</v>
          </cell>
          <cell r="X48">
            <v>409162</v>
          </cell>
          <cell r="Y48">
            <v>3510</v>
          </cell>
        </row>
        <row r="49">
          <cell r="A49">
            <v>44608</v>
          </cell>
          <cell r="B49">
            <v>1675.56</v>
          </cell>
          <cell r="D49">
            <v>44608</v>
          </cell>
          <cell r="E49">
            <v>578.24</v>
          </cell>
          <cell r="G49">
            <v>44608</v>
          </cell>
          <cell r="H49">
            <v>2541.69</v>
          </cell>
          <cell r="J49">
            <v>44608</v>
          </cell>
          <cell r="K49">
            <v>1232.68</v>
          </cell>
          <cell r="M49">
            <v>44608</v>
          </cell>
          <cell r="N49">
            <v>39.33</v>
          </cell>
          <cell r="P49">
            <v>44608</v>
          </cell>
          <cell r="Q49">
            <v>3</v>
          </cell>
          <cell r="S49">
            <v>44608</v>
          </cell>
          <cell r="T49">
            <v>455094</v>
          </cell>
          <cell r="U49">
            <v>5519</v>
          </cell>
          <cell r="W49">
            <v>44608</v>
          </cell>
          <cell r="X49">
            <v>338215</v>
          </cell>
          <cell r="Y49">
            <v>3186</v>
          </cell>
        </row>
        <row r="50">
          <cell r="A50">
            <v>44609</v>
          </cell>
          <cell r="B50">
            <v>1333.32</v>
          </cell>
          <cell r="D50">
            <v>44609</v>
          </cell>
          <cell r="E50">
            <v>370.31</v>
          </cell>
          <cell r="G50">
            <v>44609</v>
          </cell>
          <cell r="H50">
            <v>2324.0100000000002</v>
          </cell>
          <cell r="J50">
            <v>44609</v>
          </cell>
          <cell r="K50">
            <v>330.36</v>
          </cell>
          <cell r="M50">
            <v>44609</v>
          </cell>
          <cell r="N50">
            <v>14.95</v>
          </cell>
          <cell r="P50">
            <v>44609</v>
          </cell>
          <cell r="Q50">
            <v>0</v>
          </cell>
          <cell r="S50">
            <v>44609</v>
          </cell>
          <cell r="T50">
            <v>446290</v>
          </cell>
          <cell r="U50">
            <v>5631</v>
          </cell>
          <cell r="W50">
            <v>44609</v>
          </cell>
          <cell r="X50">
            <v>237526</v>
          </cell>
          <cell r="Y50">
            <v>2882</v>
          </cell>
        </row>
        <row r="51">
          <cell r="A51">
            <v>44610</v>
          </cell>
          <cell r="B51">
            <v>1019.27</v>
          </cell>
          <cell r="D51">
            <v>44610</v>
          </cell>
          <cell r="E51">
            <v>119.01</v>
          </cell>
          <cell r="G51">
            <v>44610</v>
          </cell>
          <cell r="H51">
            <v>1982.25</v>
          </cell>
          <cell r="J51">
            <v>44610</v>
          </cell>
          <cell r="K51">
            <v>45.96</v>
          </cell>
          <cell r="M51">
            <v>44610</v>
          </cell>
          <cell r="N51">
            <v>22.51</v>
          </cell>
          <cell r="P51">
            <v>44610</v>
          </cell>
          <cell r="Q51">
            <v>0</v>
          </cell>
          <cell r="S51">
            <v>44610</v>
          </cell>
          <cell r="T51">
            <v>260183</v>
          </cell>
          <cell r="U51">
            <v>3057</v>
          </cell>
          <cell r="W51">
            <v>44610</v>
          </cell>
          <cell r="X51">
            <v>194827</v>
          </cell>
          <cell r="Y51">
            <v>2808</v>
          </cell>
        </row>
        <row r="52">
          <cell r="A52">
            <v>44611</v>
          </cell>
          <cell r="B52">
            <v>919.78</v>
          </cell>
          <cell r="D52">
            <v>44611</v>
          </cell>
          <cell r="E52">
            <v>155.9</v>
          </cell>
          <cell r="G52">
            <v>44611</v>
          </cell>
          <cell r="H52">
            <v>1883.59</v>
          </cell>
          <cell r="J52">
            <v>44611</v>
          </cell>
          <cell r="K52">
            <v>45.96</v>
          </cell>
          <cell r="M52">
            <v>44611</v>
          </cell>
          <cell r="N52">
            <v>13.41</v>
          </cell>
          <cell r="P52">
            <v>44611</v>
          </cell>
          <cell r="Q52">
            <v>0</v>
          </cell>
          <cell r="S52">
            <v>44611</v>
          </cell>
          <cell r="T52">
            <v>248768</v>
          </cell>
          <cell r="U52">
            <v>2964</v>
          </cell>
          <cell r="W52">
            <v>44611</v>
          </cell>
          <cell r="X52">
            <v>187764</v>
          </cell>
          <cell r="Y52">
            <v>2962</v>
          </cell>
        </row>
        <row r="53">
          <cell r="A53">
            <v>44612</v>
          </cell>
          <cell r="B53">
            <v>862.43</v>
          </cell>
          <cell r="D53">
            <v>44612</v>
          </cell>
          <cell r="E53">
            <v>180.51</v>
          </cell>
          <cell r="G53">
            <v>44612</v>
          </cell>
          <cell r="H53">
            <v>1986.82</v>
          </cell>
          <cell r="J53">
            <v>44612</v>
          </cell>
          <cell r="K53">
            <v>221.54</v>
          </cell>
          <cell r="M53">
            <v>44612</v>
          </cell>
          <cell r="N53">
            <v>25.88</v>
          </cell>
          <cell r="P53">
            <v>44612</v>
          </cell>
          <cell r="Q53">
            <v>0</v>
          </cell>
          <cell r="S53">
            <v>44612</v>
          </cell>
          <cell r="T53">
            <v>244502</v>
          </cell>
          <cell r="U53">
            <v>3146</v>
          </cell>
          <cell r="W53">
            <v>44612</v>
          </cell>
          <cell r="X53">
            <v>239429</v>
          </cell>
          <cell r="Y53">
            <v>3272</v>
          </cell>
        </row>
        <row r="54">
          <cell r="A54">
            <v>44613</v>
          </cell>
          <cell r="B54">
            <v>1036.6600000000001</v>
          </cell>
          <cell r="D54">
            <v>44613</v>
          </cell>
          <cell r="E54">
            <v>110.78</v>
          </cell>
          <cell r="G54">
            <v>44613</v>
          </cell>
          <cell r="H54">
            <v>1223.25</v>
          </cell>
          <cell r="J54">
            <v>44613</v>
          </cell>
          <cell r="K54">
            <v>221.54</v>
          </cell>
          <cell r="M54">
            <v>44613</v>
          </cell>
          <cell r="N54">
            <v>14.79</v>
          </cell>
          <cell r="P54">
            <v>44613</v>
          </cell>
          <cell r="Q54">
            <v>0</v>
          </cell>
          <cell r="S54">
            <v>44613</v>
          </cell>
          <cell r="T54">
            <v>225771</v>
          </cell>
          <cell r="U54">
            <v>2135</v>
          </cell>
          <cell r="W54">
            <v>44613</v>
          </cell>
          <cell r="X54">
            <v>137326</v>
          </cell>
          <cell r="Y54">
            <v>908</v>
          </cell>
        </row>
        <row r="55">
          <cell r="A55">
            <v>44614</v>
          </cell>
          <cell r="B55">
            <v>956.39</v>
          </cell>
          <cell r="D55">
            <v>44614</v>
          </cell>
          <cell r="E55">
            <v>103.67</v>
          </cell>
          <cell r="G55">
            <v>44614</v>
          </cell>
          <cell r="H55">
            <v>1579.22</v>
          </cell>
          <cell r="J55">
            <v>44614</v>
          </cell>
          <cell r="K55">
            <v>221.54</v>
          </cell>
          <cell r="M55">
            <v>44614</v>
          </cell>
          <cell r="N55">
            <v>31.22</v>
          </cell>
          <cell r="P55">
            <v>44614</v>
          </cell>
          <cell r="Q55">
            <v>0</v>
          </cell>
          <cell r="S55">
            <v>44614</v>
          </cell>
          <cell r="T55">
            <v>171920</v>
          </cell>
          <cell r="U55">
            <v>2016</v>
          </cell>
          <cell r="W55">
            <v>44614</v>
          </cell>
          <cell r="X55">
            <v>184790</v>
          </cell>
          <cell r="Y55">
            <v>1269</v>
          </cell>
        </row>
        <row r="56">
          <cell r="A56">
            <v>44615</v>
          </cell>
          <cell r="B56">
            <v>1258.44</v>
          </cell>
          <cell r="D56">
            <v>44615</v>
          </cell>
          <cell r="E56">
            <v>196.8</v>
          </cell>
          <cell r="G56">
            <v>44615</v>
          </cell>
          <cell r="H56">
            <v>1655.41</v>
          </cell>
          <cell r="J56">
            <v>44615</v>
          </cell>
          <cell r="K56">
            <v>221.54</v>
          </cell>
          <cell r="M56">
            <v>44615</v>
          </cell>
          <cell r="N56">
            <v>25.54</v>
          </cell>
          <cell r="P56">
            <v>44615</v>
          </cell>
          <cell r="Q56">
            <v>0</v>
          </cell>
          <cell r="S56">
            <v>44615</v>
          </cell>
          <cell r="T56">
            <v>219373</v>
          </cell>
          <cell r="U56">
            <v>2796</v>
          </cell>
          <cell r="W56">
            <v>44615</v>
          </cell>
          <cell r="X56">
            <v>190432</v>
          </cell>
          <cell r="Y56">
            <v>1007</v>
          </cell>
        </row>
        <row r="57">
          <cell r="A57">
            <v>44616</v>
          </cell>
          <cell r="B57">
            <v>1130.3699999999999</v>
          </cell>
          <cell r="D57">
            <v>44616</v>
          </cell>
          <cell r="E57">
            <v>158.91999999999999</v>
          </cell>
          <cell r="G57">
            <v>44616</v>
          </cell>
          <cell r="H57">
            <v>1603.68</v>
          </cell>
          <cell r="J57">
            <v>44616</v>
          </cell>
          <cell r="K57">
            <v>221.54</v>
          </cell>
          <cell r="M57">
            <v>44616</v>
          </cell>
          <cell r="N57">
            <v>24.28</v>
          </cell>
          <cell r="P57">
            <v>44616</v>
          </cell>
          <cell r="Q57">
            <v>0</v>
          </cell>
          <cell r="S57">
            <v>44616</v>
          </cell>
          <cell r="T57">
            <v>263695</v>
          </cell>
          <cell r="U57">
            <v>2752</v>
          </cell>
          <cell r="W57">
            <v>44616</v>
          </cell>
          <cell r="X57">
            <v>205802</v>
          </cell>
          <cell r="Y57">
            <v>1087</v>
          </cell>
        </row>
        <row r="58">
          <cell r="A58">
            <v>44617</v>
          </cell>
          <cell r="B58">
            <v>1023.69</v>
          </cell>
          <cell r="D58">
            <v>44617</v>
          </cell>
          <cell r="E58">
            <v>161.1</v>
          </cell>
          <cell r="G58">
            <v>44617</v>
          </cell>
          <cell r="H58">
            <v>1622.88</v>
          </cell>
          <cell r="J58">
            <v>44617</v>
          </cell>
          <cell r="K58">
            <v>221.54</v>
          </cell>
          <cell r="M58">
            <v>44617</v>
          </cell>
          <cell r="N58">
            <v>24.69</v>
          </cell>
          <cell r="P58">
            <v>44617</v>
          </cell>
          <cell r="Q58">
            <v>0</v>
          </cell>
          <cell r="S58">
            <v>44617</v>
          </cell>
          <cell r="T58">
            <v>260766</v>
          </cell>
          <cell r="U58">
            <v>2488</v>
          </cell>
          <cell r="W58">
            <v>44617</v>
          </cell>
          <cell r="X58">
            <v>199663</v>
          </cell>
          <cell r="Y58">
            <v>1241</v>
          </cell>
        </row>
        <row r="59">
          <cell r="A59">
            <v>44618</v>
          </cell>
          <cell r="B59">
            <v>1018.46</v>
          </cell>
          <cell r="D59">
            <v>44618</v>
          </cell>
          <cell r="E59">
            <v>173.33</v>
          </cell>
          <cell r="G59">
            <v>44618</v>
          </cell>
          <cell r="H59">
            <v>1643.51</v>
          </cell>
          <cell r="J59">
            <v>44618</v>
          </cell>
          <cell r="K59">
            <v>221.54</v>
          </cell>
          <cell r="M59">
            <v>44618</v>
          </cell>
          <cell r="N59">
            <v>20.48</v>
          </cell>
          <cell r="P59">
            <v>44618</v>
          </cell>
          <cell r="Q59">
            <v>0</v>
          </cell>
          <cell r="S59">
            <v>44618</v>
          </cell>
          <cell r="T59">
            <v>227345</v>
          </cell>
          <cell r="U59">
            <v>2694</v>
          </cell>
          <cell r="W59">
            <v>44618</v>
          </cell>
          <cell r="X59">
            <v>192221</v>
          </cell>
          <cell r="Y59">
            <v>1509</v>
          </cell>
        </row>
        <row r="60">
          <cell r="A60">
            <v>44619</v>
          </cell>
          <cell r="B60">
            <v>1117.1199999999999</v>
          </cell>
          <cell r="D60">
            <v>44619</v>
          </cell>
          <cell r="E60">
            <v>153.75</v>
          </cell>
          <cell r="G60">
            <v>44619</v>
          </cell>
          <cell r="H60">
            <v>1752.07</v>
          </cell>
          <cell r="J60">
            <v>44619</v>
          </cell>
          <cell r="K60">
            <v>221.54</v>
          </cell>
          <cell r="M60">
            <v>44619</v>
          </cell>
          <cell r="N60">
            <v>23.75</v>
          </cell>
          <cell r="P60">
            <v>44619</v>
          </cell>
          <cell r="Q60">
            <v>0</v>
          </cell>
          <cell r="S60">
            <v>44619</v>
          </cell>
          <cell r="T60">
            <v>210804</v>
          </cell>
          <cell r="U60">
            <v>3148</v>
          </cell>
          <cell r="W60">
            <v>44619</v>
          </cell>
          <cell r="X60">
            <v>221688</v>
          </cell>
          <cell r="Y60">
            <v>1659</v>
          </cell>
        </row>
        <row r="61">
          <cell r="A61">
            <v>44620</v>
          </cell>
          <cell r="B61">
            <v>1356.69</v>
          </cell>
          <cell r="D61">
            <v>44620</v>
          </cell>
          <cell r="E61">
            <v>155.38999999999999</v>
          </cell>
          <cell r="G61">
            <v>44620</v>
          </cell>
          <cell r="H61">
            <v>1810.38</v>
          </cell>
          <cell r="J61">
            <v>44620</v>
          </cell>
          <cell r="K61">
            <v>221.54</v>
          </cell>
          <cell r="M61">
            <v>44620</v>
          </cell>
          <cell r="N61">
            <v>32.270000000000003</v>
          </cell>
          <cell r="P61">
            <v>44620</v>
          </cell>
          <cell r="Q61">
            <v>0</v>
          </cell>
          <cell r="S61">
            <v>44620</v>
          </cell>
          <cell r="T61">
            <v>180421</v>
          </cell>
          <cell r="U61">
            <v>2802</v>
          </cell>
          <cell r="W61">
            <v>44620</v>
          </cell>
          <cell r="X61">
            <v>239853</v>
          </cell>
          <cell r="Y61">
            <v>1549</v>
          </cell>
        </row>
        <row r="62">
          <cell r="A62">
            <v>44621</v>
          </cell>
          <cell r="B62">
            <v>1188.42</v>
          </cell>
          <cell r="D62">
            <v>44621</v>
          </cell>
          <cell r="E62">
            <v>267.52</v>
          </cell>
          <cell r="G62">
            <v>44621</v>
          </cell>
          <cell r="H62">
            <v>1962.69</v>
          </cell>
          <cell r="J62">
            <v>44621</v>
          </cell>
          <cell r="K62">
            <v>221.54</v>
          </cell>
          <cell r="M62">
            <v>44621</v>
          </cell>
          <cell r="N62">
            <v>14.52</v>
          </cell>
          <cell r="P62">
            <v>44621</v>
          </cell>
          <cell r="Q62">
            <v>0</v>
          </cell>
          <cell r="S62">
            <v>44621</v>
          </cell>
          <cell r="T62">
            <v>184536</v>
          </cell>
          <cell r="U62">
            <v>2673</v>
          </cell>
          <cell r="W62">
            <v>44621</v>
          </cell>
          <cell r="X62">
            <v>263110</v>
          </cell>
          <cell r="Y62">
            <v>1705</v>
          </cell>
        </row>
        <row r="63">
          <cell r="A63">
            <v>44622</v>
          </cell>
          <cell r="B63">
            <v>1314.33</v>
          </cell>
          <cell r="D63">
            <v>44622</v>
          </cell>
          <cell r="E63">
            <v>406.11</v>
          </cell>
          <cell r="G63">
            <v>44622</v>
          </cell>
          <cell r="H63">
            <v>2149.34</v>
          </cell>
          <cell r="J63">
            <v>44622</v>
          </cell>
          <cell r="K63">
            <v>221.54</v>
          </cell>
          <cell r="M63">
            <v>44622</v>
          </cell>
          <cell r="N63">
            <v>15.68</v>
          </cell>
          <cell r="P63">
            <v>44622</v>
          </cell>
          <cell r="Q63">
            <v>0</v>
          </cell>
          <cell r="S63">
            <v>44622</v>
          </cell>
          <cell r="T63">
            <v>139078</v>
          </cell>
          <cell r="U63">
            <v>2139</v>
          </cell>
          <cell r="W63">
            <v>44622</v>
          </cell>
          <cell r="X63">
            <v>259104</v>
          </cell>
          <cell r="Y63">
            <v>1676</v>
          </cell>
        </row>
        <row r="64">
          <cell r="A64">
            <v>44623</v>
          </cell>
          <cell r="B64">
            <v>1254.46</v>
          </cell>
          <cell r="D64">
            <v>44623</v>
          </cell>
          <cell r="E64">
            <v>333.23</v>
          </cell>
          <cell r="G64">
            <v>44623</v>
          </cell>
          <cell r="H64">
            <v>2026.31</v>
          </cell>
          <cell r="J64">
            <v>44623</v>
          </cell>
          <cell r="K64">
            <v>1066.57</v>
          </cell>
          <cell r="M64">
            <v>44623</v>
          </cell>
          <cell r="N64">
            <v>18.559999999999999</v>
          </cell>
          <cell r="P64">
            <v>44623</v>
          </cell>
          <cell r="Q64">
            <v>0</v>
          </cell>
          <cell r="S64">
            <v>44623</v>
          </cell>
          <cell r="T64">
            <v>138533</v>
          </cell>
          <cell r="U64">
            <v>1905</v>
          </cell>
          <cell r="W64">
            <v>44623</v>
          </cell>
          <cell r="X64">
            <v>407310</v>
          </cell>
          <cell r="Y64">
            <v>2177</v>
          </cell>
        </row>
        <row r="65">
          <cell r="A65">
            <v>44624</v>
          </cell>
          <cell r="B65">
            <v>1679.64</v>
          </cell>
          <cell r="D65">
            <v>44624</v>
          </cell>
          <cell r="E65">
            <v>269.68</v>
          </cell>
          <cell r="G65">
            <v>44624</v>
          </cell>
          <cell r="H65">
            <v>1778.52</v>
          </cell>
          <cell r="J65">
            <v>44624</v>
          </cell>
          <cell r="K65">
            <v>970.95</v>
          </cell>
          <cell r="M65">
            <v>44624</v>
          </cell>
          <cell r="N65">
            <v>24.01</v>
          </cell>
          <cell r="P65">
            <v>44624</v>
          </cell>
          <cell r="Q65">
            <v>0</v>
          </cell>
          <cell r="S65">
            <v>44624</v>
          </cell>
          <cell r="T65">
            <v>227147</v>
          </cell>
          <cell r="U65">
            <v>2786</v>
          </cell>
          <cell r="W65">
            <v>44624</v>
          </cell>
          <cell r="X65">
            <v>364018</v>
          </cell>
          <cell r="Y65">
            <v>2295</v>
          </cell>
        </row>
        <row r="66">
          <cell r="A66">
            <v>44625</v>
          </cell>
          <cell r="B66">
            <v>2503.9299999999998</v>
          </cell>
          <cell r="D66">
            <v>44625</v>
          </cell>
          <cell r="E66">
            <v>190.1</v>
          </cell>
          <cell r="G66">
            <v>44625</v>
          </cell>
          <cell r="H66">
            <v>1642.25</v>
          </cell>
          <cell r="J66">
            <v>44625</v>
          </cell>
          <cell r="K66">
            <v>971.14</v>
          </cell>
          <cell r="M66">
            <v>44625</v>
          </cell>
          <cell r="N66">
            <v>43.39</v>
          </cell>
          <cell r="P66">
            <v>44625</v>
          </cell>
          <cell r="Q66">
            <v>0</v>
          </cell>
          <cell r="S66">
            <v>44625</v>
          </cell>
          <cell r="T66">
            <v>374992</v>
          </cell>
          <cell r="U66">
            <v>6200</v>
          </cell>
          <cell r="W66">
            <v>44625</v>
          </cell>
          <cell r="X66">
            <v>392665</v>
          </cell>
          <cell r="Y66">
            <v>2465</v>
          </cell>
        </row>
        <row r="67">
          <cell r="A67">
            <v>44626</v>
          </cell>
          <cell r="B67">
            <v>2170.7399999999998</v>
          </cell>
          <cell r="D67">
            <v>44626</v>
          </cell>
          <cell r="E67">
            <v>256.82</v>
          </cell>
          <cell r="G67">
            <v>44626</v>
          </cell>
          <cell r="H67">
            <v>1601.53</v>
          </cell>
          <cell r="J67">
            <v>44626</v>
          </cell>
          <cell r="K67">
            <v>832.52</v>
          </cell>
          <cell r="M67">
            <v>44626</v>
          </cell>
          <cell r="N67">
            <v>42.56</v>
          </cell>
          <cell r="P67">
            <v>44626</v>
          </cell>
          <cell r="Q67">
            <v>0</v>
          </cell>
          <cell r="S67">
            <v>44626</v>
          </cell>
          <cell r="T67">
            <v>405988</v>
          </cell>
          <cell r="U67">
            <v>5886</v>
          </cell>
          <cell r="W67">
            <v>44626</v>
          </cell>
          <cell r="X67">
            <v>372011</v>
          </cell>
          <cell r="Y67">
            <v>2597</v>
          </cell>
        </row>
        <row r="68">
          <cell r="A68">
            <v>44627</v>
          </cell>
          <cell r="B68">
            <v>2376.02</v>
          </cell>
          <cell r="D68">
            <v>44627</v>
          </cell>
          <cell r="E68">
            <v>536.07000000000005</v>
          </cell>
          <cell r="G68">
            <v>44627</v>
          </cell>
          <cell r="H68">
            <v>1559.93</v>
          </cell>
          <cell r="J68">
            <v>44627</v>
          </cell>
          <cell r="K68">
            <v>740.85</v>
          </cell>
          <cell r="M68">
            <v>44627</v>
          </cell>
          <cell r="N68">
            <v>55.7</v>
          </cell>
          <cell r="P68">
            <v>44627</v>
          </cell>
          <cell r="Q68">
            <v>0</v>
          </cell>
          <cell r="S68">
            <v>44627</v>
          </cell>
          <cell r="T68">
            <v>361473</v>
          </cell>
          <cell r="U68">
            <v>4975</v>
          </cell>
          <cell r="W68">
            <v>44627</v>
          </cell>
          <cell r="X68">
            <v>323749</v>
          </cell>
          <cell r="Y68">
            <v>1868</v>
          </cell>
        </row>
        <row r="69">
          <cell r="A69">
            <v>44628</v>
          </cell>
          <cell r="B69">
            <v>2196.6799999999998</v>
          </cell>
          <cell r="D69">
            <v>44628</v>
          </cell>
          <cell r="E69">
            <v>380.22</v>
          </cell>
          <cell r="G69">
            <v>44628</v>
          </cell>
          <cell r="H69">
            <v>1550.53</v>
          </cell>
          <cell r="J69">
            <v>44628</v>
          </cell>
          <cell r="K69">
            <v>685.61</v>
          </cell>
          <cell r="M69">
            <v>44628</v>
          </cell>
          <cell r="N69">
            <v>55.05</v>
          </cell>
          <cell r="P69">
            <v>44628</v>
          </cell>
          <cell r="Q69">
            <v>0</v>
          </cell>
          <cell r="S69">
            <v>44628</v>
          </cell>
          <cell r="T69">
            <v>412071</v>
          </cell>
          <cell r="U69">
            <v>4974</v>
          </cell>
          <cell r="W69">
            <v>44628</v>
          </cell>
          <cell r="X69">
            <v>232838</v>
          </cell>
          <cell r="Y69">
            <v>1458</v>
          </cell>
        </row>
        <row r="70">
          <cell r="A70">
            <v>44629</v>
          </cell>
          <cell r="B70">
            <v>2252.2399999999998</v>
          </cell>
          <cell r="D70">
            <v>44629</v>
          </cell>
          <cell r="E70">
            <v>376.65</v>
          </cell>
          <cell r="G70">
            <v>44629</v>
          </cell>
          <cell r="H70">
            <v>1555.72</v>
          </cell>
          <cell r="J70">
            <v>44629</v>
          </cell>
          <cell r="K70">
            <v>562.66</v>
          </cell>
          <cell r="M70">
            <v>44629</v>
          </cell>
          <cell r="N70">
            <v>42.18</v>
          </cell>
          <cell r="P70">
            <v>44629</v>
          </cell>
          <cell r="Q70">
            <v>0</v>
          </cell>
          <cell r="S70">
            <v>44629</v>
          </cell>
          <cell r="T70">
            <v>419965</v>
          </cell>
          <cell r="U70">
            <v>5100</v>
          </cell>
          <cell r="W70">
            <v>44629</v>
          </cell>
          <cell r="X70">
            <v>264117</v>
          </cell>
          <cell r="Y70">
            <v>1708</v>
          </cell>
        </row>
        <row r="71">
          <cell r="A71">
            <v>44630</v>
          </cell>
          <cell r="B71">
            <v>2120.0300000000002</v>
          </cell>
          <cell r="D71">
            <v>44630</v>
          </cell>
          <cell r="E71">
            <v>407.96</v>
          </cell>
          <cell r="G71">
            <v>44630</v>
          </cell>
          <cell r="H71">
            <v>1532.13</v>
          </cell>
          <cell r="J71">
            <v>44630</v>
          </cell>
          <cell r="K71">
            <v>532.21</v>
          </cell>
          <cell r="M71">
            <v>44630</v>
          </cell>
          <cell r="N71">
            <v>54.41</v>
          </cell>
          <cell r="P71">
            <v>44630</v>
          </cell>
          <cell r="Q71">
            <v>0</v>
          </cell>
          <cell r="S71">
            <v>44630</v>
          </cell>
          <cell r="T71">
            <v>445348</v>
          </cell>
          <cell r="U71">
            <v>5225</v>
          </cell>
          <cell r="W71">
            <v>44630</v>
          </cell>
          <cell r="X71">
            <v>250302</v>
          </cell>
          <cell r="Y71">
            <v>1736</v>
          </cell>
        </row>
        <row r="72">
          <cell r="A72">
            <v>44631</v>
          </cell>
          <cell r="B72">
            <v>1575.75</v>
          </cell>
          <cell r="D72">
            <v>44631</v>
          </cell>
          <cell r="E72">
            <v>297.38</v>
          </cell>
          <cell r="G72">
            <v>44631</v>
          </cell>
          <cell r="H72">
            <v>1517.28</v>
          </cell>
          <cell r="J72">
            <v>44631</v>
          </cell>
          <cell r="K72">
            <v>504.16</v>
          </cell>
          <cell r="M72">
            <v>44631</v>
          </cell>
          <cell r="N72">
            <v>38.200000000000003</v>
          </cell>
          <cell r="P72">
            <v>44631</v>
          </cell>
          <cell r="Q72">
            <v>0</v>
          </cell>
          <cell r="S72">
            <v>44631</v>
          </cell>
          <cell r="T72">
            <v>353030</v>
          </cell>
          <cell r="U72">
            <v>4810</v>
          </cell>
          <cell r="W72">
            <v>44631</v>
          </cell>
          <cell r="X72">
            <v>236936</v>
          </cell>
          <cell r="Y72">
            <v>1631</v>
          </cell>
        </row>
        <row r="73">
          <cell r="A73">
            <v>44632</v>
          </cell>
          <cell r="B73">
            <v>1765.51</v>
          </cell>
          <cell r="D73">
            <v>44632</v>
          </cell>
          <cell r="E73">
            <v>229.39</v>
          </cell>
          <cell r="G73">
            <v>44632</v>
          </cell>
          <cell r="H73">
            <v>1550.73</v>
          </cell>
          <cell r="J73">
            <v>44632</v>
          </cell>
          <cell r="K73">
            <v>503.13</v>
          </cell>
          <cell r="M73">
            <v>44632</v>
          </cell>
          <cell r="N73">
            <v>47.26</v>
          </cell>
          <cell r="P73">
            <v>44632</v>
          </cell>
          <cell r="Q73">
            <v>0</v>
          </cell>
          <cell r="S73">
            <v>44632</v>
          </cell>
          <cell r="T73">
            <v>451759</v>
          </cell>
          <cell r="U73">
            <v>5797</v>
          </cell>
          <cell r="W73">
            <v>44632</v>
          </cell>
          <cell r="X73">
            <v>230767</v>
          </cell>
          <cell r="Y73">
            <v>1709</v>
          </cell>
        </row>
        <row r="74">
          <cell r="A74">
            <v>44633</v>
          </cell>
          <cell r="B74">
            <v>1545.16</v>
          </cell>
          <cell r="D74">
            <v>44633</v>
          </cell>
          <cell r="E74">
            <v>149.31</v>
          </cell>
          <cell r="G74">
            <v>44633</v>
          </cell>
          <cell r="H74">
            <v>1538.44</v>
          </cell>
          <cell r="J74">
            <v>44633</v>
          </cell>
          <cell r="K74">
            <v>508.21</v>
          </cell>
          <cell r="M74">
            <v>44633</v>
          </cell>
          <cell r="N74">
            <v>47.55</v>
          </cell>
          <cell r="P74">
            <v>44633</v>
          </cell>
          <cell r="Q74">
            <v>0</v>
          </cell>
          <cell r="S74">
            <v>44633</v>
          </cell>
          <cell r="T74">
            <v>567973</v>
          </cell>
          <cell r="U74">
            <v>6489</v>
          </cell>
          <cell r="W74">
            <v>44633</v>
          </cell>
          <cell r="X74">
            <v>247888</v>
          </cell>
          <cell r="Y74">
            <v>1857</v>
          </cell>
        </row>
        <row r="75">
          <cell r="A75">
            <v>44634</v>
          </cell>
          <cell r="B75">
            <v>2023.52</v>
          </cell>
          <cell r="D75">
            <v>44634</v>
          </cell>
          <cell r="E75">
            <v>209.05</v>
          </cell>
          <cell r="G75">
            <v>44634</v>
          </cell>
          <cell r="H75">
            <v>1586.19</v>
          </cell>
          <cell r="J75">
            <v>44634</v>
          </cell>
          <cell r="K75">
            <v>562.34</v>
          </cell>
          <cell r="M75">
            <v>44634</v>
          </cell>
          <cell r="N75">
            <v>72.34</v>
          </cell>
          <cell r="P75">
            <v>44634</v>
          </cell>
          <cell r="Q75">
            <v>0</v>
          </cell>
          <cell r="S75">
            <v>44634</v>
          </cell>
          <cell r="T75">
            <v>533183</v>
          </cell>
          <cell r="U75">
            <v>7087</v>
          </cell>
          <cell r="W75">
            <v>44634</v>
          </cell>
          <cell r="X75">
            <v>258853</v>
          </cell>
          <cell r="Y75">
            <v>1704</v>
          </cell>
        </row>
        <row r="76">
          <cell r="A76">
            <v>44635</v>
          </cell>
          <cell r="B76">
            <v>1939.1</v>
          </cell>
          <cell r="D76">
            <v>44635</v>
          </cell>
          <cell r="E76">
            <v>211.23</v>
          </cell>
          <cell r="G76">
            <v>44635</v>
          </cell>
          <cell r="H76">
            <v>1619.05</v>
          </cell>
          <cell r="J76">
            <v>44635</v>
          </cell>
          <cell r="K76">
            <v>609.91999999999996</v>
          </cell>
          <cell r="M76">
            <v>44635</v>
          </cell>
          <cell r="N76">
            <v>52.25</v>
          </cell>
          <cell r="P76">
            <v>44635</v>
          </cell>
          <cell r="Q76">
            <v>0.5</v>
          </cell>
          <cell r="S76">
            <v>44635</v>
          </cell>
          <cell r="T76">
            <v>498547</v>
          </cell>
          <cell r="U76">
            <v>5362</v>
          </cell>
          <cell r="W76">
            <v>44635</v>
          </cell>
          <cell r="X76">
            <v>220938</v>
          </cell>
          <cell r="Y76">
            <v>1410</v>
          </cell>
        </row>
        <row r="77">
          <cell r="A77">
            <v>44636</v>
          </cell>
          <cell r="B77">
            <v>2078.44</v>
          </cell>
          <cell r="D77">
            <v>44636</v>
          </cell>
          <cell r="E77">
            <v>394.17</v>
          </cell>
          <cell r="G77">
            <v>44636</v>
          </cell>
          <cell r="H77">
            <v>1621.07</v>
          </cell>
          <cell r="J77">
            <v>44636</v>
          </cell>
          <cell r="K77">
            <v>601.26</v>
          </cell>
          <cell r="M77">
            <v>44636</v>
          </cell>
          <cell r="N77">
            <v>73.41</v>
          </cell>
          <cell r="P77">
            <v>44636</v>
          </cell>
          <cell r="Q77">
            <v>2.5</v>
          </cell>
          <cell r="S77">
            <v>44636</v>
          </cell>
          <cell r="T77">
            <v>533259</v>
          </cell>
          <cell r="U77">
            <v>5370</v>
          </cell>
          <cell r="W77">
            <v>44636</v>
          </cell>
          <cell r="X77">
            <v>225651</v>
          </cell>
          <cell r="Y77">
            <v>1693</v>
          </cell>
        </row>
        <row r="78">
          <cell r="A78">
            <v>44637</v>
          </cell>
          <cell r="B78">
            <v>2056</v>
          </cell>
          <cell r="D78">
            <v>44637</v>
          </cell>
          <cell r="E78">
            <v>677.03</v>
          </cell>
          <cell r="G78">
            <v>44637</v>
          </cell>
          <cell r="H78">
            <v>1369.88</v>
          </cell>
          <cell r="J78">
            <v>44637</v>
          </cell>
          <cell r="K78">
            <v>600.69000000000005</v>
          </cell>
          <cell r="M78">
            <v>44637</v>
          </cell>
          <cell r="N78">
            <v>71.08</v>
          </cell>
          <cell r="P78">
            <v>44637</v>
          </cell>
          <cell r="Q78">
            <v>5</v>
          </cell>
          <cell r="S78">
            <v>44637</v>
          </cell>
          <cell r="T78">
            <v>482620</v>
          </cell>
          <cell r="U78">
            <v>5490</v>
          </cell>
          <cell r="W78">
            <v>44637</v>
          </cell>
          <cell r="X78">
            <v>183639</v>
          </cell>
          <cell r="Y78">
            <v>1324</v>
          </cell>
        </row>
        <row r="79">
          <cell r="A79">
            <v>44638</v>
          </cell>
          <cell r="B79">
            <v>1634.31</v>
          </cell>
          <cell r="D79">
            <v>44638</v>
          </cell>
          <cell r="E79">
            <v>712.64</v>
          </cell>
          <cell r="G79">
            <v>44638</v>
          </cell>
          <cell r="H79">
            <v>1187.55</v>
          </cell>
          <cell r="J79">
            <v>44638</v>
          </cell>
          <cell r="K79">
            <v>539.41999999999996</v>
          </cell>
          <cell r="M79">
            <v>44638</v>
          </cell>
          <cell r="N79">
            <v>43.44</v>
          </cell>
          <cell r="P79">
            <v>44638</v>
          </cell>
          <cell r="Q79">
            <v>4</v>
          </cell>
          <cell r="S79">
            <v>44638</v>
          </cell>
          <cell r="T79">
            <v>748945</v>
          </cell>
          <cell r="U79">
            <v>6878</v>
          </cell>
          <cell r="W79">
            <v>44638</v>
          </cell>
          <cell r="X79">
            <v>160851</v>
          </cell>
          <cell r="Y79">
            <v>1015</v>
          </cell>
        </row>
        <row r="80">
          <cell r="A80">
            <v>44639</v>
          </cell>
          <cell r="B80">
            <v>1805.8</v>
          </cell>
          <cell r="D80">
            <v>44639</v>
          </cell>
          <cell r="E80">
            <v>651.41</v>
          </cell>
          <cell r="G80">
            <v>44639</v>
          </cell>
          <cell r="H80">
            <v>1485.51</v>
          </cell>
          <cell r="J80">
            <v>44639</v>
          </cell>
          <cell r="K80">
            <v>618.09</v>
          </cell>
          <cell r="M80">
            <v>44639</v>
          </cell>
          <cell r="N80">
            <v>49.19</v>
          </cell>
          <cell r="P80">
            <v>44639</v>
          </cell>
          <cell r="Q80">
            <v>5</v>
          </cell>
          <cell r="S80">
            <v>44639</v>
          </cell>
          <cell r="T80">
            <v>774276</v>
          </cell>
          <cell r="U80">
            <v>7456</v>
          </cell>
          <cell r="W80">
            <v>44639</v>
          </cell>
          <cell r="X80">
            <v>244860</v>
          </cell>
          <cell r="Y80">
            <v>1418</v>
          </cell>
        </row>
        <row r="81">
          <cell r="A81">
            <v>44640</v>
          </cell>
          <cell r="B81">
            <v>1860.87</v>
          </cell>
          <cell r="D81">
            <v>44640</v>
          </cell>
          <cell r="E81">
            <v>606.74</v>
          </cell>
          <cell r="G81">
            <v>44640</v>
          </cell>
          <cell r="H81">
            <v>1478.9</v>
          </cell>
          <cell r="J81">
            <v>44640</v>
          </cell>
          <cell r="K81">
            <v>605.82000000000005</v>
          </cell>
          <cell r="M81">
            <v>44640</v>
          </cell>
          <cell r="N81">
            <v>56.25</v>
          </cell>
          <cell r="P81">
            <v>44640</v>
          </cell>
          <cell r="Q81">
            <v>1</v>
          </cell>
          <cell r="S81">
            <v>44640</v>
          </cell>
          <cell r="T81">
            <v>798267</v>
          </cell>
          <cell r="U81">
            <v>8144</v>
          </cell>
          <cell r="W81">
            <v>44640</v>
          </cell>
          <cell r="X81">
            <v>264419</v>
          </cell>
          <cell r="Y81">
            <v>1546</v>
          </cell>
        </row>
        <row r="82">
          <cell r="A82">
            <v>44641</v>
          </cell>
          <cell r="B82">
            <v>1971.06</v>
          </cell>
          <cell r="D82">
            <v>44641</v>
          </cell>
          <cell r="E82">
            <v>951.17</v>
          </cell>
          <cell r="G82">
            <v>44641</v>
          </cell>
          <cell r="H82">
            <v>1550.12</v>
          </cell>
          <cell r="J82">
            <v>44641</v>
          </cell>
          <cell r="K82">
            <v>605.5</v>
          </cell>
          <cell r="M82">
            <v>44641</v>
          </cell>
          <cell r="N82">
            <v>76.22</v>
          </cell>
          <cell r="P82">
            <v>44641</v>
          </cell>
          <cell r="Q82">
            <v>7.06</v>
          </cell>
          <cell r="S82">
            <v>44641</v>
          </cell>
          <cell r="T82">
            <v>550743</v>
          </cell>
          <cell r="U82">
            <v>6200</v>
          </cell>
          <cell r="W82">
            <v>44641</v>
          </cell>
          <cell r="X82">
            <v>271985</v>
          </cell>
          <cell r="Y82">
            <v>1510</v>
          </cell>
        </row>
        <row r="83">
          <cell r="A83">
            <v>44642</v>
          </cell>
          <cell r="B83">
            <v>1743.68</v>
          </cell>
          <cell r="D83">
            <v>44642</v>
          </cell>
          <cell r="E83">
            <v>949.92</v>
          </cell>
          <cell r="G83">
            <v>44642</v>
          </cell>
          <cell r="H83">
            <v>1847.85</v>
          </cell>
          <cell r="J83">
            <v>44642</v>
          </cell>
          <cell r="K83">
            <v>693.39</v>
          </cell>
          <cell r="M83">
            <v>44642</v>
          </cell>
          <cell r="N83">
            <v>61.43</v>
          </cell>
          <cell r="P83">
            <v>44642</v>
          </cell>
          <cell r="Q83">
            <v>15.11</v>
          </cell>
          <cell r="S83">
            <v>44642</v>
          </cell>
          <cell r="T83">
            <v>542263</v>
          </cell>
          <cell r="U83">
            <v>6261</v>
          </cell>
          <cell r="W83">
            <v>44642</v>
          </cell>
          <cell r="X83">
            <v>324460</v>
          </cell>
          <cell r="Y83">
            <v>1717</v>
          </cell>
        </row>
        <row r="84">
          <cell r="A84">
            <v>44643</v>
          </cell>
          <cell r="B84">
            <v>2046.3</v>
          </cell>
          <cell r="D84">
            <v>44643</v>
          </cell>
          <cell r="E84">
            <v>767.24</v>
          </cell>
          <cell r="G84">
            <v>44643</v>
          </cell>
          <cell r="H84">
            <v>1983.46</v>
          </cell>
          <cell r="J84">
            <v>44643</v>
          </cell>
          <cell r="K84">
            <v>862.16</v>
          </cell>
          <cell r="M84">
            <v>44643</v>
          </cell>
          <cell r="N84">
            <v>61.41</v>
          </cell>
          <cell r="P84">
            <v>44643</v>
          </cell>
          <cell r="Q84">
            <v>5.22</v>
          </cell>
          <cell r="S84">
            <v>44643</v>
          </cell>
          <cell r="T84">
            <v>592767</v>
          </cell>
          <cell r="U84">
            <v>7421</v>
          </cell>
          <cell r="W84">
            <v>44643</v>
          </cell>
          <cell r="X84">
            <v>347400</v>
          </cell>
          <cell r="Y84">
            <v>1657</v>
          </cell>
        </row>
        <row r="85">
          <cell r="A85">
            <v>44644</v>
          </cell>
          <cell r="B85">
            <v>2008.23</v>
          </cell>
          <cell r="D85">
            <v>44644</v>
          </cell>
          <cell r="E85">
            <v>594.52</v>
          </cell>
          <cell r="G85">
            <v>44644</v>
          </cell>
          <cell r="H85">
            <v>1995.92</v>
          </cell>
          <cell r="J85">
            <v>44644</v>
          </cell>
          <cell r="K85">
            <v>870.62</v>
          </cell>
          <cell r="M85">
            <v>44644</v>
          </cell>
          <cell r="N85">
            <v>65.34</v>
          </cell>
          <cell r="P85">
            <v>44644</v>
          </cell>
          <cell r="Q85">
            <v>6.06</v>
          </cell>
          <cell r="S85">
            <v>44644</v>
          </cell>
          <cell r="T85">
            <v>499978</v>
          </cell>
          <cell r="U85">
            <v>6981</v>
          </cell>
          <cell r="W85">
            <v>44644</v>
          </cell>
          <cell r="X85">
            <v>372533</v>
          </cell>
          <cell r="Y85">
            <v>1581</v>
          </cell>
        </row>
        <row r="86">
          <cell r="A86">
            <v>44645</v>
          </cell>
          <cell r="B86">
            <v>2203.81</v>
          </cell>
          <cell r="D86">
            <v>44645</v>
          </cell>
          <cell r="E86">
            <v>576.92999999999995</v>
          </cell>
          <cell r="G86">
            <v>44645</v>
          </cell>
          <cell r="H86">
            <v>1954.8</v>
          </cell>
          <cell r="J86">
            <v>44645</v>
          </cell>
          <cell r="K86">
            <v>857.12</v>
          </cell>
          <cell r="M86">
            <v>44645</v>
          </cell>
          <cell r="N86">
            <v>70.75</v>
          </cell>
          <cell r="P86">
            <v>44645</v>
          </cell>
          <cell r="Q86">
            <v>5.0599999999999996</v>
          </cell>
          <cell r="S86">
            <v>44645</v>
          </cell>
          <cell r="T86">
            <v>589086</v>
          </cell>
          <cell r="U86">
            <v>7705</v>
          </cell>
          <cell r="W86">
            <v>44645</v>
          </cell>
          <cell r="X86">
            <v>338780</v>
          </cell>
          <cell r="Y86">
            <v>1795</v>
          </cell>
        </row>
        <row r="87">
          <cell r="A87">
            <v>44646</v>
          </cell>
          <cell r="B87">
            <v>2173.1</v>
          </cell>
          <cell r="D87">
            <v>44646</v>
          </cell>
          <cell r="E87">
            <v>631.19000000000005</v>
          </cell>
          <cell r="G87">
            <v>44646</v>
          </cell>
          <cell r="H87">
            <v>1997.94</v>
          </cell>
          <cell r="J87">
            <v>44646</v>
          </cell>
          <cell r="K87">
            <v>431.72</v>
          </cell>
          <cell r="M87">
            <v>44646</v>
          </cell>
          <cell r="N87">
            <v>63.03</v>
          </cell>
          <cell r="P87">
            <v>44646</v>
          </cell>
          <cell r="Q87">
            <v>5</v>
          </cell>
          <cell r="S87">
            <v>44646</v>
          </cell>
          <cell r="T87">
            <v>642370</v>
          </cell>
          <cell r="U87">
            <v>8782</v>
          </cell>
          <cell r="W87">
            <v>44646</v>
          </cell>
          <cell r="X87">
            <v>326128</v>
          </cell>
          <cell r="Y87">
            <v>1631</v>
          </cell>
        </row>
        <row r="88">
          <cell r="A88">
            <v>44647</v>
          </cell>
          <cell r="B88">
            <v>2201.38</v>
          </cell>
          <cell r="D88">
            <v>44647</v>
          </cell>
          <cell r="E88">
            <v>752.26</v>
          </cell>
          <cell r="G88">
            <v>44647</v>
          </cell>
          <cell r="H88">
            <v>1976.32</v>
          </cell>
          <cell r="J88">
            <v>44647</v>
          </cell>
          <cell r="K88">
            <v>0</v>
          </cell>
          <cell r="M88">
            <v>44647</v>
          </cell>
          <cell r="N88">
            <v>77.77</v>
          </cell>
          <cell r="P88">
            <v>44647</v>
          </cell>
          <cell r="Q88">
            <v>8.11</v>
          </cell>
          <cell r="S88">
            <v>44647</v>
          </cell>
          <cell r="T88">
            <v>656419</v>
          </cell>
          <cell r="U88">
            <v>9355</v>
          </cell>
          <cell r="W88">
            <v>44647</v>
          </cell>
          <cell r="X88">
            <v>265231</v>
          </cell>
          <cell r="Y88">
            <v>1526</v>
          </cell>
        </row>
        <row r="89">
          <cell r="A89">
            <v>44648</v>
          </cell>
          <cell r="B89">
            <v>2006.4</v>
          </cell>
          <cell r="D89">
            <v>44648</v>
          </cell>
          <cell r="E89">
            <v>561.12</v>
          </cell>
          <cell r="G89">
            <v>44648</v>
          </cell>
          <cell r="H89">
            <v>1900</v>
          </cell>
          <cell r="J89">
            <v>44648</v>
          </cell>
          <cell r="K89">
            <v>991.88</v>
          </cell>
          <cell r="M89">
            <v>44648</v>
          </cell>
          <cell r="N89">
            <v>94.84</v>
          </cell>
          <cell r="P89">
            <v>44648</v>
          </cell>
          <cell r="Q89">
            <v>8.64</v>
          </cell>
          <cell r="S89">
            <v>44648</v>
          </cell>
          <cell r="T89">
            <v>504980</v>
          </cell>
          <cell r="U89">
            <v>6880</v>
          </cell>
          <cell r="W89">
            <v>44648</v>
          </cell>
          <cell r="X89">
            <v>374417</v>
          </cell>
          <cell r="Y89">
            <v>1855</v>
          </cell>
        </row>
        <row r="90">
          <cell r="A90">
            <v>44649</v>
          </cell>
          <cell r="B90">
            <v>1591.63</v>
          </cell>
          <cell r="D90">
            <v>44649</v>
          </cell>
          <cell r="E90">
            <v>367.26</v>
          </cell>
          <cell r="G90">
            <v>44649</v>
          </cell>
          <cell r="H90">
            <v>1675.05</v>
          </cell>
          <cell r="J90">
            <v>44649</v>
          </cell>
          <cell r="K90">
            <v>1008.12</v>
          </cell>
          <cell r="M90">
            <v>44649</v>
          </cell>
          <cell r="N90">
            <v>68.03</v>
          </cell>
          <cell r="P90">
            <v>44649</v>
          </cell>
          <cell r="Q90">
            <v>5.31</v>
          </cell>
          <cell r="S90">
            <v>44649</v>
          </cell>
          <cell r="T90">
            <v>346951</v>
          </cell>
          <cell r="U90">
            <v>4810</v>
          </cell>
          <cell r="W90">
            <v>44649</v>
          </cell>
          <cell r="X90">
            <v>326087</v>
          </cell>
          <cell r="Y90">
            <v>1695</v>
          </cell>
        </row>
        <row r="91">
          <cell r="A91">
            <v>44650</v>
          </cell>
          <cell r="B91">
            <v>1514.91</v>
          </cell>
          <cell r="D91">
            <v>44650</v>
          </cell>
          <cell r="E91">
            <v>379.95</v>
          </cell>
          <cell r="G91">
            <v>44650</v>
          </cell>
          <cell r="H91">
            <v>1539.63</v>
          </cell>
          <cell r="J91">
            <v>44650</v>
          </cell>
          <cell r="K91">
            <v>1026.2</v>
          </cell>
          <cell r="M91">
            <v>44650</v>
          </cell>
          <cell r="N91">
            <v>54.82</v>
          </cell>
          <cell r="P91">
            <v>44650</v>
          </cell>
          <cell r="Q91">
            <v>4</v>
          </cell>
          <cell r="S91">
            <v>44650</v>
          </cell>
          <cell r="T91">
            <v>420110</v>
          </cell>
          <cell r="U91">
            <v>5470</v>
          </cell>
          <cell r="W91">
            <v>44650</v>
          </cell>
          <cell r="X91">
            <v>333504</v>
          </cell>
          <cell r="Y91">
            <v>1465</v>
          </cell>
        </row>
        <row r="92">
          <cell r="A92">
            <v>44651</v>
          </cell>
          <cell r="B92">
            <v>1697</v>
          </cell>
          <cell r="D92">
            <v>44651</v>
          </cell>
          <cell r="E92">
            <v>323.29000000000002</v>
          </cell>
          <cell r="G92">
            <v>44651</v>
          </cell>
          <cell r="H92">
            <v>1522.17</v>
          </cell>
          <cell r="J92">
            <v>44651</v>
          </cell>
          <cell r="K92">
            <v>1021.88</v>
          </cell>
          <cell r="M92">
            <v>44651</v>
          </cell>
          <cell r="N92">
            <v>69.989999999999995</v>
          </cell>
          <cell r="P92">
            <v>44651</v>
          </cell>
          <cell r="Q92">
            <v>4.83</v>
          </cell>
          <cell r="S92">
            <v>44651</v>
          </cell>
          <cell r="T92">
            <v>443560</v>
          </cell>
          <cell r="U92">
            <v>5212</v>
          </cell>
          <cell r="W92">
            <v>44651</v>
          </cell>
          <cell r="X92">
            <v>328538</v>
          </cell>
          <cell r="Y92">
            <v>1059</v>
          </cell>
        </row>
        <row r="93">
          <cell r="A93">
            <v>44652</v>
          </cell>
          <cell r="B93">
            <v>1743.36</v>
          </cell>
          <cell r="D93">
            <v>44652</v>
          </cell>
          <cell r="E93">
            <v>291.95999999999998</v>
          </cell>
          <cell r="G93">
            <v>44652</v>
          </cell>
          <cell r="H93">
            <v>1452.22</v>
          </cell>
          <cell r="J93">
            <v>44652</v>
          </cell>
          <cell r="K93">
            <v>887.97</v>
          </cell>
          <cell r="M93">
            <v>44652</v>
          </cell>
          <cell r="N93">
            <v>49.98</v>
          </cell>
          <cell r="P93">
            <v>44652</v>
          </cell>
          <cell r="Q93">
            <v>3</v>
          </cell>
          <cell r="S93">
            <v>44652</v>
          </cell>
          <cell r="T93">
            <v>437862</v>
          </cell>
          <cell r="U93">
            <v>5473</v>
          </cell>
          <cell r="W93">
            <v>44652</v>
          </cell>
          <cell r="X93">
            <v>291145</v>
          </cell>
          <cell r="Y93">
            <v>1236</v>
          </cell>
        </row>
        <row r="94">
          <cell r="A94">
            <v>44653</v>
          </cell>
          <cell r="B94">
            <v>1428.79</v>
          </cell>
          <cell r="D94">
            <v>44653</v>
          </cell>
          <cell r="E94">
            <v>384.16</v>
          </cell>
          <cell r="G94">
            <v>44653</v>
          </cell>
          <cell r="H94">
            <v>1521.43</v>
          </cell>
          <cell r="J94">
            <v>44653</v>
          </cell>
          <cell r="K94">
            <v>758.81</v>
          </cell>
          <cell r="M94">
            <v>44653</v>
          </cell>
          <cell r="N94">
            <v>26.4</v>
          </cell>
          <cell r="P94">
            <v>44653</v>
          </cell>
          <cell r="Q94">
            <v>3</v>
          </cell>
          <cell r="S94">
            <v>44653</v>
          </cell>
          <cell r="T94">
            <v>411135</v>
          </cell>
          <cell r="U94">
            <v>5795</v>
          </cell>
          <cell r="W94">
            <v>44653</v>
          </cell>
          <cell r="X94">
            <v>262012</v>
          </cell>
          <cell r="Y94">
            <v>1161</v>
          </cell>
        </row>
        <row r="95">
          <cell r="A95">
            <v>44654</v>
          </cell>
          <cell r="B95">
            <v>1756.6</v>
          </cell>
          <cell r="D95">
            <v>44654</v>
          </cell>
          <cell r="E95">
            <v>407.08</v>
          </cell>
          <cell r="G95">
            <v>44654</v>
          </cell>
          <cell r="H95">
            <v>1585.68</v>
          </cell>
          <cell r="J95">
            <v>44654</v>
          </cell>
          <cell r="K95">
            <v>266.95999999999998</v>
          </cell>
          <cell r="M95">
            <v>44654</v>
          </cell>
          <cell r="N95">
            <v>24.49</v>
          </cell>
          <cell r="P95">
            <v>44654</v>
          </cell>
          <cell r="Q95">
            <v>6</v>
          </cell>
          <cell r="S95">
            <v>44654</v>
          </cell>
          <cell r="T95">
            <v>632417</v>
          </cell>
          <cell r="U95">
            <v>7668</v>
          </cell>
          <cell r="W95">
            <v>44654</v>
          </cell>
          <cell r="X95">
            <v>215524</v>
          </cell>
          <cell r="Y95">
            <v>1136</v>
          </cell>
        </row>
        <row r="96">
          <cell r="A96">
            <v>44655</v>
          </cell>
          <cell r="B96">
            <v>1690.01</v>
          </cell>
          <cell r="D96">
            <v>44655</v>
          </cell>
          <cell r="E96">
            <v>329.2</v>
          </cell>
          <cell r="G96">
            <v>44655</v>
          </cell>
          <cell r="H96">
            <v>1505.51</v>
          </cell>
          <cell r="J96">
            <v>44655</v>
          </cell>
          <cell r="K96">
            <v>763.35</v>
          </cell>
          <cell r="M96">
            <v>44655</v>
          </cell>
          <cell r="N96">
            <v>20</v>
          </cell>
          <cell r="P96">
            <v>44655</v>
          </cell>
          <cell r="Q96">
            <v>4.5</v>
          </cell>
          <cell r="S96">
            <v>44655</v>
          </cell>
          <cell r="T96">
            <v>394143</v>
          </cell>
          <cell r="U96">
            <v>4864</v>
          </cell>
          <cell r="W96">
            <v>44655</v>
          </cell>
          <cell r="X96">
            <v>262496</v>
          </cell>
          <cell r="Y96">
            <v>927</v>
          </cell>
        </row>
        <row r="97">
          <cell r="A97">
            <v>44656</v>
          </cell>
          <cell r="B97">
            <v>1628.02</v>
          </cell>
          <cell r="D97">
            <v>44656</v>
          </cell>
          <cell r="E97">
            <v>351.06</v>
          </cell>
          <cell r="G97">
            <v>44656</v>
          </cell>
          <cell r="H97">
            <v>1436.95</v>
          </cell>
          <cell r="J97">
            <v>44656</v>
          </cell>
          <cell r="K97">
            <v>724.4</v>
          </cell>
          <cell r="M97">
            <v>44656</v>
          </cell>
          <cell r="N97">
            <v>26.49</v>
          </cell>
          <cell r="P97">
            <v>44656</v>
          </cell>
          <cell r="Q97">
            <v>5.5</v>
          </cell>
          <cell r="S97">
            <v>44656</v>
          </cell>
          <cell r="T97">
            <v>277167</v>
          </cell>
          <cell r="U97">
            <v>3791</v>
          </cell>
          <cell r="W97">
            <v>44656</v>
          </cell>
          <cell r="X97">
            <v>231439</v>
          </cell>
          <cell r="Y97">
            <v>888</v>
          </cell>
        </row>
        <row r="98">
          <cell r="A98">
            <v>44657</v>
          </cell>
          <cell r="B98">
            <v>1779.69</v>
          </cell>
          <cell r="D98">
            <v>44657</v>
          </cell>
          <cell r="E98">
            <v>516.15</v>
          </cell>
          <cell r="G98">
            <v>44657</v>
          </cell>
          <cell r="H98">
            <v>1182.68</v>
          </cell>
          <cell r="J98">
            <v>44657</v>
          </cell>
          <cell r="K98">
            <v>512.25</v>
          </cell>
          <cell r="M98">
            <v>44657</v>
          </cell>
          <cell r="N98">
            <v>24.97</v>
          </cell>
          <cell r="P98">
            <v>44657</v>
          </cell>
          <cell r="Q98">
            <v>9.33</v>
          </cell>
          <cell r="S98">
            <v>44657</v>
          </cell>
          <cell r="T98">
            <v>359705</v>
          </cell>
          <cell r="U98">
            <v>4401</v>
          </cell>
          <cell r="W98">
            <v>44657</v>
          </cell>
          <cell r="X98">
            <v>175723</v>
          </cell>
          <cell r="Y98">
            <v>723</v>
          </cell>
        </row>
        <row r="99">
          <cell r="A99">
            <v>44658</v>
          </cell>
          <cell r="B99">
            <v>1657.64</v>
          </cell>
          <cell r="D99">
            <v>44658</v>
          </cell>
          <cell r="E99">
            <v>412.53</v>
          </cell>
          <cell r="G99">
            <v>44658</v>
          </cell>
          <cell r="H99">
            <v>1037.31</v>
          </cell>
          <cell r="J99">
            <v>44658</v>
          </cell>
          <cell r="K99">
            <v>778.42</v>
          </cell>
          <cell r="M99">
            <v>44658</v>
          </cell>
          <cell r="N99">
            <v>23.73</v>
          </cell>
          <cell r="P99">
            <v>44658</v>
          </cell>
          <cell r="Q99">
            <v>2.2200000000000002</v>
          </cell>
          <cell r="S99">
            <v>44658</v>
          </cell>
          <cell r="T99">
            <v>280074</v>
          </cell>
          <cell r="U99">
            <v>3167</v>
          </cell>
          <cell r="W99">
            <v>44658</v>
          </cell>
          <cell r="X99">
            <v>199286</v>
          </cell>
          <cell r="Y99">
            <v>768</v>
          </cell>
        </row>
        <row r="100">
          <cell r="A100">
            <v>44659</v>
          </cell>
          <cell r="B100">
            <v>1812.45</v>
          </cell>
          <cell r="D100">
            <v>44659</v>
          </cell>
          <cell r="E100">
            <v>466.29</v>
          </cell>
          <cell r="G100">
            <v>44659</v>
          </cell>
          <cell r="H100">
            <v>1043.23</v>
          </cell>
          <cell r="J100">
            <v>44659</v>
          </cell>
          <cell r="K100">
            <v>772.18</v>
          </cell>
          <cell r="M100">
            <v>44659</v>
          </cell>
          <cell r="N100">
            <v>24.25</v>
          </cell>
          <cell r="P100">
            <v>44659</v>
          </cell>
          <cell r="Q100">
            <v>5.56</v>
          </cell>
          <cell r="S100">
            <v>44659</v>
          </cell>
          <cell r="T100">
            <v>357880</v>
          </cell>
          <cell r="U100">
            <v>4227</v>
          </cell>
          <cell r="W100">
            <v>44659</v>
          </cell>
          <cell r="X100">
            <v>192451</v>
          </cell>
          <cell r="Y100">
            <v>786</v>
          </cell>
        </row>
        <row r="101">
          <cell r="A101">
            <v>44660</v>
          </cell>
          <cell r="B101">
            <v>1520.98</v>
          </cell>
          <cell r="D101">
            <v>44660</v>
          </cell>
          <cell r="E101">
            <v>371.8</v>
          </cell>
          <cell r="G101">
            <v>44660</v>
          </cell>
          <cell r="H101">
            <v>1113.9000000000001</v>
          </cell>
          <cell r="J101">
            <v>44660</v>
          </cell>
          <cell r="K101">
            <v>449.4</v>
          </cell>
          <cell r="M101">
            <v>44660</v>
          </cell>
          <cell r="N101">
            <v>19</v>
          </cell>
          <cell r="P101">
            <v>44660</v>
          </cell>
          <cell r="Q101">
            <v>5</v>
          </cell>
          <cell r="S101">
            <v>44660</v>
          </cell>
          <cell r="T101">
            <v>307514</v>
          </cell>
          <cell r="U101">
            <v>4792</v>
          </cell>
          <cell r="W101">
            <v>44660</v>
          </cell>
          <cell r="X101">
            <v>169142</v>
          </cell>
          <cell r="Y101">
            <v>714</v>
          </cell>
        </row>
        <row r="102">
          <cell r="A102">
            <v>44661</v>
          </cell>
          <cell r="B102">
            <v>1785.3</v>
          </cell>
          <cell r="D102">
            <v>44661</v>
          </cell>
          <cell r="E102">
            <v>339.55</v>
          </cell>
          <cell r="G102">
            <v>44661</v>
          </cell>
          <cell r="H102">
            <v>1133.4000000000001</v>
          </cell>
          <cell r="J102">
            <v>44661</v>
          </cell>
          <cell r="K102">
            <v>0</v>
          </cell>
          <cell r="M102">
            <v>44661</v>
          </cell>
          <cell r="N102">
            <v>25</v>
          </cell>
          <cell r="P102">
            <v>44661</v>
          </cell>
          <cell r="Q102">
            <v>6.03</v>
          </cell>
          <cell r="S102">
            <v>44661</v>
          </cell>
          <cell r="T102">
            <v>336839</v>
          </cell>
          <cell r="U102">
            <v>4710</v>
          </cell>
          <cell r="W102">
            <v>44661</v>
          </cell>
          <cell r="X102">
            <v>131634</v>
          </cell>
          <cell r="Y102">
            <v>603</v>
          </cell>
        </row>
        <row r="103">
          <cell r="A103">
            <v>44662</v>
          </cell>
          <cell r="B103">
            <v>2013.37</v>
          </cell>
          <cell r="D103">
            <v>44662</v>
          </cell>
          <cell r="E103">
            <v>646.46</v>
          </cell>
          <cell r="G103">
            <v>44662</v>
          </cell>
          <cell r="H103">
            <v>1070.28</v>
          </cell>
          <cell r="J103">
            <v>44662</v>
          </cell>
          <cell r="K103">
            <v>779.93</v>
          </cell>
          <cell r="M103">
            <v>44662</v>
          </cell>
          <cell r="N103">
            <v>37.99</v>
          </cell>
          <cell r="P103">
            <v>44662</v>
          </cell>
          <cell r="Q103">
            <v>12.07</v>
          </cell>
          <cell r="S103">
            <v>44662</v>
          </cell>
          <cell r="T103">
            <v>422468</v>
          </cell>
          <cell r="U103">
            <v>5083</v>
          </cell>
          <cell r="W103">
            <v>44662</v>
          </cell>
          <cell r="X103">
            <v>204572</v>
          </cell>
          <cell r="Y103">
            <v>696</v>
          </cell>
        </row>
        <row r="104">
          <cell r="A104">
            <v>44663</v>
          </cell>
          <cell r="B104">
            <v>1688.55</v>
          </cell>
          <cell r="D104">
            <v>44663</v>
          </cell>
          <cell r="E104">
            <v>511.81</v>
          </cell>
          <cell r="G104">
            <v>44663</v>
          </cell>
          <cell r="H104">
            <v>1028.06</v>
          </cell>
          <cell r="J104">
            <v>44663</v>
          </cell>
          <cell r="K104">
            <v>774.73</v>
          </cell>
          <cell r="M104">
            <v>44663</v>
          </cell>
          <cell r="N104">
            <v>26</v>
          </cell>
          <cell r="P104">
            <v>44663</v>
          </cell>
          <cell r="Q104">
            <v>9.83</v>
          </cell>
          <cell r="S104">
            <v>44663</v>
          </cell>
          <cell r="T104">
            <v>359622</v>
          </cell>
          <cell r="U104">
            <v>3826</v>
          </cell>
          <cell r="W104">
            <v>44663</v>
          </cell>
          <cell r="X104">
            <v>182986</v>
          </cell>
          <cell r="Y104">
            <v>724</v>
          </cell>
        </row>
        <row r="105">
          <cell r="A105">
            <v>44664</v>
          </cell>
          <cell r="B105">
            <v>2176.79</v>
          </cell>
          <cell r="D105">
            <v>44664</v>
          </cell>
          <cell r="E105">
            <v>422.24</v>
          </cell>
          <cell r="G105">
            <v>44664</v>
          </cell>
          <cell r="H105">
            <v>984.29</v>
          </cell>
          <cell r="J105">
            <v>44664</v>
          </cell>
          <cell r="K105">
            <v>445.34</v>
          </cell>
          <cell r="M105">
            <v>44664</v>
          </cell>
          <cell r="N105">
            <v>36</v>
          </cell>
          <cell r="P105">
            <v>44664</v>
          </cell>
          <cell r="Q105">
            <v>10</v>
          </cell>
          <cell r="S105">
            <v>44664</v>
          </cell>
          <cell r="T105">
            <v>414087</v>
          </cell>
          <cell r="U105">
            <v>4297</v>
          </cell>
          <cell r="W105">
            <v>44664</v>
          </cell>
          <cell r="X105">
            <v>151287</v>
          </cell>
          <cell r="Y105">
            <v>636</v>
          </cell>
        </row>
        <row r="106">
          <cell r="A106">
            <v>44665</v>
          </cell>
          <cell r="B106">
            <v>1178.27</v>
          </cell>
          <cell r="D106">
            <v>44665</v>
          </cell>
          <cell r="E106">
            <v>476.52</v>
          </cell>
          <cell r="G106">
            <v>44665</v>
          </cell>
          <cell r="H106">
            <v>981.59</v>
          </cell>
          <cell r="J106">
            <v>44665</v>
          </cell>
          <cell r="K106">
            <v>775.49</v>
          </cell>
          <cell r="M106">
            <v>44665</v>
          </cell>
          <cell r="N106">
            <v>21</v>
          </cell>
          <cell r="P106">
            <v>44665</v>
          </cell>
          <cell r="Q106">
            <v>10.58</v>
          </cell>
          <cell r="S106">
            <v>44665</v>
          </cell>
          <cell r="T106">
            <v>408801</v>
          </cell>
          <cell r="U106">
            <v>3218</v>
          </cell>
          <cell r="W106">
            <v>44665</v>
          </cell>
          <cell r="X106">
            <v>190982</v>
          </cell>
          <cell r="Y106">
            <v>676</v>
          </cell>
        </row>
        <row r="107">
          <cell r="A107">
            <v>44666</v>
          </cell>
          <cell r="B107">
            <v>1346.52</v>
          </cell>
          <cell r="D107">
            <v>44666</v>
          </cell>
          <cell r="E107">
            <v>362.25</v>
          </cell>
          <cell r="G107">
            <v>44666</v>
          </cell>
          <cell r="H107">
            <v>984.55</v>
          </cell>
          <cell r="J107">
            <v>44666</v>
          </cell>
          <cell r="K107">
            <v>773.08</v>
          </cell>
          <cell r="M107">
            <v>44666</v>
          </cell>
          <cell r="N107">
            <v>8.33</v>
          </cell>
          <cell r="P107">
            <v>44666</v>
          </cell>
          <cell r="Q107">
            <v>16.2</v>
          </cell>
          <cell r="S107">
            <v>44666</v>
          </cell>
          <cell r="T107">
            <v>498481</v>
          </cell>
          <cell r="U107">
            <v>3796</v>
          </cell>
          <cell r="W107">
            <v>44666</v>
          </cell>
          <cell r="X107">
            <v>193190</v>
          </cell>
          <cell r="Y107">
            <v>712</v>
          </cell>
        </row>
        <row r="108">
          <cell r="A108">
            <v>44667</v>
          </cell>
          <cell r="B108">
            <v>1858.12</v>
          </cell>
          <cell r="D108">
            <v>44667</v>
          </cell>
          <cell r="E108">
            <v>321.43</v>
          </cell>
          <cell r="G108">
            <v>44667</v>
          </cell>
          <cell r="H108">
            <v>1093.54</v>
          </cell>
          <cell r="J108">
            <v>44667</v>
          </cell>
          <cell r="K108">
            <v>451.43</v>
          </cell>
          <cell r="M108">
            <v>44667</v>
          </cell>
          <cell r="N108">
            <v>30</v>
          </cell>
          <cell r="P108">
            <v>44667</v>
          </cell>
          <cell r="Q108">
            <v>3</v>
          </cell>
          <cell r="S108">
            <v>44667</v>
          </cell>
          <cell r="T108">
            <v>622328</v>
          </cell>
          <cell r="U108">
            <v>5277</v>
          </cell>
          <cell r="W108">
            <v>44667</v>
          </cell>
          <cell r="X108">
            <v>174786</v>
          </cell>
          <cell r="Y108">
            <v>595</v>
          </cell>
        </row>
        <row r="109">
          <cell r="A109">
            <v>44668</v>
          </cell>
          <cell r="B109">
            <v>1726.49</v>
          </cell>
          <cell r="D109">
            <v>44668</v>
          </cell>
          <cell r="E109">
            <v>659.66</v>
          </cell>
          <cell r="G109">
            <v>44668</v>
          </cell>
          <cell r="H109">
            <v>1103.56</v>
          </cell>
          <cell r="J109">
            <v>44668</v>
          </cell>
          <cell r="K109">
            <v>0</v>
          </cell>
          <cell r="M109">
            <v>44668</v>
          </cell>
          <cell r="N109">
            <v>25.11</v>
          </cell>
          <cell r="P109">
            <v>44668</v>
          </cell>
          <cell r="Q109">
            <v>12.91</v>
          </cell>
          <cell r="S109">
            <v>44668</v>
          </cell>
          <cell r="T109">
            <v>609644</v>
          </cell>
          <cell r="U109">
            <v>5765</v>
          </cell>
          <cell r="W109">
            <v>44668</v>
          </cell>
          <cell r="X109">
            <v>134189</v>
          </cell>
          <cell r="Y109">
            <v>618</v>
          </cell>
        </row>
        <row r="110">
          <cell r="A110">
            <v>44669</v>
          </cell>
          <cell r="B110">
            <v>2490.48</v>
          </cell>
          <cell r="D110">
            <v>44669</v>
          </cell>
          <cell r="E110">
            <v>599.19000000000005</v>
          </cell>
          <cell r="G110">
            <v>44669</v>
          </cell>
          <cell r="H110">
            <v>1038.74</v>
          </cell>
          <cell r="J110">
            <v>44669</v>
          </cell>
          <cell r="K110">
            <v>778.15</v>
          </cell>
          <cell r="M110">
            <v>44669</v>
          </cell>
          <cell r="N110">
            <v>41.87</v>
          </cell>
          <cell r="P110">
            <v>44669</v>
          </cell>
          <cell r="Q110">
            <v>19.5</v>
          </cell>
          <cell r="S110">
            <v>44669</v>
          </cell>
          <cell r="T110">
            <v>542425</v>
          </cell>
          <cell r="U110">
            <v>5653</v>
          </cell>
          <cell r="W110">
            <v>44669</v>
          </cell>
          <cell r="X110">
            <v>228949</v>
          </cell>
          <cell r="Y110">
            <v>733</v>
          </cell>
        </row>
        <row r="111">
          <cell r="A111">
            <v>44670</v>
          </cell>
          <cell r="B111">
            <v>2320.37</v>
          </cell>
          <cell r="D111">
            <v>44670</v>
          </cell>
          <cell r="E111">
            <v>248.28</v>
          </cell>
          <cell r="G111">
            <v>44670</v>
          </cell>
          <cell r="H111">
            <v>1018.9</v>
          </cell>
          <cell r="J111">
            <v>44670</v>
          </cell>
          <cell r="K111">
            <v>769.44</v>
          </cell>
          <cell r="M111">
            <v>44670</v>
          </cell>
          <cell r="N111">
            <v>22.25</v>
          </cell>
          <cell r="P111">
            <v>44670</v>
          </cell>
          <cell r="Q111">
            <v>6.67</v>
          </cell>
          <cell r="S111">
            <v>44670</v>
          </cell>
          <cell r="T111">
            <v>446632</v>
          </cell>
          <cell r="U111">
            <v>3493</v>
          </cell>
          <cell r="W111">
            <v>44670</v>
          </cell>
          <cell r="X111">
            <v>193239</v>
          </cell>
          <cell r="Y111">
            <v>688</v>
          </cell>
        </row>
        <row r="112">
          <cell r="A112">
            <v>44671</v>
          </cell>
          <cell r="B112">
            <v>2176.83</v>
          </cell>
          <cell r="D112">
            <v>44671</v>
          </cell>
          <cell r="E112">
            <v>861.31</v>
          </cell>
          <cell r="G112">
            <v>44671</v>
          </cell>
          <cell r="H112">
            <v>1018.54</v>
          </cell>
          <cell r="J112">
            <v>44671</v>
          </cell>
          <cell r="K112">
            <v>452.41</v>
          </cell>
          <cell r="M112">
            <v>44671</v>
          </cell>
          <cell r="N112">
            <v>30</v>
          </cell>
          <cell r="P112">
            <v>44671</v>
          </cell>
          <cell r="Q112">
            <v>17.29</v>
          </cell>
          <cell r="S112">
            <v>44671</v>
          </cell>
          <cell r="T112">
            <v>485104</v>
          </cell>
          <cell r="U112">
            <v>4945</v>
          </cell>
          <cell r="W112">
            <v>44671</v>
          </cell>
          <cell r="X112">
            <v>148571</v>
          </cell>
          <cell r="Y112">
            <v>491</v>
          </cell>
        </row>
        <row r="113">
          <cell r="A113">
            <v>44672</v>
          </cell>
          <cell r="B113">
            <v>1873.07</v>
          </cell>
          <cell r="D113">
            <v>44672</v>
          </cell>
          <cell r="E113">
            <v>1082.98</v>
          </cell>
          <cell r="G113">
            <v>44672</v>
          </cell>
          <cell r="H113">
            <v>993.6</v>
          </cell>
          <cell r="J113">
            <v>44672</v>
          </cell>
          <cell r="K113">
            <v>0</v>
          </cell>
          <cell r="M113">
            <v>44672</v>
          </cell>
          <cell r="N113">
            <v>17</v>
          </cell>
          <cell r="P113">
            <v>44672</v>
          </cell>
          <cell r="Q113">
            <v>4.42</v>
          </cell>
          <cell r="S113">
            <v>44672</v>
          </cell>
          <cell r="T113">
            <v>378616</v>
          </cell>
          <cell r="U113">
            <v>3682</v>
          </cell>
          <cell r="W113">
            <v>44672</v>
          </cell>
          <cell r="X113">
            <v>102431</v>
          </cell>
          <cell r="Y113">
            <v>350</v>
          </cell>
        </row>
        <row r="114">
          <cell r="A114">
            <v>44673</v>
          </cell>
          <cell r="B114">
            <v>2010.22</v>
          </cell>
          <cell r="D114">
            <v>44673</v>
          </cell>
          <cell r="E114">
            <v>737.3</v>
          </cell>
          <cell r="G114">
            <v>44673</v>
          </cell>
          <cell r="H114">
            <v>980.82</v>
          </cell>
          <cell r="J114">
            <v>44673</v>
          </cell>
          <cell r="K114">
            <v>0</v>
          </cell>
          <cell r="M114">
            <v>44673</v>
          </cell>
          <cell r="N114">
            <v>26.44</v>
          </cell>
          <cell r="P114">
            <v>44673</v>
          </cell>
          <cell r="Q114">
            <v>7.23</v>
          </cell>
          <cell r="S114">
            <v>44673</v>
          </cell>
          <cell r="T114">
            <v>607877</v>
          </cell>
          <cell r="U114">
            <v>6523</v>
          </cell>
          <cell r="W114">
            <v>44673</v>
          </cell>
          <cell r="X114">
            <v>111694</v>
          </cell>
          <cell r="Y114">
            <v>396</v>
          </cell>
        </row>
        <row r="115">
          <cell r="A115">
            <v>44674</v>
          </cell>
          <cell r="B115">
            <v>1672.85</v>
          </cell>
          <cell r="D115">
            <v>44674</v>
          </cell>
          <cell r="E115">
            <v>311.99</v>
          </cell>
          <cell r="G115">
            <v>44674</v>
          </cell>
          <cell r="H115">
            <v>1062.69</v>
          </cell>
          <cell r="J115">
            <v>44674</v>
          </cell>
          <cell r="K115">
            <v>0</v>
          </cell>
          <cell r="M115">
            <v>44674</v>
          </cell>
          <cell r="N115">
            <v>8.56</v>
          </cell>
          <cell r="P115">
            <v>44674</v>
          </cell>
          <cell r="Q115">
            <v>6.1</v>
          </cell>
          <cell r="S115">
            <v>44674</v>
          </cell>
          <cell r="T115">
            <v>450453</v>
          </cell>
          <cell r="U115">
            <v>4907</v>
          </cell>
          <cell r="W115">
            <v>44674</v>
          </cell>
          <cell r="X115">
            <v>131536</v>
          </cell>
          <cell r="Y115">
            <v>469</v>
          </cell>
        </row>
        <row r="116">
          <cell r="A116">
            <v>44675</v>
          </cell>
          <cell r="B116">
            <v>1666.64</v>
          </cell>
          <cell r="D116">
            <v>44675</v>
          </cell>
          <cell r="E116">
            <v>391.53</v>
          </cell>
          <cell r="G116">
            <v>44675</v>
          </cell>
          <cell r="H116">
            <v>1109.78</v>
          </cell>
          <cell r="J116">
            <v>44675</v>
          </cell>
          <cell r="K116">
            <v>0</v>
          </cell>
          <cell r="M116">
            <v>44675</v>
          </cell>
          <cell r="N116">
            <v>21</v>
          </cell>
          <cell r="P116">
            <v>44675</v>
          </cell>
          <cell r="Q116">
            <v>10</v>
          </cell>
          <cell r="S116">
            <v>44675</v>
          </cell>
          <cell r="T116">
            <v>407393</v>
          </cell>
          <cell r="U116">
            <v>4299</v>
          </cell>
          <cell r="W116">
            <v>44675</v>
          </cell>
          <cell r="X116">
            <v>136589</v>
          </cell>
          <cell r="Y116">
            <v>485</v>
          </cell>
        </row>
        <row r="117">
          <cell r="A117">
            <v>44676</v>
          </cell>
          <cell r="B117">
            <v>1978.93</v>
          </cell>
          <cell r="D117">
            <v>44676</v>
          </cell>
          <cell r="E117">
            <v>573.41999999999996</v>
          </cell>
          <cell r="G117">
            <v>44676</v>
          </cell>
          <cell r="H117">
            <v>1044.1199999999999</v>
          </cell>
          <cell r="J117">
            <v>44676</v>
          </cell>
          <cell r="K117">
            <v>785.98</v>
          </cell>
          <cell r="M117">
            <v>44676</v>
          </cell>
          <cell r="N117">
            <v>18</v>
          </cell>
          <cell r="P117">
            <v>44676</v>
          </cell>
          <cell r="Q117">
            <v>7</v>
          </cell>
          <cell r="S117">
            <v>44676</v>
          </cell>
          <cell r="T117">
            <v>276257</v>
          </cell>
          <cell r="U117">
            <v>3281</v>
          </cell>
          <cell r="W117">
            <v>44676</v>
          </cell>
          <cell r="X117">
            <v>198832</v>
          </cell>
          <cell r="Y117">
            <v>575</v>
          </cell>
        </row>
        <row r="118">
          <cell r="A118">
            <v>44677</v>
          </cell>
          <cell r="B118">
            <v>783.85</v>
          </cell>
          <cell r="D118">
            <v>44677</v>
          </cell>
          <cell r="E118">
            <v>682.23</v>
          </cell>
          <cell r="G118">
            <v>44677</v>
          </cell>
          <cell r="H118">
            <v>2133.06</v>
          </cell>
          <cell r="J118">
            <v>44677</v>
          </cell>
          <cell r="K118">
            <v>710.28</v>
          </cell>
          <cell r="M118">
            <v>44677</v>
          </cell>
          <cell r="N118">
            <v>13</v>
          </cell>
          <cell r="P118">
            <v>44677</v>
          </cell>
          <cell r="Q118">
            <v>3</v>
          </cell>
          <cell r="S118">
            <v>44677</v>
          </cell>
          <cell r="T118">
            <v>36510</v>
          </cell>
          <cell r="U118">
            <v>667</v>
          </cell>
          <cell r="W118">
            <v>44677</v>
          </cell>
          <cell r="X118">
            <v>322742</v>
          </cell>
          <cell r="Y118">
            <v>843</v>
          </cell>
        </row>
        <row r="119">
          <cell r="A119">
            <v>44678</v>
          </cell>
          <cell r="B119">
            <v>648.02</v>
          </cell>
          <cell r="D119">
            <v>44678</v>
          </cell>
          <cell r="E119">
            <v>2485.15</v>
          </cell>
          <cell r="G119">
            <v>44678</v>
          </cell>
          <cell r="H119">
            <v>1869.93</v>
          </cell>
          <cell r="J119">
            <v>44678</v>
          </cell>
          <cell r="K119">
            <v>697.72</v>
          </cell>
          <cell r="M119">
            <v>44678</v>
          </cell>
          <cell r="N119">
            <v>6</v>
          </cell>
          <cell r="P119">
            <v>44678</v>
          </cell>
          <cell r="Q119">
            <v>3</v>
          </cell>
          <cell r="S119">
            <v>44678</v>
          </cell>
          <cell r="T119">
            <v>15113</v>
          </cell>
          <cell r="U119">
            <v>608</v>
          </cell>
          <cell r="W119">
            <v>44678</v>
          </cell>
          <cell r="X119">
            <v>283061</v>
          </cell>
          <cell r="Y119">
            <v>779</v>
          </cell>
        </row>
        <row r="120">
          <cell r="A120">
            <v>44679</v>
          </cell>
          <cell r="B120">
            <v>606.05999999999995</v>
          </cell>
          <cell r="D120">
            <v>44679</v>
          </cell>
          <cell r="E120">
            <v>4136.99</v>
          </cell>
          <cell r="G120">
            <v>44679</v>
          </cell>
          <cell r="H120">
            <v>1571.87</v>
          </cell>
          <cell r="J120">
            <v>44679</v>
          </cell>
          <cell r="K120">
            <v>681.33</v>
          </cell>
          <cell r="M120">
            <v>44679</v>
          </cell>
          <cell r="N120">
            <v>6</v>
          </cell>
          <cell r="P120">
            <v>44679</v>
          </cell>
          <cell r="Q120">
            <v>3</v>
          </cell>
          <cell r="S120">
            <v>44679</v>
          </cell>
          <cell r="T120">
            <v>14934</v>
          </cell>
          <cell r="U120">
            <v>680</v>
          </cell>
          <cell r="W120">
            <v>44679</v>
          </cell>
          <cell r="X120">
            <v>297291</v>
          </cell>
          <cell r="Y120">
            <v>624</v>
          </cell>
        </row>
        <row r="121">
          <cell r="A121">
            <v>44680</v>
          </cell>
          <cell r="B121">
            <v>543.79999999999995</v>
          </cell>
          <cell r="D121">
            <v>44680</v>
          </cell>
          <cell r="E121">
            <v>4218.9799999999996</v>
          </cell>
          <cell r="G121">
            <v>44680</v>
          </cell>
          <cell r="H121">
            <v>1470.29</v>
          </cell>
          <cell r="J121">
            <v>44680</v>
          </cell>
          <cell r="K121">
            <v>716.53</v>
          </cell>
          <cell r="M121">
            <v>44680</v>
          </cell>
          <cell r="N121">
            <v>4</v>
          </cell>
          <cell r="P121">
            <v>44680</v>
          </cell>
          <cell r="Q121">
            <v>5</v>
          </cell>
          <cell r="S121">
            <v>44680</v>
          </cell>
          <cell r="T121">
            <v>13688</v>
          </cell>
          <cell r="U121">
            <v>565</v>
          </cell>
          <cell r="W121">
            <v>44680</v>
          </cell>
          <cell r="X121">
            <v>300872</v>
          </cell>
          <cell r="Y121">
            <v>524</v>
          </cell>
        </row>
        <row r="122">
          <cell r="A122">
            <v>44681</v>
          </cell>
          <cell r="B122">
            <v>584.72</v>
          </cell>
          <cell r="D122">
            <v>44681</v>
          </cell>
          <cell r="E122">
            <v>3966.53</v>
          </cell>
          <cell r="G122">
            <v>44681</v>
          </cell>
          <cell r="H122">
            <v>1632.08</v>
          </cell>
          <cell r="J122">
            <v>44681</v>
          </cell>
          <cell r="K122">
            <v>768.02</v>
          </cell>
          <cell r="M122">
            <v>44681</v>
          </cell>
          <cell r="N122">
            <v>5</v>
          </cell>
          <cell r="P122">
            <v>44681</v>
          </cell>
          <cell r="Q122">
            <v>2</v>
          </cell>
          <cell r="S122">
            <v>44681</v>
          </cell>
          <cell r="T122">
            <v>8177</v>
          </cell>
          <cell r="U122">
            <v>424</v>
          </cell>
          <cell r="W122">
            <v>44681</v>
          </cell>
          <cell r="X122">
            <v>345603</v>
          </cell>
          <cell r="Y122">
            <v>575</v>
          </cell>
        </row>
        <row r="123">
          <cell r="A123">
            <v>44682</v>
          </cell>
          <cell r="B123">
            <v>481.6</v>
          </cell>
          <cell r="D123">
            <v>44682</v>
          </cell>
          <cell r="E123">
            <v>3575.91</v>
          </cell>
          <cell r="G123">
            <v>44682</v>
          </cell>
          <cell r="H123">
            <v>1411.39</v>
          </cell>
          <cell r="J123">
            <v>44682</v>
          </cell>
          <cell r="K123">
            <v>640.14</v>
          </cell>
          <cell r="M123">
            <v>44682</v>
          </cell>
          <cell r="N123">
            <v>5</v>
          </cell>
          <cell r="P123">
            <v>44682</v>
          </cell>
          <cell r="Q123">
            <v>1</v>
          </cell>
          <cell r="S123">
            <v>44682</v>
          </cell>
          <cell r="T123">
            <v>7107</v>
          </cell>
          <cell r="U123">
            <v>361</v>
          </cell>
          <cell r="W123">
            <v>44682</v>
          </cell>
          <cell r="X123">
            <v>364129</v>
          </cell>
          <cell r="Y123">
            <v>654</v>
          </cell>
        </row>
        <row r="124">
          <cell r="A124">
            <v>44683</v>
          </cell>
          <cell r="B124">
            <v>605.34</v>
          </cell>
          <cell r="D124">
            <v>44683</v>
          </cell>
          <cell r="E124">
            <v>3361.71</v>
          </cell>
          <cell r="G124">
            <v>44683</v>
          </cell>
          <cell r="H124">
            <v>1494.67</v>
          </cell>
          <cell r="J124">
            <v>44683</v>
          </cell>
          <cell r="K124">
            <v>0</v>
          </cell>
          <cell r="M124">
            <v>44683</v>
          </cell>
          <cell r="N124">
            <v>7</v>
          </cell>
          <cell r="P124">
            <v>44683</v>
          </cell>
          <cell r="Q124">
            <v>1</v>
          </cell>
          <cell r="S124">
            <v>44683</v>
          </cell>
          <cell r="T124">
            <v>11429</v>
          </cell>
          <cell r="U124">
            <v>431</v>
          </cell>
          <cell r="W124">
            <v>44683</v>
          </cell>
          <cell r="X124">
            <v>300628</v>
          </cell>
          <cell r="Y124">
            <v>483</v>
          </cell>
        </row>
        <row r="125">
          <cell r="A125">
            <v>44684</v>
          </cell>
          <cell r="B125">
            <v>738.83</v>
          </cell>
          <cell r="D125">
            <v>44684</v>
          </cell>
          <cell r="E125">
            <v>771.52</v>
          </cell>
          <cell r="G125">
            <v>44684</v>
          </cell>
          <cell r="H125">
            <v>1490.03</v>
          </cell>
          <cell r="J125">
            <v>44684</v>
          </cell>
          <cell r="K125">
            <v>802.01</v>
          </cell>
          <cell r="M125">
            <v>44684</v>
          </cell>
          <cell r="N125">
            <v>7</v>
          </cell>
          <cell r="P125">
            <v>44684</v>
          </cell>
          <cell r="Q125">
            <v>2</v>
          </cell>
          <cell r="S125">
            <v>44684</v>
          </cell>
          <cell r="T125">
            <v>14301</v>
          </cell>
          <cell r="U125">
            <v>514</v>
          </cell>
          <cell r="W125">
            <v>44684</v>
          </cell>
          <cell r="X125">
            <v>349103</v>
          </cell>
          <cell r="Y125">
            <v>719</v>
          </cell>
        </row>
        <row r="126">
          <cell r="A126">
            <v>44685</v>
          </cell>
          <cell r="B126">
            <v>774.98</v>
          </cell>
          <cell r="D126">
            <v>44685</v>
          </cell>
          <cell r="E126">
            <v>770.67</v>
          </cell>
          <cell r="G126">
            <v>44685</v>
          </cell>
          <cell r="H126">
            <v>1451.01</v>
          </cell>
          <cell r="J126">
            <v>44685</v>
          </cell>
          <cell r="K126">
            <v>858.5</v>
          </cell>
          <cell r="M126">
            <v>44685</v>
          </cell>
          <cell r="N126">
            <v>5</v>
          </cell>
          <cell r="P126">
            <v>44685</v>
          </cell>
          <cell r="Q126">
            <v>0.5</v>
          </cell>
          <cell r="S126">
            <v>44685</v>
          </cell>
          <cell r="T126">
            <v>13551</v>
          </cell>
          <cell r="U126">
            <v>480</v>
          </cell>
          <cell r="W126">
            <v>44685</v>
          </cell>
          <cell r="X126">
            <v>314620</v>
          </cell>
          <cell r="Y126">
            <v>642</v>
          </cell>
        </row>
        <row r="127">
          <cell r="A127">
            <v>44686</v>
          </cell>
          <cell r="B127">
            <v>697.13</v>
          </cell>
          <cell r="D127">
            <v>44686</v>
          </cell>
          <cell r="E127">
            <v>790.13</v>
          </cell>
          <cell r="G127">
            <v>44686</v>
          </cell>
          <cell r="H127">
            <v>1439.97</v>
          </cell>
          <cell r="J127">
            <v>44686</v>
          </cell>
          <cell r="K127">
            <v>856.01</v>
          </cell>
          <cell r="M127">
            <v>44686</v>
          </cell>
          <cell r="N127">
            <v>9</v>
          </cell>
          <cell r="P127">
            <v>44686</v>
          </cell>
          <cell r="Q127">
            <v>3.5</v>
          </cell>
          <cell r="S127">
            <v>44686</v>
          </cell>
          <cell r="T127">
            <v>12240</v>
          </cell>
          <cell r="U127">
            <v>473</v>
          </cell>
          <cell r="W127">
            <v>44686</v>
          </cell>
          <cell r="X127">
            <v>351443</v>
          </cell>
          <cell r="Y127">
            <v>535</v>
          </cell>
        </row>
        <row r="128">
          <cell r="A128">
            <v>44687</v>
          </cell>
          <cell r="B128">
            <v>402.39</v>
          </cell>
          <cell r="D128">
            <v>44687</v>
          </cell>
          <cell r="E128">
            <v>669.13</v>
          </cell>
          <cell r="G128">
            <v>44687</v>
          </cell>
          <cell r="H128">
            <v>1404.15</v>
          </cell>
          <cell r="J128">
            <v>44687</v>
          </cell>
          <cell r="K128">
            <v>857.87</v>
          </cell>
          <cell r="M128">
            <v>44687</v>
          </cell>
          <cell r="N128">
            <v>6</v>
          </cell>
          <cell r="P128">
            <v>44687</v>
          </cell>
          <cell r="Q128">
            <v>1</v>
          </cell>
          <cell r="S128">
            <v>44687</v>
          </cell>
          <cell r="T128">
            <v>9837</v>
          </cell>
          <cell r="U128">
            <v>354</v>
          </cell>
          <cell r="W128">
            <v>44687</v>
          </cell>
          <cell r="X128">
            <v>330288</v>
          </cell>
          <cell r="Y128">
            <v>529</v>
          </cell>
        </row>
        <row r="129">
          <cell r="A129">
            <v>44688</v>
          </cell>
          <cell r="B129">
            <v>426.74</v>
          </cell>
          <cell r="D129">
            <v>44688</v>
          </cell>
          <cell r="E129">
            <v>297.93</v>
          </cell>
          <cell r="G129">
            <v>44688</v>
          </cell>
          <cell r="H129">
            <v>1578.57</v>
          </cell>
          <cell r="J129">
            <v>44688</v>
          </cell>
          <cell r="K129">
            <v>867.3</v>
          </cell>
          <cell r="M129">
            <v>44688</v>
          </cell>
          <cell r="N129">
            <v>2</v>
          </cell>
          <cell r="P129">
            <v>44688</v>
          </cell>
          <cell r="Q129">
            <v>2</v>
          </cell>
          <cell r="S129">
            <v>44688</v>
          </cell>
          <cell r="T129">
            <v>6401</v>
          </cell>
          <cell r="U129">
            <v>229</v>
          </cell>
          <cell r="W129">
            <v>44688</v>
          </cell>
          <cell r="X129">
            <v>362020</v>
          </cell>
          <cell r="Y129">
            <v>607</v>
          </cell>
        </row>
        <row r="130">
          <cell r="A130">
            <v>44689</v>
          </cell>
          <cell r="B130">
            <v>387.37</v>
          </cell>
          <cell r="D130">
            <v>44689</v>
          </cell>
          <cell r="E130">
            <v>385.03</v>
          </cell>
          <cell r="G130">
            <v>44689</v>
          </cell>
          <cell r="H130">
            <v>1580.55</v>
          </cell>
          <cell r="J130">
            <v>44689</v>
          </cell>
          <cell r="K130">
            <v>758.31</v>
          </cell>
          <cell r="M130">
            <v>44689</v>
          </cell>
          <cell r="N130">
            <v>1</v>
          </cell>
          <cell r="P130">
            <v>44689</v>
          </cell>
          <cell r="Q130">
            <v>1</v>
          </cell>
          <cell r="S130">
            <v>44689</v>
          </cell>
          <cell r="T130">
            <v>6311</v>
          </cell>
          <cell r="U130">
            <v>240</v>
          </cell>
          <cell r="W130">
            <v>44689</v>
          </cell>
          <cell r="X130">
            <v>380405</v>
          </cell>
          <cell r="Y130">
            <v>649</v>
          </cell>
        </row>
        <row r="131">
          <cell r="A131">
            <v>44690</v>
          </cell>
          <cell r="B131">
            <v>780.92</v>
          </cell>
          <cell r="D131">
            <v>44690</v>
          </cell>
          <cell r="E131">
            <v>1092.8800000000001</v>
          </cell>
          <cell r="G131">
            <v>44690</v>
          </cell>
          <cell r="H131">
            <v>1666.2</v>
          </cell>
          <cell r="J131">
            <v>44690</v>
          </cell>
          <cell r="K131">
            <v>0</v>
          </cell>
          <cell r="M131">
            <v>44690</v>
          </cell>
          <cell r="N131">
            <v>10</v>
          </cell>
          <cell r="P131">
            <v>44690</v>
          </cell>
          <cell r="Q131">
            <v>2.5</v>
          </cell>
          <cell r="S131">
            <v>44690</v>
          </cell>
          <cell r="T131">
            <v>28080</v>
          </cell>
          <cell r="U131">
            <v>740</v>
          </cell>
          <cell r="W131">
            <v>44690</v>
          </cell>
          <cell r="X131">
            <v>250372</v>
          </cell>
          <cell r="Y131">
            <v>505</v>
          </cell>
        </row>
        <row r="132">
          <cell r="A132">
            <v>44691</v>
          </cell>
          <cell r="B132">
            <v>1022.18</v>
          </cell>
          <cell r="D132">
            <v>44691</v>
          </cell>
          <cell r="E132">
            <v>1051.1099999999999</v>
          </cell>
          <cell r="G132">
            <v>44691</v>
          </cell>
          <cell r="H132">
            <v>1608.13</v>
          </cell>
          <cell r="J132">
            <v>44691</v>
          </cell>
          <cell r="K132">
            <v>953.74</v>
          </cell>
          <cell r="M132">
            <v>44691</v>
          </cell>
          <cell r="N132">
            <v>6</v>
          </cell>
          <cell r="P132">
            <v>44691</v>
          </cell>
          <cell r="Q132">
            <v>6.67</v>
          </cell>
          <cell r="S132">
            <v>44691</v>
          </cell>
          <cell r="T132">
            <v>63370</v>
          </cell>
          <cell r="U132">
            <v>1369</v>
          </cell>
          <cell r="W132">
            <v>44691</v>
          </cell>
          <cell r="X132">
            <v>359011</v>
          </cell>
          <cell r="Y132">
            <v>694</v>
          </cell>
        </row>
        <row r="133">
          <cell r="A133">
            <v>44692</v>
          </cell>
          <cell r="B133">
            <v>1023.55</v>
          </cell>
          <cell r="D133">
            <v>44692</v>
          </cell>
          <cell r="E133">
            <v>1345.07</v>
          </cell>
          <cell r="G133">
            <v>44692</v>
          </cell>
          <cell r="H133">
            <v>1583.73</v>
          </cell>
          <cell r="J133">
            <v>44692</v>
          </cell>
          <cell r="K133">
            <v>955.59</v>
          </cell>
          <cell r="M133">
            <v>44692</v>
          </cell>
          <cell r="N133">
            <v>5</v>
          </cell>
          <cell r="P133">
            <v>44692</v>
          </cell>
          <cell r="Q133">
            <v>12.67</v>
          </cell>
          <cell r="S133">
            <v>44692</v>
          </cell>
          <cell r="T133">
            <v>165924</v>
          </cell>
          <cell r="U133">
            <v>2933</v>
          </cell>
          <cell r="W133">
            <v>44692</v>
          </cell>
          <cell r="X133">
            <v>354188</v>
          </cell>
          <cell r="Y133">
            <v>720</v>
          </cell>
        </row>
        <row r="134">
          <cell r="A134">
            <v>44693</v>
          </cell>
          <cell r="B134">
            <v>863.86</v>
          </cell>
          <cell r="D134">
            <v>44693</v>
          </cell>
          <cell r="E134">
            <v>1026.76</v>
          </cell>
          <cell r="G134">
            <v>44693</v>
          </cell>
          <cell r="H134">
            <v>1497.54</v>
          </cell>
          <cell r="J134">
            <v>44693</v>
          </cell>
          <cell r="K134">
            <v>989.72</v>
          </cell>
          <cell r="M134">
            <v>44693</v>
          </cell>
          <cell r="N134">
            <v>8</v>
          </cell>
          <cell r="P134">
            <v>44693</v>
          </cell>
          <cell r="Q134">
            <v>11.5</v>
          </cell>
          <cell r="S134">
            <v>44693</v>
          </cell>
          <cell r="T134">
            <v>119822</v>
          </cell>
          <cell r="U134">
            <v>2079</v>
          </cell>
          <cell r="W134">
            <v>44693</v>
          </cell>
          <cell r="X134">
            <v>360645</v>
          </cell>
          <cell r="Y134">
            <v>676</v>
          </cell>
        </row>
        <row r="135">
          <cell r="A135">
            <v>44694</v>
          </cell>
          <cell r="B135">
            <v>692.75</v>
          </cell>
          <cell r="D135">
            <v>44694</v>
          </cell>
          <cell r="E135">
            <v>932.4</v>
          </cell>
          <cell r="G135">
            <v>44694</v>
          </cell>
          <cell r="H135">
            <v>2020.96</v>
          </cell>
          <cell r="J135">
            <v>44694</v>
          </cell>
          <cell r="K135">
            <v>1109.18</v>
          </cell>
          <cell r="M135">
            <v>44694</v>
          </cell>
          <cell r="N135">
            <v>5</v>
          </cell>
          <cell r="P135">
            <v>44694</v>
          </cell>
          <cell r="Q135">
            <v>12</v>
          </cell>
          <cell r="S135">
            <v>44694</v>
          </cell>
          <cell r="T135">
            <v>103629</v>
          </cell>
          <cell r="U135">
            <v>1837</v>
          </cell>
          <cell r="W135">
            <v>44694</v>
          </cell>
          <cell r="X135">
            <v>466591</v>
          </cell>
          <cell r="Y135">
            <v>964</v>
          </cell>
        </row>
        <row r="136">
          <cell r="A136">
            <v>44695</v>
          </cell>
          <cell r="B136">
            <v>559.20000000000005</v>
          </cell>
          <cell r="D136">
            <v>44695</v>
          </cell>
          <cell r="E136">
            <v>545.53</v>
          </cell>
          <cell r="G136">
            <v>44695</v>
          </cell>
          <cell r="H136">
            <v>3109.75</v>
          </cell>
          <cell r="J136">
            <v>44695</v>
          </cell>
          <cell r="K136">
            <v>1178.3900000000001</v>
          </cell>
          <cell r="M136">
            <v>44695</v>
          </cell>
          <cell r="N136">
            <v>6</v>
          </cell>
          <cell r="P136">
            <v>44695</v>
          </cell>
          <cell r="Q136">
            <v>2</v>
          </cell>
          <cell r="S136">
            <v>44695</v>
          </cell>
          <cell r="T136">
            <v>117064</v>
          </cell>
          <cell r="U136">
            <v>2028</v>
          </cell>
          <cell r="W136">
            <v>44695</v>
          </cell>
          <cell r="X136">
            <v>675638</v>
          </cell>
          <cell r="Y136">
            <v>1390</v>
          </cell>
        </row>
        <row r="137">
          <cell r="A137">
            <v>44696</v>
          </cell>
          <cell r="B137">
            <v>606.34</v>
          </cell>
          <cell r="D137">
            <v>44696</v>
          </cell>
          <cell r="E137">
            <v>649.09</v>
          </cell>
          <cell r="G137">
            <v>44696</v>
          </cell>
          <cell r="H137">
            <v>3235.31</v>
          </cell>
          <cell r="J137">
            <v>44696</v>
          </cell>
          <cell r="K137">
            <v>1194.71</v>
          </cell>
          <cell r="M137">
            <v>44696</v>
          </cell>
          <cell r="N137">
            <v>7</v>
          </cell>
          <cell r="P137">
            <v>44696</v>
          </cell>
          <cell r="Q137">
            <v>9.5</v>
          </cell>
          <cell r="S137">
            <v>44696</v>
          </cell>
          <cell r="T137">
            <v>109339</v>
          </cell>
          <cell r="U137">
            <v>1804</v>
          </cell>
          <cell r="W137">
            <v>44696</v>
          </cell>
          <cell r="X137">
            <v>724522</v>
          </cell>
          <cell r="Y137">
            <v>1418</v>
          </cell>
        </row>
        <row r="138">
          <cell r="A138">
            <v>44697</v>
          </cell>
          <cell r="B138">
            <v>651.46</v>
          </cell>
          <cell r="D138">
            <v>44697</v>
          </cell>
          <cell r="E138">
            <v>1021.94</v>
          </cell>
          <cell r="G138">
            <v>44697</v>
          </cell>
          <cell r="H138">
            <v>2904.4</v>
          </cell>
          <cell r="J138">
            <v>44697</v>
          </cell>
          <cell r="K138">
            <v>1113.2</v>
          </cell>
          <cell r="M138">
            <v>44697</v>
          </cell>
          <cell r="N138">
            <v>15.01</v>
          </cell>
          <cell r="P138">
            <v>44697</v>
          </cell>
          <cell r="Q138">
            <v>5</v>
          </cell>
          <cell r="S138">
            <v>44697</v>
          </cell>
          <cell r="T138">
            <v>57935</v>
          </cell>
          <cell r="U138">
            <v>1083</v>
          </cell>
          <cell r="W138">
            <v>44697</v>
          </cell>
          <cell r="X138">
            <v>605105</v>
          </cell>
          <cell r="Y138">
            <v>1341</v>
          </cell>
        </row>
        <row r="139">
          <cell r="A139">
            <v>44698</v>
          </cell>
          <cell r="B139">
            <v>1118.43</v>
          </cell>
          <cell r="D139">
            <v>44698</v>
          </cell>
          <cell r="E139">
            <v>941.21</v>
          </cell>
          <cell r="G139">
            <v>44698</v>
          </cell>
          <cell r="H139">
            <v>2575.54</v>
          </cell>
          <cell r="J139">
            <v>44698</v>
          </cell>
          <cell r="K139">
            <v>1076.3499999999999</v>
          </cell>
          <cell r="M139">
            <v>44698</v>
          </cell>
          <cell r="N139">
            <v>10.07</v>
          </cell>
          <cell r="P139">
            <v>44698</v>
          </cell>
          <cell r="Q139">
            <v>3</v>
          </cell>
          <cell r="S139">
            <v>44698</v>
          </cell>
          <cell r="T139">
            <v>318458</v>
          </cell>
          <cell r="U139">
            <v>1030</v>
          </cell>
          <cell r="W139">
            <v>44698</v>
          </cell>
          <cell r="X139">
            <v>537532</v>
          </cell>
          <cell r="Y139">
            <v>1300</v>
          </cell>
        </row>
        <row r="140">
          <cell r="A140">
            <v>44699</v>
          </cell>
          <cell r="B140">
            <v>1046.5999999999999</v>
          </cell>
          <cell r="D140">
            <v>44699</v>
          </cell>
          <cell r="E140">
            <v>991.3</v>
          </cell>
          <cell r="G140">
            <v>44699</v>
          </cell>
          <cell r="H140">
            <v>2354.5500000000002</v>
          </cell>
          <cell r="J140">
            <v>44699</v>
          </cell>
          <cell r="K140">
            <v>1026.8</v>
          </cell>
          <cell r="M140">
            <v>44699</v>
          </cell>
          <cell r="N140">
            <v>4.93</v>
          </cell>
          <cell r="P140">
            <v>44699</v>
          </cell>
          <cell r="Q140">
            <v>1.17</v>
          </cell>
          <cell r="S140">
            <v>44699</v>
          </cell>
          <cell r="T140">
            <v>294909</v>
          </cell>
          <cell r="U140">
            <v>926</v>
          </cell>
          <cell r="W140">
            <v>44699</v>
          </cell>
          <cell r="X140">
            <v>489417</v>
          </cell>
          <cell r="Y140">
            <v>1115</v>
          </cell>
        </row>
        <row r="141">
          <cell r="A141">
            <v>44700</v>
          </cell>
          <cell r="B141">
            <v>1114.8399999999999</v>
          </cell>
          <cell r="D141">
            <v>44700</v>
          </cell>
          <cell r="E141">
            <v>893.84</v>
          </cell>
          <cell r="G141">
            <v>44700</v>
          </cell>
          <cell r="H141">
            <v>3071.77</v>
          </cell>
          <cell r="J141">
            <v>44700</v>
          </cell>
          <cell r="K141">
            <v>402.32</v>
          </cell>
          <cell r="M141">
            <v>44700</v>
          </cell>
          <cell r="N141">
            <v>10</v>
          </cell>
          <cell r="P141">
            <v>44700</v>
          </cell>
          <cell r="Q141">
            <v>2.17</v>
          </cell>
          <cell r="S141">
            <v>44700</v>
          </cell>
          <cell r="T141">
            <v>389312</v>
          </cell>
          <cell r="U141">
            <v>988</v>
          </cell>
          <cell r="W141">
            <v>44700</v>
          </cell>
          <cell r="X141">
            <v>507461</v>
          </cell>
          <cell r="Y141">
            <v>1017</v>
          </cell>
        </row>
        <row r="142">
          <cell r="A142">
            <v>44701</v>
          </cell>
          <cell r="B142">
            <v>1397.43</v>
          </cell>
          <cell r="D142">
            <v>44701</v>
          </cell>
          <cell r="E142">
            <v>734.58</v>
          </cell>
          <cell r="G142">
            <v>44701</v>
          </cell>
          <cell r="H142">
            <v>3407.74</v>
          </cell>
          <cell r="J142">
            <v>44701</v>
          </cell>
          <cell r="K142">
            <v>1411.29</v>
          </cell>
          <cell r="M142">
            <v>44701</v>
          </cell>
          <cell r="N142">
            <v>0</v>
          </cell>
          <cell r="P142">
            <v>44701</v>
          </cell>
          <cell r="Q142">
            <v>1</v>
          </cell>
          <cell r="S142">
            <v>44701</v>
          </cell>
          <cell r="T142">
            <v>123673</v>
          </cell>
          <cell r="U142">
            <v>979</v>
          </cell>
          <cell r="W142">
            <v>44701</v>
          </cell>
          <cell r="X142">
            <v>834824</v>
          </cell>
          <cell r="Y142">
            <v>1379</v>
          </cell>
        </row>
        <row r="143">
          <cell r="A143">
            <v>44702</v>
          </cell>
          <cell r="B143">
            <v>1398.82</v>
          </cell>
          <cell r="D143">
            <v>44702</v>
          </cell>
          <cell r="E143">
            <v>363.77</v>
          </cell>
          <cell r="G143">
            <v>44702</v>
          </cell>
          <cell r="H143">
            <v>3709.95</v>
          </cell>
          <cell r="J143">
            <v>44702</v>
          </cell>
          <cell r="K143">
            <v>1420.6</v>
          </cell>
          <cell r="M143">
            <v>44702</v>
          </cell>
          <cell r="N143">
            <v>9</v>
          </cell>
          <cell r="P143">
            <v>44702</v>
          </cell>
          <cell r="Q143">
            <v>1</v>
          </cell>
          <cell r="S143">
            <v>44702</v>
          </cell>
          <cell r="T143">
            <v>230572</v>
          </cell>
          <cell r="U143">
            <v>1776</v>
          </cell>
          <cell r="W143">
            <v>44702</v>
          </cell>
          <cell r="X143">
            <v>884061</v>
          </cell>
          <cell r="Y143">
            <v>1444</v>
          </cell>
        </row>
        <row r="144">
          <cell r="A144">
            <v>44703</v>
          </cell>
          <cell r="B144">
            <v>1471.51</v>
          </cell>
          <cell r="D144">
            <v>44703</v>
          </cell>
          <cell r="E144">
            <v>451.02</v>
          </cell>
          <cell r="G144">
            <v>44703</v>
          </cell>
          <cell r="H144">
            <v>3772.03</v>
          </cell>
          <cell r="J144">
            <v>44703</v>
          </cell>
          <cell r="K144">
            <v>1343.51</v>
          </cell>
          <cell r="M144">
            <v>44703</v>
          </cell>
          <cell r="N144">
            <v>6</v>
          </cell>
          <cell r="P144">
            <v>44703</v>
          </cell>
          <cell r="Q144">
            <v>1</v>
          </cell>
          <cell r="S144">
            <v>44703</v>
          </cell>
          <cell r="T144">
            <v>589819</v>
          </cell>
          <cell r="U144">
            <v>1936</v>
          </cell>
          <cell r="W144">
            <v>44703</v>
          </cell>
          <cell r="X144">
            <v>1020911</v>
          </cell>
          <cell r="Y144">
            <v>1454</v>
          </cell>
        </row>
        <row r="145">
          <cell r="A145">
            <v>44704</v>
          </cell>
          <cell r="B145">
            <v>2345.29</v>
          </cell>
          <cell r="D145">
            <v>44704</v>
          </cell>
          <cell r="E145">
            <v>854.48</v>
          </cell>
          <cell r="G145">
            <v>44704</v>
          </cell>
          <cell r="H145">
            <v>3647.46</v>
          </cell>
          <cell r="J145">
            <v>44704</v>
          </cell>
          <cell r="K145">
            <v>1265.95</v>
          </cell>
          <cell r="M145">
            <v>44704</v>
          </cell>
          <cell r="N145">
            <v>12</v>
          </cell>
          <cell r="P145">
            <v>44704</v>
          </cell>
          <cell r="Q145">
            <v>3</v>
          </cell>
          <cell r="S145">
            <v>44704</v>
          </cell>
          <cell r="T145">
            <v>296592</v>
          </cell>
          <cell r="U145">
            <v>1681</v>
          </cell>
          <cell r="W145">
            <v>44704</v>
          </cell>
          <cell r="X145">
            <v>870916</v>
          </cell>
          <cell r="Y145">
            <v>1424</v>
          </cell>
        </row>
        <row r="146">
          <cell r="A146">
            <v>44705</v>
          </cell>
          <cell r="B146">
            <v>2287.2199999999998</v>
          </cell>
          <cell r="D146">
            <v>44705</v>
          </cell>
          <cell r="E146">
            <v>994.09</v>
          </cell>
          <cell r="G146">
            <v>44705</v>
          </cell>
          <cell r="H146">
            <v>3547.22</v>
          </cell>
          <cell r="J146">
            <v>44705</v>
          </cell>
          <cell r="K146">
            <v>1115.76</v>
          </cell>
          <cell r="M146">
            <v>44705</v>
          </cell>
          <cell r="N146">
            <v>17</v>
          </cell>
          <cell r="P146">
            <v>44705</v>
          </cell>
          <cell r="Q146">
            <v>2</v>
          </cell>
          <cell r="S146">
            <v>44705</v>
          </cell>
          <cell r="T146">
            <v>435732</v>
          </cell>
          <cell r="U146">
            <v>1758</v>
          </cell>
          <cell r="W146">
            <v>44705</v>
          </cell>
          <cell r="X146">
            <v>743473</v>
          </cell>
          <cell r="Y146">
            <v>1289</v>
          </cell>
        </row>
        <row r="147">
          <cell r="A147">
            <v>44706</v>
          </cell>
          <cell r="B147">
            <v>3042.75</v>
          </cell>
          <cell r="D147">
            <v>44706</v>
          </cell>
          <cell r="E147">
            <v>1050.74</v>
          </cell>
          <cell r="G147">
            <v>44706</v>
          </cell>
          <cell r="H147">
            <v>3447.13</v>
          </cell>
          <cell r="J147">
            <v>44706</v>
          </cell>
          <cell r="K147">
            <v>1100.25</v>
          </cell>
          <cell r="M147">
            <v>44706</v>
          </cell>
          <cell r="N147">
            <v>17</v>
          </cell>
          <cell r="P147">
            <v>44706</v>
          </cell>
          <cell r="Q147">
            <v>0</v>
          </cell>
          <cell r="S147">
            <v>44706</v>
          </cell>
          <cell r="T147">
            <v>859912</v>
          </cell>
          <cell r="U147">
            <v>8825</v>
          </cell>
          <cell r="W147">
            <v>44706</v>
          </cell>
          <cell r="X147">
            <v>811392</v>
          </cell>
          <cell r="Y147">
            <v>1161</v>
          </cell>
        </row>
        <row r="148">
          <cell r="A148">
            <v>44707</v>
          </cell>
          <cell r="B148">
            <v>2235.06</v>
          </cell>
          <cell r="D148">
            <v>44707</v>
          </cell>
          <cell r="E148">
            <v>771.02</v>
          </cell>
          <cell r="G148">
            <v>44707</v>
          </cell>
          <cell r="H148">
            <v>3256.13</v>
          </cell>
          <cell r="J148">
            <v>44707</v>
          </cell>
          <cell r="K148">
            <v>1127.3800000000001</v>
          </cell>
          <cell r="M148">
            <v>44707</v>
          </cell>
          <cell r="N148">
            <v>19.670000000000002</v>
          </cell>
          <cell r="P148">
            <v>44707</v>
          </cell>
          <cell r="Q148">
            <v>2</v>
          </cell>
          <cell r="S148">
            <v>44707</v>
          </cell>
          <cell r="T148">
            <v>512563</v>
          </cell>
          <cell r="U148">
            <v>5097</v>
          </cell>
          <cell r="W148">
            <v>44707</v>
          </cell>
          <cell r="X148">
            <v>732439</v>
          </cell>
          <cell r="Y148">
            <v>1054</v>
          </cell>
        </row>
        <row r="149">
          <cell r="A149">
            <v>44708</v>
          </cell>
          <cell r="B149">
            <v>1839.74</v>
          </cell>
          <cell r="D149">
            <v>44708</v>
          </cell>
          <cell r="E149">
            <v>549.08000000000004</v>
          </cell>
          <cell r="G149">
            <v>44708</v>
          </cell>
          <cell r="H149">
            <v>3158.47</v>
          </cell>
          <cell r="J149">
            <v>44708</v>
          </cell>
          <cell r="K149">
            <v>1135.26</v>
          </cell>
          <cell r="M149">
            <v>44708</v>
          </cell>
          <cell r="N149">
            <v>17.829999999999998</v>
          </cell>
          <cell r="P149">
            <v>44708</v>
          </cell>
          <cell r="Q149">
            <v>1</v>
          </cell>
          <cell r="S149">
            <v>44708</v>
          </cell>
          <cell r="T149">
            <v>173163</v>
          </cell>
          <cell r="U149">
            <v>2585</v>
          </cell>
          <cell r="W149">
            <v>44708</v>
          </cell>
          <cell r="X149">
            <v>660350</v>
          </cell>
          <cell r="Y149">
            <v>1066</v>
          </cell>
        </row>
        <row r="150">
          <cell r="A150">
            <v>44709</v>
          </cell>
          <cell r="B150">
            <v>1549.43</v>
          </cell>
          <cell r="D150">
            <v>44709</v>
          </cell>
          <cell r="E150">
            <v>368.65</v>
          </cell>
          <cell r="G150">
            <v>44709</v>
          </cell>
          <cell r="H150">
            <v>3593.68</v>
          </cell>
          <cell r="J150">
            <v>44709</v>
          </cell>
          <cell r="K150">
            <v>1277.8900000000001</v>
          </cell>
          <cell r="M150">
            <v>44709</v>
          </cell>
          <cell r="N150">
            <v>7.5</v>
          </cell>
          <cell r="P150">
            <v>44709</v>
          </cell>
          <cell r="Q150">
            <v>0</v>
          </cell>
          <cell r="S150">
            <v>44709</v>
          </cell>
          <cell r="T150">
            <v>390915</v>
          </cell>
          <cell r="U150">
            <v>5631</v>
          </cell>
          <cell r="W150">
            <v>44709</v>
          </cell>
          <cell r="X150">
            <v>886273</v>
          </cell>
          <cell r="Y150">
            <v>1342</v>
          </cell>
        </row>
        <row r="151">
          <cell r="A151">
            <v>44710</v>
          </cell>
          <cell r="B151">
            <v>1870.31</v>
          </cell>
          <cell r="D151">
            <v>44710</v>
          </cell>
          <cell r="E151">
            <v>304.42</v>
          </cell>
          <cell r="G151">
            <v>44710</v>
          </cell>
          <cell r="H151">
            <v>3682.49</v>
          </cell>
          <cell r="J151">
            <v>44710</v>
          </cell>
          <cell r="K151">
            <v>1317.11</v>
          </cell>
          <cell r="M151">
            <v>44710</v>
          </cell>
          <cell r="N151">
            <v>2</v>
          </cell>
          <cell r="P151">
            <v>44710</v>
          </cell>
          <cell r="Q151">
            <v>0</v>
          </cell>
          <cell r="S151">
            <v>44710</v>
          </cell>
          <cell r="T151">
            <v>274550</v>
          </cell>
          <cell r="U151">
            <v>3685</v>
          </cell>
          <cell r="W151">
            <v>44710</v>
          </cell>
          <cell r="X151">
            <v>1127052</v>
          </cell>
          <cell r="Y151">
            <v>1549</v>
          </cell>
        </row>
        <row r="152">
          <cell r="A152">
            <v>44711</v>
          </cell>
          <cell r="B152">
            <v>2777.67</v>
          </cell>
          <cell r="D152">
            <v>44711</v>
          </cell>
          <cell r="E152">
            <v>630.49</v>
          </cell>
          <cell r="G152">
            <v>44711</v>
          </cell>
          <cell r="H152">
            <v>3473.6</v>
          </cell>
          <cell r="J152">
            <v>44711</v>
          </cell>
          <cell r="K152">
            <v>1244.05</v>
          </cell>
          <cell r="M152">
            <v>44711</v>
          </cell>
          <cell r="N152">
            <v>18.21</v>
          </cell>
          <cell r="P152">
            <v>44711</v>
          </cell>
          <cell r="Q152">
            <v>0</v>
          </cell>
          <cell r="S152">
            <v>44711</v>
          </cell>
          <cell r="T152">
            <v>156290</v>
          </cell>
          <cell r="U152">
            <v>2298</v>
          </cell>
          <cell r="W152">
            <v>44711</v>
          </cell>
          <cell r="X152">
            <v>953302</v>
          </cell>
          <cell r="Y152">
            <v>1294</v>
          </cell>
        </row>
        <row r="153">
          <cell r="A153">
            <v>44712</v>
          </cell>
          <cell r="B153">
            <v>2652.98</v>
          </cell>
          <cell r="D153">
            <v>44712</v>
          </cell>
          <cell r="E153">
            <v>704.54</v>
          </cell>
          <cell r="G153">
            <v>44712</v>
          </cell>
          <cell r="H153">
            <v>3416.33</v>
          </cell>
          <cell r="J153">
            <v>44712</v>
          </cell>
          <cell r="K153">
            <v>1200.78</v>
          </cell>
          <cell r="M153">
            <v>44712</v>
          </cell>
          <cell r="N153">
            <v>18.829999999999998</v>
          </cell>
          <cell r="P153">
            <v>44712</v>
          </cell>
          <cell r="Q153">
            <v>1</v>
          </cell>
          <cell r="S153">
            <v>44712</v>
          </cell>
          <cell r="T153">
            <v>208929</v>
          </cell>
          <cell r="U153">
            <v>3002</v>
          </cell>
          <cell r="W153">
            <v>44712</v>
          </cell>
          <cell r="X153">
            <v>900730</v>
          </cell>
          <cell r="Y153">
            <v>1459</v>
          </cell>
        </row>
        <row r="154">
          <cell r="A154">
            <v>44713</v>
          </cell>
          <cell r="B154">
            <v>2393.5</v>
          </cell>
          <cell r="D154">
            <v>44713</v>
          </cell>
          <cell r="E154">
            <v>772.83</v>
          </cell>
          <cell r="G154">
            <v>44713</v>
          </cell>
          <cell r="H154">
            <v>3301.08</v>
          </cell>
          <cell r="J154">
            <v>44713</v>
          </cell>
          <cell r="K154">
            <v>1057.22</v>
          </cell>
          <cell r="M154">
            <v>44713</v>
          </cell>
          <cell r="N154">
            <v>10</v>
          </cell>
          <cell r="P154">
            <v>44713</v>
          </cell>
          <cell r="Q154">
            <v>2</v>
          </cell>
          <cell r="S154">
            <v>44713</v>
          </cell>
          <cell r="T154">
            <v>170312</v>
          </cell>
          <cell r="U154">
            <v>2897</v>
          </cell>
          <cell r="W154">
            <v>44713</v>
          </cell>
          <cell r="X154">
            <v>873669</v>
          </cell>
          <cell r="Y154">
            <v>1360</v>
          </cell>
        </row>
        <row r="155">
          <cell r="A155">
            <v>44714</v>
          </cell>
          <cell r="B155">
            <v>2396.7800000000002</v>
          </cell>
          <cell r="D155">
            <v>44714</v>
          </cell>
          <cell r="E155">
            <v>617.27</v>
          </cell>
          <cell r="G155">
            <v>44714</v>
          </cell>
          <cell r="H155">
            <v>3285.53</v>
          </cell>
          <cell r="J155">
            <v>44714</v>
          </cell>
          <cell r="K155">
            <v>1025.99</v>
          </cell>
          <cell r="M155">
            <v>44714</v>
          </cell>
          <cell r="N155">
            <v>14.99</v>
          </cell>
          <cell r="P155">
            <v>44714</v>
          </cell>
          <cell r="Q155">
            <v>1</v>
          </cell>
          <cell r="S155">
            <v>44714</v>
          </cell>
          <cell r="T155">
            <v>175172</v>
          </cell>
          <cell r="U155">
            <v>3138</v>
          </cell>
          <cell r="W155">
            <v>44714</v>
          </cell>
          <cell r="X155">
            <v>894780</v>
          </cell>
          <cell r="Y155">
            <v>1310</v>
          </cell>
        </row>
        <row r="156">
          <cell r="A156">
            <v>44715</v>
          </cell>
          <cell r="B156">
            <v>2146.4699999999998</v>
          </cell>
          <cell r="D156">
            <v>44715</v>
          </cell>
          <cell r="E156">
            <v>506.96</v>
          </cell>
          <cell r="G156">
            <v>44715</v>
          </cell>
          <cell r="H156">
            <v>3255.47</v>
          </cell>
          <cell r="J156">
            <v>44715</v>
          </cell>
          <cell r="K156">
            <v>1019.04</v>
          </cell>
          <cell r="M156">
            <v>44715</v>
          </cell>
          <cell r="N156">
            <v>15.97</v>
          </cell>
          <cell r="P156">
            <v>44715</v>
          </cell>
          <cell r="Q156">
            <v>0</v>
          </cell>
          <cell r="S156">
            <v>44715</v>
          </cell>
          <cell r="T156">
            <v>186277</v>
          </cell>
          <cell r="U156">
            <v>3121</v>
          </cell>
          <cell r="W156">
            <v>44715</v>
          </cell>
          <cell r="X156">
            <v>858036</v>
          </cell>
          <cell r="Y156">
            <v>1163</v>
          </cell>
        </row>
        <row r="157">
          <cell r="A157">
            <v>44716</v>
          </cell>
          <cell r="B157">
            <v>1576.58</v>
          </cell>
          <cell r="D157">
            <v>44716</v>
          </cell>
          <cell r="E157">
            <v>631.91999999999996</v>
          </cell>
          <cell r="G157">
            <v>44716</v>
          </cell>
          <cell r="H157">
            <v>3613.75</v>
          </cell>
          <cell r="J157">
            <v>44716</v>
          </cell>
          <cell r="K157">
            <v>1146.5</v>
          </cell>
          <cell r="M157">
            <v>44716</v>
          </cell>
          <cell r="N157">
            <v>14.04</v>
          </cell>
          <cell r="P157">
            <v>44716</v>
          </cell>
          <cell r="Q157">
            <v>0</v>
          </cell>
          <cell r="S157">
            <v>44716</v>
          </cell>
          <cell r="T157">
            <v>170095</v>
          </cell>
          <cell r="U157">
            <v>2875</v>
          </cell>
          <cell r="W157">
            <v>44716</v>
          </cell>
          <cell r="X157">
            <v>1093675</v>
          </cell>
          <cell r="Y157">
            <v>1548</v>
          </cell>
        </row>
        <row r="158">
          <cell r="A158">
            <v>44717</v>
          </cell>
          <cell r="B158">
            <v>1688.51</v>
          </cell>
          <cell r="D158">
            <v>44717</v>
          </cell>
          <cell r="E158">
            <v>578.22</v>
          </cell>
          <cell r="G158">
            <v>44717</v>
          </cell>
          <cell r="H158">
            <v>3684.05</v>
          </cell>
          <cell r="J158">
            <v>44717</v>
          </cell>
          <cell r="K158">
            <v>1150.9100000000001</v>
          </cell>
          <cell r="M158">
            <v>44717</v>
          </cell>
          <cell r="N158">
            <v>12.08</v>
          </cell>
          <cell r="P158">
            <v>44717</v>
          </cell>
          <cell r="Q158">
            <v>1</v>
          </cell>
          <cell r="S158">
            <v>44717</v>
          </cell>
          <cell r="T158">
            <v>239474</v>
          </cell>
          <cell r="U158">
            <v>3411</v>
          </cell>
          <cell r="W158">
            <v>44717</v>
          </cell>
          <cell r="X158">
            <v>1134591</v>
          </cell>
          <cell r="Y158">
            <v>1647</v>
          </cell>
        </row>
        <row r="159">
          <cell r="A159">
            <v>44718</v>
          </cell>
          <cell r="B159">
            <v>2431.79</v>
          </cell>
          <cell r="D159">
            <v>44718</v>
          </cell>
          <cell r="E159">
            <v>1050.71</v>
          </cell>
          <cell r="G159">
            <v>44718</v>
          </cell>
          <cell r="H159">
            <v>3493.39</v>
          </cell>
          <cell r="J159">
            <v>44718</v>
          </cell>
          <cell r="K159">
            <v>1125.8</v>
          </cell>
          <cell r="M159">
            <v>44718</v>
          </cell>
          <cell r="N159">
            <v>18</v>
          </cell>
          <cell r="P159">
            <v>44718</v>
          </cell>
          <cell r="Q159">
            <v>4</v>
          </cell>
          <cell r="S159">
            <v>44718</v>
          </cell>
          <cell r="T159">
            <v>187921</v>
          </cell>
          <cell r="U159">
            <v>3316</v>
          </cell>
          <cell r="W159">
            <v>44718</v>
          </cell>
          <cell r="X159">
            <v>978867</v>
          </cell>
          <cell r="Y159">
            <v>1580</v>
          </cell>
        </row>
        <row r="160">
          <cell r="A160">
            <v>44719</v>
          </cell>
          <cell r="B160">
            <v>2997.95</v>
          </cell>
          <cell r="D160">
            <v>44719</v>
          </cell>
          <cell r="E160">
            <v>819.73</v>
          </cell>
          <cell r="G160">
            <v>44719</v>
          </cell>
          <cell r="H160">
            <v>3372.31</v>
          </cell>
          <cell r="J160">
            <v>44719</v>
          </cell>
          <cell r="K160">
            <v>1070.71</v>
          </cell>
          <cell r="M160">
            <v>44719</v>
          </cell>
          <cell r="N160">
            <v>14</v>
          </cell>
          <cell r="P160">
            <v>44719</v>
          </cell>
          <cell r="Q160">
            <v>4</v>
          </cell>
          <cell r="S160">
            <v>44719</v>
          </cell>
          <cell r="T160">
            <v>204095</v>
          </cell>
          <cell r="U160">
            <v>3214</v>
          </cell>
          <cell r="W160">
            <v>44719</v>
          </cell>
          <cell r="X160">
            <v>878629</v>
          </cell>
          <cell r="Y160">
            <v>1485</v>
          </cell>
        </row>
        <row r="161">
          <cell r="A161">
            <v>44720</v>
          </cell>
          <cell r="B161">
            <v>2884.51</v>
          </cell>
          <cell r="D161">
            <v>44720</v>
          </cell>
          <cell r="E161">
            <v>922.69</v>
          </cell>
          <cell r="G161">
            <v>44720</v>
          </cell>
          <cell r="H161">
            <v>3192.46</v>
          </cell>
          <cell r="J161">
            <v>44720</v>
          </cell>
          <cell r="K161">
            <v>1042.6199999999999</v>
          </cell>
          <cell r="M161">
            <v>44720</v>
          </cell>
          <cell r="N161">
            <v>16.190000000000001</v>
          </cell>
          <cell r="P161">
            <v>44720</v>
          </cell>
          <cell r="Q161">
            <v>10.67</v>
          </cell>
          <cell r="S161">
            <v>44720</v>
          </cell>
          <cell r="T161">
            <v>271709</v>
          </cell>
          <cell r="U161">
            <v>3866</v>
          </cell>
          <cell r="W161">
            <v>44720</v>
          </cell>
          <cell r="X161">
            <v>747581</v>
          </cell>
          <cell r="Y161">
            <v>1460</v>
          </cell>
        </row>
        <row r="162">
          <cell r="A162">
            <v>44721</v>
          </cell>
          <cell r="B162">
            <v>2779.03</v>
          </cell>
          <cell r="D162">
            <v>44721</v>
          </cell>
          <cell r="E162">
            <v>734.22</v>
          </cell>
          <cell r="G162">
            <v>44721</v>
          </cell>
          <cell r="H162">
            <v>3167.08</v>
          </cell>
          <cell r="J162">
            <v>44721</v>
          </cell>
          <cell r="K162">
            <v>916.93</v>
          </cell>
          <cell r="M162">
            <v>44721</v>
          </cell>
          <cell r="N162">
            <v>12.1</v>
          </cell>
          <cell r="P162">
            <v>44721</v>
          </cell>
          <cell r="Q162">
            <v>20.63</v>
          </cell>
          <cell r="S162">
            <v>44721</v>
          </cell>
          <cell r="T162">
            <v>297079</v>
          </cell>
          <cell r="U162">
            <v>4208</v>
          </cell>
          <cell r="W162">
            <v>44721</v>
          </cell>
          <cell r="X162">
            <v>700922</v>
          </cell>
          <cell r="Y162">
            <v>1295</v>
          </cell>
        </row>
        <row r="163">
          <cell r="A163">
            <v>44722</v>
          </cell>
          <cell r="B163">
            <v>1794.83</v>
          </cell>
          <cell r="D163">
            <v>44722</v>
          </cell>
          <cell r="E163">
            <v>607.22</v>
          </cell>
          <cell r="G163">
            <v>44722</v>
          </cell>
          <cell r="H163">
            <v>2663.06</v>
          </cell>
          <cell r="J163">
            <v>44722</v>
          </cell>
          <cell r="K163">
            <v>750.71</v>
          </cell>
          <cell r="M163">
            <v>44722</v>
          </cell>
          <cell r="N163">
            <v>9.15</v>
          </cell>
          <cell r="P163">
            <v>44722</v>
          </cell>
          <cell r="Q163">
            <v>11.25</v>
          </cell>
          <cell r="S163">
            <v>44722</v>
          </cell>
          <cell r="T163">
            <v>175784</v>
          </cell>
          <cell r="U163">
            <v>3036</v>
          </cell>
          <cell r="W163">
            <v>44722</v>
          </cell>
          <cell r="X163">
            <v>575853</v>
          </cell>
          <cell r="Y163">
            <v>963</v>
          </cell>
        </row>
        <row r="164">
          <cell r="A164">
            <v>44723</v>
          </cell>
          <cell r="B164">
            <v>1509.51</v>
          </cell>
          <cell r="D164">
            <v>44723</v>
          </cell>
          <cell r="E164">
            <v>333.09</v>
          </cell>
          <cell r="G164">
            <v>44723</v>
          </cell>
          <cell r="H164">
            <v>1223.6199999999999</v>
          </cell>
          <cell r="J164">
            <v>44723</v>
          </cell>
          <cell r="K164">
            <v>373.93</v>
          </cell>
          <cell r="M164">
            <v>44723</v>
          </cell>
          <cell r="N164">
            <v>15.75</v>
          </cell>
          <cell r="P164">
            <v>44723</v>
          </cell>
          <cell r="Q164">
            <v>15.67</v>
          </cell>
          <cell r="S164">
            <v>44723</v>
          </cell>
          <cell r="T164">
            <v>140163</v>
          </cell>
          <cell r="U164">
            <v>2384</v>
          </cell>
          <cell r="W164">
            <v>44723</v>
          </cell>
          <cell r="X164">
            <v>269997</v>
          </cell>
          <cell r="Y164">
            <v>493</v>
          </cell>
        </row>
        <row r="165">
          <cell r="A165">
            <v>44724</v>
          </cell>
          <cell r="B165">
            <v>1612.96</v>
          </cell>
          <cell r="D165">
            <v>44724</v>
          </cell>
          <cell r="E165">
            <v>642.62</v>
          </cell>
          <cell r="G165">
            <v>44724</v>
          </cell>
          <cell r="H165">
            <v>567.5</v>
          </cell>
          <cell r="J165">
            <v>44724</v>
          </cell>
          <cell r="K165">
            <v>176.57</v>
          </cell>
          <cell r="M165">
            <v>44724</v>
          </cell>
          <cell r="N165">
            <v>9.83</v>
          </cell>
          <cell r="P165">
            <v>44724</v>
          </cell>
          <cell r="Q165">
            <v>19.899999999999999</v>
          </cell>
          <cell r="S165">
            <v>44724</v>
          </cell>
          <cell r="T165">
            <v>196959</v>
          </cell>
          <cell r="U165">
            <v>3655</v>
          </cell>
          <cell r="W165">
            <v>44724</v>
          </cell>
          <cell r="X165">
            <v>134461</v>
          </cell>
          <cell r="Y165">
            <v>235</v>
          </cell>
        </row>
        <row r="166">
          <cell r="A166">
            <v>44725</v>
          </cell>
          <cell r="B166">
            <v>1793.2</v>
          </cell>
          <cell r="D166">
            <v>44725</v>
          </cell>
          <cell r="E166">
            <v>428.7</v>
          </cell>
          <cell r="G166">
            <v>44725</v>
          </cell>
          <cell r="H166">
            <v>2053</v>
          </cell>
          <cell r="J166">
            <v>44725</v>
          </cell>
          <cell r="K166">
            <v>635.84</v>
          </cell>
          <cell r="M166">
            <v>44725</v>
          </cell>
          <cell r="N166">
            <v>22.81</v>
          </cell>
          <cell r="P166">
            <v>44725</v>
          </cell>
          <cell r="Q166">
            <v>20.93</v>
          </cell>
          <cell r="S166">
            <v>44725</v>
          </cell>
          <cell r="T166">
            <v>134073</v>
          </cell>
          <cell r="U166">
            <v>2359</v>
          </cell>
          <cell r="W166">
            <v>44725</v>
          </cell>
          <cell r="X166">
            <v>556506</v>
          </cell>
          <cell r="Y166">
            <v>813</v>
          </cell>
        </row>
        <row r="167">
          <cell r="A167">
            <v>44726</v>
          </cell>
          <cell r="B167">
            <v>1734.5</v>
          </cell>
          <cell r="D167">
            <v>44726</v>
          </cell>
          <cell r="E167">
            <v>527.89</v>
          </cell>
          <cell r="G167">
            <v>44726</v>
          </cell>
          <cell r="H167">
            <v>1815.6</v>
          </cell>
          <cell r="J167">
            <v>44726</v>
          </cell>
          <cell r="K167">
            <v>661.95</v>
          </cell>
          <cell r="M167">
            <v>44726</v>
          </cell>
          <cell r="N167">
            <v>20.34</v>
          </cell>
          <cell r="P167">
            <v>44726</v>
          </cell>
          <cell r="Q167">
            <v>18.760000000000002</v>
          </cell>
          <cell r="S167">
            <v>44726</v>
          </cell>
          <cell r="T167">
            <v>129748</v>
          </cell>
          <cell r="U167">
            <v>2264</v>
          </cell>
          <cell r="W167">
            <v>44726</v>
          </cell>
          <cell r="X167">
            <v>511856</v>
          </cell>
          <cell r="Y167">
            <v>787</v>
          </cell>
        </row>
        <row r="168">
          <cell r="A168">
            <v>44727</v>
          </cell>
          <cell r="B168">
            <v>1469.01</v>
          </cell>
          <cell r="D168">
            <v>44727</v>
          </cell>
          <cell r="E168">
            <v>478.46</v>
          </cell>
          <cell r="G168">
            <v>44727</v>
          </cell>
          <cell r="H168">
            <v>1694.28</v>
          </cell>
          <cell r="J168">
            <v>44727</v>
          </cell>
          <cell r="K168">
            <v>522.16999999999996</v>
          </cell>
          <cell r="M168">
            <v>44727</v>
          </cell>
          <cell r="N168">
            <v>15.37</v>
          </cell>
          <cell r="P168">
            <v>44727</v>
          </cell>
          <cell r="Q168">
            <v>22.5</v>
          </cell>
          <cell r="S168">
            <v>44727</v>
          </cell>
          <cell r="T168">
            <v>98156</v>
          </cell>
          <cell r="U168">
            <v>1768</v>
          </cell>
          <cell r="W168">
            <v>44727</v>
          </cell>
          <cell r="X168">
            <v>406158</v>
          </cell>
          <cell r="Y168">
            <v>562</v>
          </cell>
        </row>
        <row r="169">
          <cell r="A169">
            <v>44728</v>
          </cell>
          <cell r="B169">
            <v>1761.11</v>
          </cell>
          <cell r="D169">
            <v>44728</v>
          </cell>
          <cell r="E169">
            <v>448.15</v>
          </cell>
          <cell r="G169">
            <v>44728</v>
          </cell>
          <cell r="H169">
            <v>1542.19</v>
          </cell>
          <cell r="J169">
            <v>44728</v>
          </cell>
          <cell r="K169">
            <v>419.12</v>
          </cell>
          <cell r="M169">
            <v>44728</v>
          </cell>
          <cell r="N169">
            <v>19.03</v>
          </cell>
          <cell r="P169">
            <v>44728</v>
          </cell>
          <cell r="Q169">
            <v>25.45</v>
          </cell>
          <cell r="S169">
            <v>44728</v>
          </cell>
          <cell r="T169">
            <v>101174</v>
          </cell>
          <cell r="U169">
            <v>2047</v>
          </cell>
          <cell r="W169">
            <v>44728</v>
          </cell>
          <cell r="X169">
            <v>401085</v>
          </cell>
          <cell r="Y169">
            <v>624</v>
          </cell>
        </row>
        <row r="170">
          <cell r="A170">
            <v>44729</v>
          </cell>
          <cell r="B170">
            <v>1146.0899999999999</v>
          </cell>
          <cell r="D170">
            <v>44729</v>
          </cell>
          <cell r="E170">
            <v>333.32</v>
          </cell>
          <cell r="G170">
            <v>44729</v>
          </cell>
          <cell r="H170">
            <v>1479.6</v>
          </cell>
          <cell r="J170">
            <v>44729</v>
          </cell>
          <cell r="K170">
            <v>301.44</v>
          </cell>
          <cell r="M170">
            <v>44729</v>
          </cell>
          <cell r="N170">
            <v>11.02</v>
          </cell>
          <cell r="P170">
            <v>44729</v>
          </cell>
          <cell r="Q170">
            <v>19.3</v>
          </cell>
          <cell r="S170">
            <v>44729</v>
          </cell>
          <cell r="T170">
            <v>76916</v>
          </cell>
          <cell r="U170">
            <v>1494</v>
          </cell>
          <cell r="W170">
            <v>44729</v>
          </cell>
          <cell r="X170">
            <v>397065</v>
          </cell>
          <cell r="Y170">
            <v>613</v>
          </cell>
        </row>
        <row r="171">
          <cell r="A171">
            <v>44730</v>
          </cell>
          <cell r="B171">
            <v>1065.58</v>
          </cell>
          <cell r="D171">
            <v>44730</v>
          </cell>
          <cell r="E171">
            <v>437.23</v>
          </cell>
          <cell r="G171">
            <v>44730</v>
          </cell>
          <cell r="H171">
            <v>919.08</v>
          </cell>
          <cell r="J171">
            <v>44730</v>
          </cell>
          <cell r="K171">
            <v>0</v>
          </cell>
          <cell r="M171">
            <v>44730</v>
          </cell>
          <cell r="N171">
            <v>16</v>
          </cell>
          <cell r="P171">
            <v>44730</v>
          </cell>
          <cell r="Q171">
            <v>20.2</v>
          </cell>
          <cell r="S171">
            <v>44730</v>
          </cell>
          <cell r="T171">
            <v>90490</v>
          </cell>
          <cell r="U171">
            <v>1427</v>
          </cell>
          <cell r="W171">
            <v>44730</v>
          </cell>
          <cell r="X171">
            <v>272610</v>
          </cell>
          <cell r="Y171">
            <v>278</v>
          </cell>
        </row>
        <row r="172">
          <cell r="A172">
            <v>44731</v>
          </cell>
          <cell r="B172">
            <v>1277.3499999999999</v>
          </cell>
          <cell r="D172">
            <v>44731</v>
          </cell>
          <cell r="E172">
            <v>658.18</v>
          </cell>
          <cell r="G172">
            <v>44731</v>
          </cell>
          <cell r="H172">
            <v>966.92</v>
          </cell>
          <cell r="J172">
            <v>44731</v>
          </cell>
          <cell r="K172">
            <v>0</v>
          </cell>
          <cell r="M172">
            <v>44731</v>
          </cell>
          <cell r="N172">
            <v>10.95</v>
          </cell>
          <cell r="P172">
            <v>44731</v>
          </cell>
          <cell r="Q172">
            <v>29.24</v>
          </cell>
          <cell r="S172">
            <v>44731</v>
          </cell>
          <cell r="T172">
            <v>112086</v>
          </cell>
          <cell r="U172">
            <v>1644</v>
          </cell>
          <cell r="W172">
            <v>44731</v>
          </cell>
          <cell r="X172">
            <v>322295</v>
          </cell>
          <cell r="Y172">
            <v>376</v>
          </cell>
        </row>
        <row r="173">
          <cell r="A173">
            <v>44732</v>
          </cell>
          <cell r="B173">
            <v>1846.53</v>
          </cell>
          <cell r="D173">
            <v>44732</v>
          </cell>
          <cell r="E173">
            <v>478.77</v>
          </cell>
          <cell r="G173">
            <v>44732</v>
          </cell>
          <cell r="H173">
            <v>917.67</v>
          </cell>
          <cell r="J173">
            <v>44732</v>
          </cell>
          <cell r="K173">
            <v>264.98</v>
          </cell>
          <cell r="M173">
            <v>44732</v>
          </cell>
          <cell r="N173">
            <v>10.050000000000001</v>
          </cell>
          <cell r="P173">
            <v>44732</v>
          </cell>
          <cell r="Q173">
            <v>32.93</v>
          </cell>
          <cell r="S173">
            <v>44732</v>
          </cell>
          <cell r="T173">
            <v>106185</v>
          </cell>
          <cell r="U173">
            <v>1767</v>
          </cell>
          <cell r="W173">
            <v>44732</v>
          </cell>
          <cell r="X173">
            <v>326849</v>
          </cell>
          <cell r="Y173">
            <v>350</v>
          </cell>
        </row>
        <row r="174">
          <cell r="A174">
            <v>44733</v>
          </cell>
          <cell r="B174">
            <v>1826.58</v>
          </cell>
          <cell r="D174">
            <v>44733</v>
          </cell>
          <cell r="E174">
            <v>579.91</v>
          </cell>
          <cell r="G174">
            <v>44733</v>
          </cell>
          <cell r="H174">
            <v>1161.6600000000001</v>
          </cell>
          <cell r="J174">
            <v>44733</v>
          </cell>
          <cell r="K174">
            <v>400.83</v>
          </cell>
          <cell r="M174">
            <v>44733</v>
          </cell>
          <cell r="N174">
            <v>9</v>
          </cell>
          <cell r="P174">
            <v>44733</v>
          </cell>
          <cell r="Q174">
            <v>14.95</v>
          </cell>
          <cell r="S174">
            <v>44733</v>
          </cell>
          <cell r="T174">
            <v>112730</v>
          </cell>
          <cell r="U174">
            <v>1851</v>
          </cell>
          <cell r="W174">
            <v>44733</v>
          </cell>
          <cell r="X174">
            <v>385068</v>
          </cell>
          <cell r="Y174">
            <v>489</v>
          </cell>
        </row>
        <row r="175">
          <cell r="A175">
            <v>44734</v>
          </cell>
          <cell r="B175">
            <v>1310.6199999999999</v>
          </cell>
          <cell r="D175">
            <v>44734</v>
          </cell>
          <cell r="E175">
            <v>589.59</v>
          </cell>
          <cell r="G175">
            <v>44734</v>
          </cell>
          <cell r="H175">
            <v>1223.99</v>
          </cell>
          <cell r="J175">
            <v>44734</v>
          </cell>
          <cell r="K175">
            <v>416</v>
          </cell>
          <cell r="M175">
            <v>44734</v>
          </cell>
          <cell r="N175">
            <v>9.01</v>
          </cell>
          <cell r="P175">
            <v>44734</v>
          </cell>
          <cell r="Q175">
            <v>23.75</v>
          </cell>
          <cell r="S175">
            <v>44734</v>
          </cell>
          <cell r="T175">
            <v>90575</v>
          </cell>
          <cell r="U175">
            <v>1679</v>
          </cell>
          <cell r="W175">
            <v>44734</v>
          </cell>
          <cell r="X175">
            <v>339416</v>
          </cell>
          <cell r="Y175">
            <v>432</v>
          </cell>
        </row>
        <row r="176">
          <cell r="A176">
            <v>44735</v>
          </cell>
          <cell r="B176">
            <v>1166.29</v>
          </cell>
          <cell r="D176">
            <v>44735</v>
          </cell>
          <cell r="E176">
            <v>289.08</v>
          </cell>
          <cell r="G176">
            <v>44735</v>
          </cell>
          <cell r="H176">
            <v>1246.42</v>
          </cell>
          <cell r="J176">
            <v>44735</v>
          </cell>
          <cell r="K176">
            <v>419.12</v>
          </cell>
          <cell r="M176">
            <v>44735</v>
          </cell>
          <cell r="N176">
            <v>12.93</v>
          </cell>
          <cell r="P176">
            <v>44735</v>
          </cell>
          <cell r="Q176">
            <v>11</v>
          </cell>
          <cell r="S176">
            <v>44735</v>
          </cell>
          <cell r="T176">
            <v>70223</v>
          </cell>
          <cell r="U176">
            <v>1174</v>
          </cell>
          <cell r="W176">
            <v>44735</v>
          </cell>
          <cell r="X176">
            <v>354157</v>
          </cell>
          <cell r="Y176">
            <v>486</v>
          </cell>
        </row>
        <row r="177">
          <cell r="A177">
            <v>44736</v>
          </cell>
          <cell r="B177">
            <v>903.39</v>
          </cell>
          <cell r="D177">
            <v>44736</v>
          </cell>
          <cell r="E177">
            <v>225.98</v>
          </cell>
          <cell r="G177">
            <v>44736</v>
          </cell>
          <cell r="H177">
            <v>745.78</v>
          </cell>
          <cell r="J177">
            <v>44736</v>
          </cell>
          <cell r="K177">
            <v>427.73</v>
          </cell>
          <cell r="M177">
            <v>44736</v>
          </cell>
          <cell r="N177">
            <v>8.01</v>
          </cell>
          <cell r="P177">
            <v>44736</v>
          </cell>
          <cell r="Q177">
            <v>10.92</v>
          </cell>
          <cell r="S177">
            <v>44736</v>
          </cell>
          <cell r="T177">
            <v>80915</v>
          </cell>
          <cell r="U177">
            <v>1198</v>
          </cell>
          <cell r="W177">
            <v>44736</v>
          </cell>
          <cell r="X177">
            <v>267555</v>
          </cell>
          <cell r="Y177">
            <v>323</v>
          </cell>
        </row>
        <row r="178">
          <cell r="A178">
            <v>44737</v>
          </cell>
          <cell r="B178">
            <v>651.85</v>
          </cell>
          <cell r="D178">
            <v>44737</v>
          </cell>
          <cell r="E178">
            <v>583.97</v>
          </cell>
          <cell r="G178">
            <v>44737</v>
          </cell>
          <cell r="H178">
            <v>221.56</v>
          </cell>
          <cell r="J178">
            <v>44737</v>
          </cell>
          <cell r="K178">
            <v>375.97</v>
          </cell>
          <cell r="M178">
            <v>44737</v>
          </cell>
          <cell r="N178">
            <v>9.4700000000000006</v>
          </cell>
          <cell r="P178">
            <v>44737</v>
          </cell>
          <cell r="Q178">
            <v>41.11</v>
          </cell>
          <cell r="S178">
            <v>44737</v>
          </cell>
          <cell r="T178">
            <v>98170</v>
          </cell>
          <cell r="U178">
            <v>1581</v>
          </cell>
          <cell r="W178">
            <v>44737</v>
          </cell>
          <cell r="X178">
            <v>176680</v>
          </cell>
          <cell r="Y178">
            <v>117</v>
          </cell>
        </row>
        <row r="179">
          <cell r="A179">
            <v>44738</v>
          </cell>
          <cell r="B179">
            <v>861.46</v>
          </cell>
          <cell r="D179">
            <v>44738</v>
          </cell>
          <cell r="E179">
            <v>440.31</v>
          </cell>
          <cell r="G179">
            <v>44738</v>
          </cell>
          <cell r="H179">
            <v>246.92</v>
          </cell>
          <cell r="J179">
            <v>44738</v>
          </cell>
          <cell r="K179">
            <v>418.49</v>
          </cell>
          <cell r="M179">
            <v>44738</v>
          </cell>
          <cell r="N179">
            <v>11.24</v>
          </cell>
          <cell r="P179">
            <v>44738</v>
          </cell>
          <cell r="Q179">
            <v>24.72</v>
          </cell>
          <cell r="S179">
            <v>44738</v>
          </cell>
          <cell r="T179">
            <v>91361</v>
          </cell>
          <cell r="U179">
            <v>1359</v>
          </cell>
          <cell r="W179">
            <v>44738</v>
          </cell>
          <cell r="X179">
            <v>215659</v>
          </cell>
          <cell r="Y179">
            <v>150</v>
          </cell>
        </row>
        <row r="180">
          <cell r="A180">
            <v>44739</v>
          </cell>
          <cell r="B180">
            <v>1217.55</v>
          </cell>
          <cell r="D180">
            <v>44739</v>
          </cell>
          <cell r="E180">
            <v>544.64</v>
          </cell>
          <cell r="G180">
            <v>44739</v>
          </cell>
          <cell r="H180">
            <v>1267.26</v>
          </cell>
          <cell r="J180">
            <v>44739</v>
          </cell>
          <cell r="K180">
            <v>424.02</v>
          </cell>
          <cell r="M180">
            <v>44739</v>
          </cell>
          <cell r="N180">
            <v>14.55</v>
          </cell>
          <cell r="P180">
            <v>44739</v>
          </cell>
          <cell r="Q180">
            <v>9.5500000000000007</v>
          </cell>
          <cell r="S180">
            <v>44739</v>
          </cell>
          <cell r="T180">
            <v>84285</v>
          </cell>
          <cell r="U180">
            <v>1628</v>
          </cell>
          <cell r="W180">
            <v>44739</v>
          </cell>
          <cell r="X180">
            <v>348987</v>
          </cell>
          <cell r="Y180">
            <v>396</v>
          </cell>
        </row>
        <row r="181">
          <cell r="A181">
            <v>44740</v>
          </cell>
          <cell r="B181">
            <v>1477.96</v>
          </cell>
          <cell r="D181">
            <v>44740</v>
          </cell>
          <cell r="E181">
            <v>573.16</v>
          </cell>
          <cell r="G181">
            <v>44740</v>
          </cell>
          <cell r="H181">
            <v>1515.87</v>
          </cell>
          <cell r="J181">
            <v>44740</v>
          </cell>
          <cell r="K181">
            <v>424.14</v>
          </cell>
          <cell r="M181">
            <v>44740</v>
          </cell>
          <cell r="N181">
            <v>13</v>
          </cell>
          <cell r="P181">
            <v>44740</v>
          </cell>
          <cell r="Q181">
            <v>10.14</v>
          </cell>
          <cell r="S181">
            <v>44740</v>
          </cell>
          <cell r="T181">
            <v>96751</v>
          </cell>
          <cell r="U181">
            <v>1777</v>
          </cell>
          <cell r="W181">
            <v>44740</v>
          </cell>
          <cell r="X181">
            <v>352774</v>
          </cell>
          <cell r="Y181">
            <v>540</v>
          </cell>
        </row>
        <row r="182">
          <cell r="A182">
            <v>44741</v>
          </cell>
          <cell r="B182">
            <v>1181.52</v>
          </cell>
          <cell r="D182">
            <v>44741</v>
          </cell>
          <cell r="E182">
            <v>349.92</v>
          </cell>
          <cell r="G182">
            <v>44741</v>
          </cell>
          <cell r="H182">
            <v>1474.01</v>
          </cell>
          <cell r="J182">
            <v>44741</v>
          </cell>
          <cell r="K182">
            <v>422.51</v>
          </cell>
          <cell r="M182">
            <v>44741</v>
          </cell>
          <cell r="N182">
            <v>7.45</v>
          </cell>
          <cell r="P182">
            <v>44741</v>
          </cell>
          <cell r="Q182">
            <v>10.25</v>
          </cell>
          <cell r="S182">
            <v>44741</v>
          </cell>
          <cell r="T182">
            <v>88239</v>
          </cell>
          <cell r="U182">
            <v>1577</v>
          </cell>
          <cell r="W182">
            <v>44741</v>
          </cell>
          <cell r="X182">
            <v>385294</v>
          </cell>
          <cell r="Y182">
            <v>535</v>
          </cell>
        </row>
        <row r="183">
          <cell r="A183">
            <v>44742</v>
          </cell>
          <cell r="B183">
            <v>1258.56</v>
          </cell>
          <cell r="D183">
            <v>44742</v>
          </cell>
          <cell r="E183">
            <v>291.73</v>
          </cell>
          <cell r="G183">
            <v>44742</v>
          </cell>
          <cell r="H183">
            <v>1267.0899999999999</v>
          </cell>
          <cell r="J183">
            <v>44742</v>
          </cell>
          <cell r="K183">
            <v>432.12</v>
          </cell>
          <cell r="M183">
            <v>44742</v>
          </cell>
          <cell r="N183">
            <v>9.4600000000000009</v>
          </cell>
          <cell r="P183">
            <v>44742</v>
          </cell>
          <cell r="Q183">
            <v>5</v>
          </cell>
          <cell r="S183">
            <v>44742</v>
          </cell>
          <cell r="T183">
            <v>73908</v>
          </cell>
          <cell r="U183">
            <v>1215</v>
          </cell>
          <cell r="W183">
            <v>44742</v>
          </cell>
          <cell r="X183">
            <v>298877</v>
          </cell>
          <cell r="Y183">
            <v>424</v>
          </cell>
        </row>
        <row r="184">
          <cell r="A184">
            <v>44743</v>
          </cell>
          <cell r="B184">
            <v>1350.22</v>
          </cell>
          <cell r="D184">
            <v>44743</v>
          </cell>
          <cell r="E184">
            <v>373.54</v>
          </cell>
          <cell r="G184">
            <v>44743</v>
          </cell>
          <cell r="H184">
            <v>985.68</v>
          </cell>
          <cell r="J184">
            <v>44743</v>
          </cell>
          <cell r="K184">
            <v>440.12</v>
          </cell>
          <cell r="M184">
            <v>44743</v>
          </cell>
          <cell r="N184">
            <v>3.47</v>
          </cell>
          <cell r="P184">
            <v>44743</v>
          </cell>
          <cell r="Q184">
            <v>6.86</v>
          </cell>
          <cell r="S184">
            <v>44743</v>
          </cell>
          <cell r="T184">
            <v>107813</v>
          </cell>
          <cell r="U184">
            <v>1596</v>
          </cell>
          <cell r="W184">
            <v>44743</v>
          </cell>
          <cell r="X184">
            <v>279184</v>
          </cell>
          <cell r="Y184">
            <v>394</v>
          </cell>
        </row>
        <row r="185">
          <cell r="A185">
            <v>44744</v>
          </cell>
          <cell r="B185">
            <v>894.43</v>
          </cell>
          <cell r="D185">
            <v>44744</v>
          </cell>
          <cell r="E185">
            <v>453.02</v>
          </cell>
          <cell r="G185">
            <v>44744</v>
          </cell>
          <cell r="H185">
            <v>234.31</v>
          </cell>
          <cell r="J185">
            <v>44744</v>
          </cell>
          <cell r="K185">
            <v>467.13</v>
          </cell>
          <cell r="M185">
            <v>44744</v>
          </cell>
          <cell r="N185">
            <v>9.7200000000000006</v>
          </cell>
          <cell r="P185">
            <v>44744</v>
          </cell>
          <cell r="Q185">
            <v>7.7</v>
          </cell>
          <cell r="S185">
            <v>44744</v>
          </cell>
          <cell r="T185">
            <v>93030</v>
          </cell>
          <cell r="U185">
            <v>1405</v>
          </cell>
          <cell r="W185">
            <v>44744</v>
          </cell>
          <cell r="X185">
            <v>158822</v>
          </cell>
          <cell r="Y185">
            <v>185</v>
          </cell>
        </row>
        <row r="186">
          <cell r="A186">
            <v>44745</v>
          </cell>
          <cell r="B186">
            <v>758.8</v>
          </cell>
          <cell r="D186">
            <v>44745</v>
          </cell>
          <cell r="E186">
            <v>467.04</v>
          </cell>
          <cell r="G186">
            <v>44745</v>
          </cell>
          <cell r="H186">
            <v>259.51</v>
          </cell>
          <cell r="J186">
            <v>44745</v>
          </cell>
          <cell r="K186">
            <v>484.9</v>
          </cell>
          <cell r="M186">
            <v>44745</v>
          </cell>
          <cell r="N186">
            <v>9.99</v>
          </cell>
          <cell r="P186">
            <v>44745</v>
          </cell>
          <cell r="Q186">
            <v>11.71</v>
          </cell>
          <cell r="S186">
            <v>44745</v>
          </cell>
          <cell r="T186">
            <v>119509</v>
          </cell>
          <cell r="U186">
            <v>1549</v>
          </cell>
          <cell r="W186">
            <v>44745</v>
          </cell>
          <cell r="X186">
            <v>188855</v>
          </cell>
          <cell r="Y186">
            <v>265</v>
          </cell>
        </row>
        <row r="187">
          <cell r="A187">
            <v>44746</v>
          </cell>
          <cell r="B187">
            <v>1133.77</v>
          </cell>
          <cell r="D187">
            <v>44746</v>
          </cell>
          <cell r="E187">
            <v>628.96</v>
          </cell>
          <cell r="G187">
            <v>44746</v>
          </cell>
          <cell r="H187">
            <v>928.6</v>
          </cell>
          <cell r="J187">
            <v>44746</v>
          </cell>
          <cell r="K187">
            <v>449.78</v>
          </cell>
          <cell r="M187">
            <v>44746</v>
          </cell>
          <cell r="N187">
            <v>8.99</v>
          </cell>
          <cell r="P187">
            <v>44746</v>
          </cell>
          <cell r="Q187">
            <v>10.83</v>
          </cell>
          <cell r="S187">
            <v>44746</v>
          </cell>
          <cell r="T187">
            <v>93340</v>
          </cell>
          <cell r="U187">
            <v>1615</v>
          </cell>
          <cell r="W187">
            <v>44746</v>
          </cell>
          <cell r="X187">
            <v>330522</v>
          </cell>
          <cell r="Y187">
            <v>507</v>
          </cell>
        </row>
        <row r="188">
          <cell r="A188">
            <v>44747</v>
          </cell>
          <cell r="B188">
            <v>937.21</v>
          </cell>
          <cell r="D188">
            <v>44747</v>
          </cell>
          <cell r="E188">
            <v>413.43</v>
          </cell>
          <cell r="G188">
            <v>44747</v>
          </cell>
          <cell r="H188">
            <v>976.84</v>
          </cell>
          <cell r="J188">
            <v>44747</v>
          </cell>
          <cell r="K188">
            <v>440.07</v>
          </cell>
          <cell r="M188">
            <v>44747</v>
          </cell>
          <cell r="N188">
            <v>9</v>
          </cell>
          <cell r="P188">
            <v>44747</v>
          </cell>
          <cell r="Q188">
            <v>4.58</v>
          </cell>
          <cell r="S188">
            <v>44747</v>
          </cell>
          <cell r="T188">
            <v>55824</v>
          </cell>
          <cell r="U188">
            <v>1045</v>
          </cell>
          <cell r="W188">
            <v>44747</v>
          </cell>
          <cell r="X188">
            <v>311774</v>
          </cell>
          <cell r="Y188">
            <v>475</v>
          </cell>
        </row>
        <row r="189">
          <cell r="A189">
            <v>44748</v>
          </cell>
          <cell r="B189">
            <v>59.41</v>
          </cell>
          <cell r="D189">
            <v>44748</v>
          </cell>
          <cell r="E189">
            <v>57.37</v>
          </cell>
          <cell r="G189">
            <v>44748</v>
          </cell>
          <cell r="H189">
            <v>130.63</v>
          </cell>
          <cell r="J189">
            <v>44748</v>
          </cell>
          <cell r="K189">
            <v>89.12</v>
          </cell>
          <cell r="M189">
            <v>44748</v>
          </cell>
          <cell r="N189">
            <v>2</v>
          </cell>
          <cell r="P189">
            <v>44748</v>
          </cell>
          <cell r="Q189">
            <v>0</v>
          </cell>
          <cell r="S189">
            <v>44748</v>
          </cell>
          <cell r="T189">
            <v>5133</v>
          </cell>
          <cell r="U189">
            <v>93</v>
          </cell>
          <cell r="W189">
            <v>44748</v>
          </cell>
          <cell r="X189">
            <v>47500</v>
          </cell>
          <cell r="Y189">
            <v>88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ituación Actual"/>
      <sheetName val="Resumen 2 casos"/>
      <sheetName val="Version 1- Reducción Gasto"/>
      <sheetName val="Version 2-Reducción Gasto &amp;150€"/>
      <sheetName val="Version 3-Reducción Gasto ELIMS"/>
      <sheetName val="Marca - version 1- Peor caso"/>
      <sheetName val="Marca -versión 2-CPR const 150"/>
      <sheetName val="Marc -version 2-CPR const 150"/>
      <sheetName val="Hoja4"/>
      <sheetName val="Marca - version 3- ambicioso"/>
      <sheetName val="Marca -versión 3- Ambicioso "/>
      <sheetName val="Plataforma"/>
      <sheetName val="Producto"/>
      <sheetName val="Inv. mktg"/>
      <sheetName val="Reservas"/>
      <sheetName val="NO TOCAR - datos supermetrics "/>
      <sheetName val="SupermetricsQu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B13">
            <v>480.5</v>
          </cell>
          <cell r="C13">
            <v>1016.78</v>
          </cell>
          <cell r="D13">
            <v>2486.61</v>
          </cell>
          <cell r="E13">
            <v>1082.42</v>
          </cell>
          <cell r="F13">
            <v>803.75</v>
          </cell>
          <cell r="J13">
            <v>147</v>
          </cell>
          <cell r="K13">
            <v>185</v>
          </cell>
          <cell r="L13">
            <v>370</v>
          </cell>
          <cell r="M13">
            <v>418</v>
          </cell>
          <cell r="N13">
            <v>288</v>
          </cell>
        </row>
        <row r="32">
          <cell r="B32">
            <v>174</v>
          </cell>
          <cell r="C32">
            <v>337</v>
          </cell>
          <cell r="D32">
            <v>447</v>
          </cell>
          <cell r="E32">
            <v>357</v>
          </cell>
          <cell r="F32">
            <v>446</v>
          </cell>
          <cell r="G32">
            <v>386</v>
          </cell>
          <cell r="J32">
            <v>175</v>
          </cell>
          <cell r="K32">
            <v>227</v>
          </cell>
          <cell r="L32">
            <v>341</v>
          </cell>
          <cell r="M32">
            <v>198</v>
          </cell>
          <cell r="N32">
            <v>311</v>
          </cell>
          <cell r="O32">
            <v>262</v>
          </cell>
        </row>
      </sheetData>
      <sheetData sheetId="13"/>
      <sheetData sheetId="14"/>
      <sheetData sheetId="15">
        <row r="2">
          <cell r="A2" t="str">
            <v>Date</v>
          </cell>
          <cell r="B2" t="str">
            <v>Cost</v>
          </cell>
          <cell r="D2" t="str">
            <v>Date</v>
          </cell>
          <cell r="E2" t="str">
            <v>Cost</v>
          </cell>
          <cell r="G2" t="str">
            <v>Date</v>
          </cell>
          <cell r="H2" t="str">
            <v>Cost</v>
          </cell>
          <cell r="J2" t="str">
            <v>Date</v>
          </cell>
          <cell r="K2" t="str">
            <v>Cost</v>
          </cell>
          <cell r="M2" t="str">
            <v>Date</v>
          </cell>
          <cell r="N2" t="str">
            <v>All conversions</v>
          </cell>
          <cell r="P2" t="str">
            <v>Date</v>
          </cell>
          <cell r="Q2" t="str">
            <v>Conversions</v>
          </cell>
          <cell r="S2" t="str">
            <v>Date</v>
          </cell>
          <cell r="T2" t="str">
            <v>Impressions</v>
          </cell>
          <cell r="U2" t="str">
            <v>Clicks</v>
          </cell>
          <cell r="W2" t="str">
            <v>Date</v>
          </cell>
          <cell r="X2" t="str">
            <v>Impressions</v>
          </cell>
          <cell r="Y2" t="str">
            <v>Link clicks</v>
          </cell>
        </row>
        <row r="3">
          <cell r="A3">
            <v>44562</v>
          </cell>
          <cell r="B3">
            <v>327</v>
          </cell>
          <cell r="D3">
            <v>44562</v>
          </cell>
          <cell r="E3">
            <v>47.11</v>
          </cell>
          <cell r="G3">
            <v>44562</v>
          </cell>
          <cell r="H3">
            <v>208.47</v>
          </cell>
          <cell r="J3">
            <v>44562</v>
          </cell>
          <cell r="K3">
            <v>0</v>
          </cell>
          <cell r="M3">
            <v>44562</v>
          </cell>
          <cell r="N3">
            <v>9.1</v>
          </cell>
          <cell r="P3">
            <v>44562</v>
          </cell>
          <cell r="Q3">
            <v>1</v>
          </cell>
          <cell r="S3">
            <v>44562</v>
          </cell>
          <cell r="T3">
            <v>3600</v>
          </cell>
          <cell r="U3">
            <v>191</v>
          </cell>
          <cell r="W3">
            <v>44562</v>
          </cell>
          <cell r="X3">
            <v>11451</v>
          </cell>
          <cell r="Y3">
            <v>363</v>
          </cell>
        </row>
        <row r="4">
          <cell r="A4">
            <v>44563</v>
          </cell>
          <cell r="B4">
            <v>392.36</v>
          </cell>
          <cell r="D4">
            <v>44563</v>
          </cell>
          <cell r="E4">
            <v>56.96</v>
          </cell>
          <cell r="G4">
            <v>44563</v>
          </cell>
          <cell r="H4">
            <v>213.59</v>
          </cell>
          <cell r="J4">
            <v>44563</v>
          </cell>
          <cell r="K4">
            <v>0</v>
          </cell>
          <cell r="M4">
            <v>44563</v>
          </cell>
          <cell r="N4">
            <v>6.9</v>
          </cell>
          <cell r="P4">
            <v>44563</v>
          </cell>
          <cell r="Q4">
            <v>1</v>
          </cell>
          <cell r="S4">
            <v>44563</v>
          </cell>
          <cell r="T4">
            <v>4887</v>
          </cell>
          <cell r="U4">
            <v>281</v>
          </cell>
          <cell r="W4">
            <v>44563</v>
          </cell>
          <cell r="X4">
            <v>11219</v>
          </cell>
          <cell r="Y4">
            <v>409</v>
          </cell>
        </row>
        <row r="5">
          <cell r="A5">
            <v>44564</v>
          </cell>
          <cell r="B5">
            <v>688.21</v>
          </cell>
          <cell r="D5">
            <v>44564</v>
          </cell>
          <cell r="E5">
            <v>114.7</v>
          </cell>
          <cell r="G5">
            <v>44564</v>
          </cell>
          <cell r="H5">
            <v>212.08</v>
          </cell>
          <cell r="J5">
            <v>44564</v>
          </cell>
          <cell r="K5">
            <v>186.23</v>
          </cell>
          <cell r="M5">
            <v>44564</v>
          </cell>
          <cell r="N5">
            <v>9.0299999999999994</v>
          </cell>
          <cell r="P5">
            <v>44564</v>
          </cell>
          <cell r="Q5">
            <v>1</v>
          </cell>
          <cell r="S5">
            <v>44564</v>
          </cell>
          <cell r="T5">
            <v>10522</v>
          </cell>
          <cell r="U5">
            <v>452</v>
          </cell>
          <cell r="W5">
            <v>44564</v>
          </cell>
          <cell r="X5">
            <v>38756</v>
          </cell>
          <cell r="Y5">
            <v>431</v>
          </cell>
        </row>
        <row r="6">
          <cell r="A6">
            <v>44565</v>
          </cell>
          <cell r="B6">
            <v>583.37</v>
          </cell>
          <cell r="D6">
            <v>44565</v>
          </cell>
          <cell r="E6">
            <v>82.57</v>
          </cell>
          <cell r="G6">
            <v>44565</v>
          </cell>
          <cell r="H6">
            <v>207.35</v>
          </cell>
          <cell r="J6">
            <v>44565</v>
          </cell>
          <cell r="K6">
            <v>185.85</v>
          </cell>
          <cell r="M6">
            <v>44565</v>
          </cell>
          <cell r="N6">
            <v>6</v>
          </cell>
          <cell r="P6">
            <v>44565</v>
          </cell>
          <cell r="Q6">
            <v>0</v>
          </cell>
          <cell r="S6">
            <v>44565</v>
          </cell>
          <cell r="T6">
            <v>8412</v>
          </cell>
          <cell r="U6">
            <v>354</v>
          </cell>
          <cell r="W6">
            <v>44565</v>
          </cell>
          <cell r="X6">
            <v>40422</v>
          </cell>
          <cell r="Y6">
            <v>397</v>
          </cell>
        </row>
        <row r="7">
          <cell r="A7">
            <v>44566</v>
          </cell>
          <cell r="B7">
            <v>581.77</v>
          </cell>
          <cell r="D7">
            <v>44566</v>
          </cell>
          <cell r="E7">
            <v>82.43</v>
          </cell>
          <cell r="G7">
            <v>44566</v>
          </cell>
          <cell r="H7">
            <v>225.48</v>
          </cell>
          <cell r="J7">
            <v>44566</v>
          </cell>
          <cell r="K7">
            <v>186.07</v>
          </cell>
          <cell r="M7">
            <v>44566</v>
          </cell>
          <cell r="N7">
            <v>6</v>
          </cell>
          <cell r="P7">
            <v>44566</v>
          </cell>
          <cell r="Q7">
            <v>0</v>
          </cell>
          <cell r="S7">
            <v>44566</v>
          </cell>
          <cell r="T7">
            <v>7093</v>
          </cell>
          <cell r="U7">
            <v>348</v>
          </cell>
          <cell r="W7">
            <v>44566</v>
          </cell>
          <cell r="X7">
            <v>41625</v>
          </cell>
          <cell r="Y7">
            <v>404</v>
          </cell>
        </row>
        <row r="8">
          <cell r="A8">
            <v>44567</v>
          </cell>
          <cell r="B8">
            <v>362.17</v>
          </cell>
          <cell r="D8">
            <v>44567</v>
          </cell>
          <cell r="E8">
            <v>191.6</v>
          </cell>
          <cell r="G8">
            <v>44567</v>
          </cell>
          <cell r="H8">
            <v>273.87</v>
          </cell>
          <cell r="J8">
            <v>44567</v>
          </cell>
          <cell r="K8">
            <v>231.69</v>
          </cell>
          <cell r="M8">
            <v>44567</v>
          </cell>
          <cell r="N8">
            <v>8.1</v>
          </cell>
          <cell r="P8">
            <v>44567</v>
          </cell>
          <cell r="Q8">
            <v>0</v>
          </cell>
          <cell r="S8">
            <v>44567</v>
          </cell>
          <cell r="T8">
            <v>36761</v>
          </cell>
          <cell r="U8">
            <v>317</v>
          </cell>
          <cell r="W8">
            <v>44567</v>
          </cell>
          <cell r="X8">
            <v>54365</v>
          </cell>
          <cell r="Y8">
            <v>638</v>
          </cell>
        </row>
        <row r="9">
          <cell r="A9">
            <v>44568</v>
          </cell>
          <cell r="B9">
            <v>632.24</v>
          </cell>
          <cell r="D9">
            <v>44568</v>
          </cell>
          <cell r="E9">
            <v>395.55</v>
          </cell>
          <cell r="G9">
            <v>44568</v>
          </cell>
          <cell r="H9">
            <v>282.16000000000003</v>
          </cell>
          <cell r="J9">
            <v>44568</v>
          </cell>
          <cell r="K9">
            <v>235.78</v>
          </cell>
          <cell r="M9">
            <v>44568</v>
          </cell>
          <cell r="N9">
            <v>10.199999999999999</v>
          </cell>
          <cell r="P9">
            <v>44568</v>
          </cell>
          <cell r="Q9">
            <v>0</v>
          </cell>
          <cell r="S9">
            <v>44568</v>
          </cell>
          <cell r="T9">
            <v>55354</v>
          </cell>
          <cell r="U9">
            <v>612</v>
          </cell>
          <cell r="W9">
            <v>44568</v>
          </cell>
          <cell r="X9">
            <v>55136</v>
          </cell>
          <cell r="Y9">
            <v>580</v>
          </cell>
        </row>
        <row r="10">
          <cell r="A10">
            <v>44569</v>
          </cell>
          <cell r="B10">
            <v>517.64</v>
          </cell>
          <cell r="D10">
            <v>44569</v>
          </cell>
          <cell r="E10">
            <v>400.84</v>
          </cell>
          <cell r="G10">
            <v>44569</v>
          </cell>
          <cell r="H10">
            <v>296.32</v>
          </cell>
          <cell r="J10">
            <v>44569</v>
          </cell>
          <cell r="K10">
            <v>233.76</v>
          </cell>
          <cell r="M10">
            <v>44569</v>
          </cell>
          <cell r="N10">
            <v>6.4</v>
          </cell>
          <cell r="P10">
            <v>44569</v>
          </cell>
          <cell r="Q10">
            <v>0</v>
          </cell>
          <cell r="S10">
            <v>44569</v>
          </cell>
          <cell r="T10">
            <v>60123</v>
          </cell>
          <cell r="U10">
            <v>502</v>
          </cell>
          <cell r="W10">
            <v>44569</v>
          </cell>
          <cell r="X10">
            <v>58998</v>
          </cell>
          <cell r="Y10">
            <v>679</v>
          </cell>
        </row>
        <row r="11">
          <cell r="A11">
            <v>44570</v>
          </cell>
          <cell r="B11">
            <v>423.32</v>
          </cell>
          <cell r="D11">
            <v>44570</v>
          </cell>
          <cell r="E11">
            <v>304.88</v>
          </cell>
          <cell r="G11">
            <v>44570</v>
          </cell>
          <cell r="H11">
            <v>301.33999999999997</v>
          </cell>
          <cell r="J11">
            <v>44570</v>
          </cell>
          <cell r="K11">
            <v>231.89</v>
          </cell>
          <cell r="M11">
            <v>44570</v>
          </cell>
          <cell r="N11">
            <v>2</v>
          </cell>
          <cell r="P11">
            <v>44570</v>
          </cell>
          <cell r="Q11">
            <v>0</v>
          </cell>
          <cell r="S11">
            <v>44570</v>
          </cell>
          <cell r="T11">
            <v>94538</v>
          </cell>
          <cell r="U11">
            <v>515</v>
          </cell>
          <cell r="W11">
            <v>44570</v>
          </cell>
          <cell r="X11">
            <v>64192</v>
          </cell>
          <cell r="Y11">
            <v>804</v>
          </cell>
        </row>
        <row r="12">
          <cell r="A12">
            <v>44571</v>
          </cell>
          <cell r="B12">
            <v>774.39</v>
          </cell>
          <cell r="D12">
            <v>44571</v>
          </cell>
          <cell r="E12">
            <v>437.18</v>
          </cell>
          <cell r="G12">
            <v>44571</v>
          </cell>
          <cell r="H12">
            <v>282.43</v>
          </cell>
          <cell r="J12">
            <v>44571</v>
          </cell>
          <cell r="K12">
            <v>189.96</v>
          </cell>
          <cell r="M12">
            <v>44571</v>
          </cell>
          <cell r="N12">
            <v>12.4</v>
          </cell>
          <cell r="P12">
            <v>44571</v>
          </cell>
          <cell r="Q12">
            <v>2</v>
          </cell>
          <cell r="S12">
            <v>44571</v>
          </cell>
          <cell r="T12">
            <v>89778</v>
          </cell>
          <cell r="U12">
            <v>834</v>
          </cell>
          <cell r="W12">
            <v>44571</v>
          </cell>
          <cell r="X12">
            <v>48645</v>
          </cell>
          <cell r="Y12">
            <v>722</v>
          </cell>
        </row>
        <row r="13">
          <cell r="A13">
            <v>44572</v>
          </cell>
          <cell r="B13">
            <v>753.94</v>
          </cell>
          <cell r="D13">
            <v>44572</v>
          </cell>
          <cell r="E13">
            <v>99.61</v>
          </cell>
          <cell r="G13">
            <v>44572</v>
          </cell>
          <cell r="H13">
            <v>268.81</v>
          </cell>
          <cell r="J13">
            <v>44572</v>
          </cell>
          <cell r="K13">
            <v>187.99</v>
          </cell>
          <cell r="M13">
            <v>44572</v>
          </cell>
          <cell r="N13">
            <v>7</v>
          </cell>
          <cell r="P13">
            <v>44572</v>
          </cell>
          <cell r="Q13">
            <v>3</v>
          </cell>
          <cell r="S13">
            <v>44572</v>
          </cell>
          <cell r="T13">
            <v>53574</v>
          </cell>
          <cell r="U13">
            <v>688</v>
          </cell>
          <cell r="W13">
            <v>44572</v>
          </cell>
          <cell r="X13">
            <v>44343</v>
          </cell>
          <cell r="Y13">
            <v>649</v>
          </cell>
        </row>
        <row r="14">
          <cell r="A14">
            <v>44573</v>
          </cell>
          <cell r="B14">
            <v>714.02</v>
          </cell>
          <cell r="D14">
            <v>44573</v>
          </cell>
          <cell r="E14">
            <v>105.19</v>
          </cell>
          <cell r="G14">
            <v>44573</v>
          </cell>
          <cell r="H14">
            <v>270.22000000000003</v>
          </cell>
          <cell r="J14">
            <v>44573</v>
          </cell>
          <cell r="K14">
            <v>190.45</v>
          </cell>
          <cell r="M14">
            <v>44573</v>
          </cell>
          <cell r="N14">
            <v>12.5</v>
          </cell>
          <cell r="P14">
            <v>44573</v>
          </cell>
          <cell r="Q14">
            <v>1</v>
          </cell>
          <cell r="S14">
            <v>44573</v>
          </cell>
          <cell r="T14">
            <v>62943</v>
          </cell>
          <cell r="U14">
            <v>672</v>
          </cell>
          <cell r="W14">
            <v>44573</v>
          </cell>
          <cell r="X14">
            <v>43892</v>
          </cell>
          <cell r="Y14">
            <v>613</v>
          </cell>
        </row>
        <row r="15">
          <cell r="A15">
            <v>44574</v>
          </cell>
          <cell r="B15">
            <v>643.63</v>
          </cell>
          <cell r="D15">
            <v>44574</v>
          </cell>
          <cell r="E15">
            <v>102.87</v>
          </cell>
          <cell r="G15">
            <v>44574</v>
          </cell>
          <cell r="H15">
            <v>270.86</v>
          </cell>
          <cell r="J15">
            <v>44574</v>
          </cell>
          <cell r="K15">
            <v>190.36</v>
          </cell>
          <cell r="M15">
            <v>44574</v>
          </cell>
          <cell r="N15">
            <v>4</v>
          </cell>
          <cell r="P15">
            <v>44574</v>
          </cell>
          <cell r="Q15">
            <v>2</v>
          </cell>
          <cell r="S15">
            <v>44574</v>
          </cell>
          <cell r="T15">
            <v>12373</v>
          </cell>
          <cell r="U15">
            <v>474</v>
          </cell>
          <cell r="W15">
            <v>44574</v>
          </cell>
          <cell r="X15">
            <v>43295</v>
          </cell>
          <cell r="Y15">
            <v>539</v>
          </cell>
        </row>
        <row r="16">
          <cell r="A16">
            <v>44575</v>
          </cell>
          <cell r="B16">
            <v>349.41</v>
          </cell>
          <cell r="D16">
            <v>44575</v>
          </cell>
          <cell r="E16">
            <v>77.489999999999995</v>
          </cell>
          <cell r="G16">
            <v>44575</v>
          </cell>
          <cell r="H16">
            <v>258.92</v>
          </cell>
          <cell r="J16">
            <v>44575</v>
          </cell>
          <cell r="K16">
            <v>184.87</v>
          </cell>
          <cell r="M16">
            <v>44575</v>
          </cell>
          <cell r="N16">
            <v>5</v>
          </cell>
          <cell r="P16">
            <v>44575</v>
          </cell>
          <cell r="Q16">
            <v>1</v>
          </cell>
          <cell r="S16">
            <v>44575</v>
          </cell>
          <cell r="T16">
            <v>5995</v>
          </cell>
          <cell r="U16">
            <v>293</v>
          </cell>
          <cell r="W16">
            <v>44575</v>
          </cell>
          <cell r="X16">
            <v>36024</v>
          </cell>
          <cell r="Y16">
            <v>455</v>
          </cell>
        </row>
        <row r="17">
          <cell r="A17">
            <v>44576</v>
          </cell>
          <cell r="B17">
            <v>216.22</v>
          </cell>
          <cell r="D17">
            <v>44576</v>
          </cell>
          <cell r="E17">
            <v>73.94</v>
          </cell>
          <cell r="G17">
            <v>44576</v>
          </cell>
          <cell r="H17">
            <v>263.52999999999997</v>
          </cell>
          <cell r="J17">
            <v>44576</v>
          </cell>
          <cell r="K17">
            <v>190.41</v>
          </cell>
          <cell r="M17">
            <v>44576</v>
          </cell>
          <cell r="N17">
            <v>4</v>
          </cell>
          <cell r="P17">
            <v>44576</v>
          </cell>
          <cell r="Q17">
            <v>0</v>
          </cell>
          <cell r="S17">
            <v>44576</v>
          </cell>
          <cell r="T17">
            <v>4132</v>
          </cell>
          <cell r="U17">
            <v>216</v>
          </cell>
          <cell r="W17">
            <v>44576</v>
          </cell>
          <cell r="X17">
            <v>40247</v>
          </cell>
          <cell r="Y17">
            <v>468</v>
          </cell>
        </row>
        <row r="18">
          <cell r="A18">
            <v>44577</v>
          </cell>
          <cell r="B18">
            <v>330.42</v>
          </cell>
          <cell r="D18">
            <v>44577</v>
          </cell>
          <cell r="E18">
            <v>76.41</v>
          </cell>
          <cell r="G18">
            <v>44577</v>
          </cell>
          <cell r="H18">
            <v>284.23</v>
          </cell>
          <cell r="J18">
            <v>44577</v>
          </cell>
          <cell r="K18">
            <v>193.09</v>
          </cell>
          <cell r="M18">
            <v>44577</v>
          </cell>
          <cell r="N18">
            <v>7</v>
          </cell>
          <cell r="P18">
            <v>44577</v>
          </cell>
          <cell r="Q18">
            <v>0</v>
          </cell>
          <cell r="S18">
            <v>44577</v>
          </cell>
          <cell r="T18">
            <v>5010</v>
          </cell>
          <cell r="U18">
            <v>294</v>
          </cell>
          <cell r="W18">
            <v>44577</v>
          </cell>
          <cell r="X18">
            <v>47052</v>
          </cell>
          <cell r="Y18">
            <v>580</v>
          </cell>
        </row>
        <row r="19">
          <cell r="A19">
            <v>44578</v>
          </cell>
          <cell r="B19">
            <v>360.53</v>
          </cell>
          <cell r="D19">
            <v>44578</v>
          </cell>
          <cell r="E19">
            <v>150.69999999999999</v>
          </cell>
          <cell r="G19">
            <v>44578</v>
          </cell>
          <cell r="H19">
            <v>284.98</v>
          </cell>
          <cell r="J19">
            <v>44578</v>
          </cell>
          <cell r="K19">
            <v>189.09</v>
          </cell>
          <cell r="M19">
            <v>44578</v>
          </cell>
          <cell r="N19">
            <v>9.6</v>
          </cell>
          <cell r="P19">
            <v>44578</v>
          </cell>
          <cell r="Q19">
            <v>1</v>
          </cell>
          <cell r="S19">
            <v>44578</v>
          </cell>
          <cell r="T19">
            <v>8963</v>
          </cell>
          <cell r="U19">
            <v>417</v>
          </cell>
          <cell r="W19">
            <v>44578</v>
          </cell>
          <cell r="X19">
            <v>43936</v>
          </cell>
          <cell r="Y19">
            <v>476</v>
          </cell>
        </row>
        <row r="20">
          <cell r="A20">
            <v>44579</v>
          </cell>
          <cell r="B20">
            <v>372.2</v>
          </cell>
          <cell r="D20">
            <v>44579</v>
          </cell>
          <cell r="E20">
            <v>115.32</v>
          </cell>
          <cell r="G20">
            <v>44579</v>
          </cell>
          <cell r="H20">
            <v>287.47000000000003</v>
          </cell>
          <cell r="J20">
            <v>44579</v>
          </cell>
          <cell r="K20">
            <v>188.69</v>
          </cell>
          <cell r="M20">
            <v>44579</v>
          </cell>
          <cell r="N20">
            <v>6</v>
          </cell>
          <cell r="P20">
            <v>44579</v>
          </cell>
          <cell r="Q20">
            <v>0</v>
          </cell>
          <cell r="S20">
            <v>44579</v>
          </cell>
          <cell r="T20">
            <v>6805</v>
          </cell>
          <cell r="U20">
            <v>311</v>
          </cell>
          <cell r="W20">
            <v>44579</v>
          </cell>
          <cell r="X20">
            <v>36901</v>
          </cell>
          <cell r="Y20">
            <v>519</v>
          </cell>
        </row>
        <row r="21">
          <cell r="A21">
            <v>44580</v>
          </cell>
          <cell r="B21">
            <v>299.43</v>
          </cell>
          <cell r="D21">
            <v>44580</v>
          </cell>
          <cell r="E21">
            <v>147.03</v>
          </cell>
          <cell r="G21">
            <v>44580</v>
          </cell>
          <cell r="H21">
            <v>286.51</v>
          </cell>
          <cell r="J21">
            <v>44580</v>
          </cell>
          <cell r="K21">
            <v>190.55</v>
          </cell>
          <cell r="M21">
            <v>44580</v>
          </cell>
          <cell r="N21">
            <v>3.5</v>
          </cell>
          <cell r="P21">
            <v>44580</v>
          </cell>
          <cell r="Q21">
            <v>1</v>
          </cell>
          <cell r="S21">
            <v>44580</v>
          </cell>
          <cell r="T21">
            <v>6936</v>
          </cell>
          <cell r="U21">
            <v>281</v>
          </cell>
          <cell r="W21">
            <v>44580</v>
          </cell>
          <cell r="X21">
            <v>34745</v>
          </cell>
          <cell r="Y21">
            <v>497</v>
          </cell>
        </row>
        <row r="22">
          <cell r="A22">
            <v>44581</v>
          </cell>
          <cell r="B22">
            <v>367.59</v>
          </cell>
          <cell r="D22">
            <v>44581</v>
          </cell>
          <cell r="E22">
            <v>102.07</v>
          </cell>
          <cell r="G22">
            <v>44581</v>
          </cell>
          <cell r="H22">
            <v>362.68</v>
          </cell>
          <cell r="J22">
            <v>44581</v>
          </cell>
          <cell r="K22">
            <v>192.45</v>
          </cell>
          <cell r="M22">
            <v>44581</v>
          </cell>
          <cell r="N22">
            <v>5</v>
          </cell>
          <cell r="P22">
            <v>44581</v>
          </cell>
          <cell r="Q22">
            <v>1</v>
          </cell>
          <cell r="S22">
            <v>44581</v>
          </cell>
          <cell r="T22">
            <v>6537</v>
          </cell>
          <cell r="U22">
            <v>303</v>
          </cell>
          <cell r="W22">
            <v>44581</v>
          </cell>
          <cell r="X22">
            <v>44859</v>
          </cell>
          <cell r="Y22">
            <v>632</v>
          </cell>
        </row>
        <row r="23">
          <cell r="A23">
            <v>44582</v>
          </cell>
          <cell r="B23">
            <v>323.44</v>
          </cell>
          <cell r="D23">
            <v>44582</v>
          </cell>
          <cell r="E23">
            <v>66.849999999999994</v>
          </cell>
          <cell r="G23">
            <v>44582</v>
          </cell>
          <cell r="H23">
            <v>402.15</v>
          </cell>
          <cell r="J23">
            <v>44582</v>
          </cell>
          <cell r="K23">
            <v>185.96</v>
          </cell>
          <cell r="M23">
            <v>44582</v>
          </cell>
          <cell r="N23">
            <v>3.4</v>
          </cell>
          <cell r="P23">
            <v>44582</v>
          </cell>
          <cell r="Q23">
            <v>0</v>
          </cell>
          <cell r="S23">
            <v>44582</v>
          </cell>
          <cell r="T23">
            <v>5491</v>
          </cell>
          <cell r="U23">
            <v>243</v>
          </cell>
          <cell r="W23">
            <v>44582</v>
          </cell>
          <cell r="X23">
            <v>48118</v>
          </cell>
          <cell r="Y23">
            <v>697</v>
          </cell>
        </row>
        <row r="24">
          <cell r="A24">
            <v>44583</v>
          </cell>
          <cell r="B24">
            <v>293.74</v>
          </cell>
          <cell r="D24">
            <v>44583</v>
          </cell>
          <cell r="E24">
            <v>64.069999999999993</v>
          </cell>
          <cell r="G24">
            <v>44583</v>
          </cell>
          <cell r="H24">
            <v>393.51</v>
          </cell>
          <cell r="J24">
            <v>44583</v>
          </cell>
          <cell r="K24">
            <v>190.17</v>
          </cell>
          <cell r="M24">
            <v>44583</v>
          </cell>
          <cell r="N24">
            <v>5.0999999999999996</v>
          </cell>
          <cell r="P24">
            <v>44583</v>
          </cell>
          <cell r="Q24">
            <v>0</v>
          </cell>
          <cell r="S24">
            <v>44583</v>
          </cell>
          <cell r="T24">
            <v>4559</v>
          </cell>
          <cell r="U24">
            <v>229</v>
          </cell>
          <cell r="W24">
            <v>44583</v>
          </cell>
          <cell r="X24">
            <v>45284</v>
          </cell>
          <cell r="Y24">
            <v>725</v>
          </cell>
        </row>
        <row r="25">
          <cell r="A25">
            <v>44584</v>
          </cell>
          <cell r="B25">
            <v>355.1</v>
          </cell>
          <cell r="D25">
            <v>44584</v>
          </cell>
          <cell r="E25">
            <v>57.28</v>
          </cell>
          <cell r="G25">
            <v>44584</v>
          </cell>
          <cell r="H25">
            <v>423.13</v>
          </cell>
          <cell r="J25">
            <v>44584</v>
          </cell>
          <cell r="K25">
            <v>190.22</v>
          </cell>
          <cell r="M25">
            <v>44584</v>
          </cell>
          <cell r="N25">
            <v>0</v>
          </cell>
          <cell r="P25">
            <v>44584</v>
          </cell>
          <cell r="Q25">
            <v>2</v>
          </cell>
          <cell r="S25">
            <v>44584</v>
          </cell>
          <cell r="T25">
            <v>4877</v>
          </cell>
          <cell r="U25">
            <v>278</v>
          </cell>
          <cell r="W25">
            <v>44584</v>
          </cell>
          <cell r="X25">
            <v>46488</v>
          </cell>
          <cell r="Y25">
            <v>803</v>
          </cell>
        </row>
        <row r="26">
          <cell r="A26">
            <v>44585</v>
          </cell>
          <cell r="B26">
            <v>666.99</v>
          </cell>
          <cell r="D26">
            <v>44585</v>
          </cell>
          <cell r="E26">
            <v>90.66</v>
          </cell>
          <cell r="G26">
            <v>44585</v>
          </cell>
          <cell r="H26">
            <v>424.65</v>
          </cell>
          <cell r="J26">
            <v>44585</v>
          </cell>
          <cell r="K26">
            <v>232.14</v>
          </cell>
          <cell r="M26">
            <v>44585</v>
          </cell>
          <cell r="N26">
            <v>13.8</v>
          </cell>
          <cell r="P26">
            <v>44585</v>
          </cell>
          <cell r="Q26">
            <v>1</v>
          </cell>
          <cell r="S26">
            <v>44585</v>
          </cell>
          <cell r="T26">
            <v>9544</v>
          </cell>
          <cell r="U26">
            <v>493</v>
          </cell>
          <cell r="W26">
            <v>44585</v>
          </cell>
          <cell r="X26">
            <v>53346</v>
          </cell>
          <cell r="Y26">
            <v>712</v>
          </cell>
        </row>
        <row r="27">
          <cell r="A27">
            <v>44586</v>
          </cell>
          <cell r="B27">
            <v>503.3</v>
          </cell>
          <cell r="D27">
            <v>44586</v>
          </cell>
          <cell r="E27">
            <v>85.32</v>
          </cell>
          <cell r="G27">
            <v>44586</v>
          </cell>
          <cell r="H27">
            <v>437.94</v>
          </cell>
          <cell r="J27">
            <v>44586</v>
          </cell>
          <cell r="K27">
            <v>254.5</v>
          </cell>
          <cell r="M27">
            <v>44586</v>
          </cell>
          <cell r="N27">
            <v>3</v>
          </cell>
          <cell r="P27">
            <v>44586</v>
          </cell>
          <cell r="Q27">
            <v>0</v>
          </cell>
          <cell r="S27">
            <v>44586</v>
          </cell>
          <cell r="T27">
            <v>7514</v>
          </cell>
          <cell r="U27">
            <v>397</v>
          </cell>
          <cell r="W27">
            <v>44586</v>
          </cell>
          <cell r="X27">
            <v>50408</v>
          </cell>
          <cell r="Y27">
            <v>649</v>
          </cell>
        </row>
        <row r="28">
          <cell r="A28">
            <v>44587</v>
          </cell>
          <cell r="B28">
            <v>504.72</v>
          </cell>
          <cell r="D28">
            <v>44587</v>
          </cell>
          <cell r="E28">
            <v>138.52000000000001</v>
          </cell>
          <cell r="G28">
            <v>44587</v>
          </cell>
          <cell r="H28">
            <v>656.23</v>
          </cell>
          <cell r="J28">
            <v>44587</v>
          </cell>
          <cell r="K28">
            <v>246.77</v>
          </cell>
          <cell r="M28">
            <v>44587</v>
          </cell>
          <cell r="N28">
            <v>7</v>
          </cell>
          <cell r="P28">
            <v>44587</v>
          </cell>
          <cell r="Q28">
            <v>0</v>
          </cell>
          <cell r="S28">
            <v>44587</v>
          </cell>
          <cell r="T28">
            <v>8595</v>
          </cell>
          <cell r="U28">
            <v>443</v>
          </cell>
          <cell r="W28">
            <v>44587</v>
          </cell>
          <cell r="X28">
            <v>81641</v>
          </cell>
          <cell r="Y28">
            <v>874</v>
          </cell>
        </row>
        <row r="29">
          <cell r="A29">
            <v>44588</v>
          </cell>
          <cell r="B29">
            <v>613.23</v>
          </cell>
          <cell r="D29">
            <v>44588</v>
          </cell>
          <cell r="E29">
            <v>127.9</v>
          </cell>
          <cell r="G29">
            <v>44588</v>
          </cell>
          <cell r="H29">
            <v>772.5</v>
          </cell>
          <cell r="J29">
            <v>44588</v>
          </cell>
          <cell r="K29">
            <v>272.44</v>
          </cell>
          <cell r="M29">
            <v>44588</v>
          </cell>
          <cell r="N29">
            <v>10</v>
          </cell>
          <cell r="P29">
            <v>44588</v>
          </cell>
          <cell r="Q29">
            <v>0</v>
          </cell>
          <cell r="S29">
            <v>44588</v>
          </cell>
          <cell r="T29">
            <v>7137</v>
          </cell>
          <cell r="U29">
            <v>405</v>
          </cell>
          <cell r="W29">
            <v>44588</v>
          </cell>
          <cell r="X29">
            <v>84552</v>
          </cell>
          <cell r="Y29">
            <v>813</v>
          </cell>
        </row>
        <row r="30">
          <cell r="A30">
            <v>44589</v>
          </cell>
          <cell r="B30">
            <v>308.33</v>
          </cell>
          <cell r="D30">
            <v>44589</v>
          </cell>
          <cell r="E30">
            <v>110.15</v>
          </cell>
          <cell r="G30">
            <v>44589</v>
          </cell>
          <cell r="H30">
            <v>1062</v>
          </cell>
          <cell r="J30">
            <v>44589</v>
          </cell>
          <cell r="K30">
            <v>310.20999999999998</v>
          </cell>
          <cell r="M30">
            <v>44589</v>
          </cell>
          <cell r="N30">
            <v>6</v>
          </cell>
          <cell r="P30">
            <v>44589</v>
          </cell>
          <cell r="Q30">
            <v>0</v>
          </cell>
          <cell r="S30">
            <v>44589</v>
          </cell>
          <cell r="T30">
            <v>5751</v>
          </cell>
          <cell r="U30">
            <v>280</v>
          </cell>
          <cell r="W30">
            <v>44589</v>
          </cell>
          <cell r="X30">
            <v>104087</v>
          </cell>
          <cell r="Y30">
            <v>1271</v>
          </cell>
        </row>
        <row r="31">
          <cell r="A31">
            <v>44590</v>
          </cell>
          <cell r="B31">
            <v>218.98</v>
          </cell>
          <cell r="D31">
            <v>44590</v>
          </cell>
          <cell r="E31">
            <v>81.77</v>
          </cell>
          <cell r="G31">
            <v>44590</v>
          </cell>
          <cell r="H31">
            <v>841.92</v>
          </cell>
          <cell r="J31">
            <v>44590</v>
          </cell>
          <cell r="K31">
            <v>305.95</v>
          </cell>
          <cell r="M31">
            <v>44590</v>
          </cell>
          <cell r="N31">
            <v>12.4</v>
          </cell>
          <cell r="P31">
            <v>44590</v>
          </cell>
          <cell r="Q31">
            <v>0</v>
          </cell>
          <cell r="S31">
            <v>44590</v>
          </cell>
          <cell r="T31">
            <v>4122</v>
          </cell>
          <cell r="U31">
            <v>216</v>
          </cell>
          <cell r="W31">
            <v>44590</v>
          </cell>
          <cell r="X31">
            <v>89321</v>
          </cell>
          <cell r="Y31">
            <v>1267</v>
          </cell>
        </row>
        <row r="32">
          <cell r="A32">
            <v>44591</v>
          </cell>
          <cell r="B32">
            <v>247.64</v>
          </cell>
          <cell r="D32">
            <v>44591</v>
          </cell>
          <cell r="E32">
            <v>66.959999999999994</v>
          </cell>
          <cell r="G32">
            <v>44591</v>
          </cell>
          <cell r="H32">
            <v>909.63</v>
          </cell>
          <cell r="J32">
            <v>44591</v>
          </cell>
          <cell r="K32">
            <v>310.16000000000003</v>
          </cell>
          <cell r="M32">
            <v>44591</v>
          </cell>
          <cell r="N32">
            <v>2</v>
          </cell>
          <cell r="P32">
            <v>44591</v>
          </cell>
          <cell r="Q32">
            <v>0</v>
          </cell>
          <cell r="S32">
            <v>44591</v>
          </cell>
          <cell r="T32">
            <v>4494</v>
          </cell>
          <cell r="U32">
            <v>247</v>
          </cell>
          <cell r="W32">
            <v>44591</v>
          </cell>
          <cell r="X32">
            <v>103620</v>
          </cell>
          <cell r="Y32">
            <v>1601</v>
          </cell>
        </row>
        <row r="33">
          <cell r="A33">
            <v>44592</v>
          </cell>
          <cell r="B33">
            <v>513.05999999999995</v>
          </cell>
          <cell r="D33">
            <v>44592</v>
          </cell>
          <cell r="E33">
            <v>88.95</v>
          </cell>
          <cell r="G33">
            <v>44592</v>
          </cell>
          <cell r="H33">
            <v>815.33</v>
          </cell>
          <cell r="J33">
            <v>44592</v>
          </cell>
          <cell r="K33">
            <v>313.7</v>
          </cell>
          <cell r="M33">
            <v>44592</v>
          </cell>
          <cell r="N33">
            <v>2</v>
          </cell>
          <cell r="P33">
            <v>44592</v>
          </cell>
          <cell r="Q33">
            <v>0</v>
          </cell>
          <cell r="S33">
            <v>44592</v>
          </cell>
          <cell r="T33">
            <v>9022</v>
          </cell>
          <cell r="U33">
            <v>440</v>
          </cell>
          <cell r="W33">
            <v>44592</v>
          </cell>
          <cell r="X33">
            <v>101844</v>
          </cell>
          <cell r="Y33">
            <v>1479</v>
          </cell>
        </row>
        <row r="34">
          <cell r="A34">
            <v>44593</v>
          </cell>
          <cell r="B34">
            <v>367.92</v>
          </cell>
          <cell r="D34">
            <v>44593</v>
          </cell>
          <cell r="E34">
            <v>55.11</v>
          </cell>
          <cell r="G34">
            <v>44593</v>
          </cell>
          <cell r="H34">
            <v>828.85</v>
          </cell>
          <cell r="J34">
            <v>44593</v>
          </cell>
          <cell r="K34">
            <v>337.46</v>
          </cell>
          <cell r="M34">
            <v>44593</v>
          </cell>
          <cell r="N34">
            <v>1.6</v>
          </cell>
          <cell r="P34">
            <v>44593</v>
          </cell>
          <cell r="Q34">
            <v>1</v>
          </cell>
          <cell r="S34">
            <v>44593</v>
          </cell>
          <cell r="T34">
            <v>6938</v>
          </cell>
          <cell r="U34">
            <v>312</v>
          </cell>
          <cell r="W34">
            <v>44593</v>
          </cell>
          <cell r="X34">
            <v>99013</v>
          </cell>
          <cell r="Y34">
            <v>1450</v>
          </cell>
        </row>
        <row r="35">
          <cell r="A35">
            <v>44594</v>
          </cell>
          <cell r="B35">
            <v>557.08000000000004</v>
          </cell>
          <cell r="D35">
            <v>44594</v>
          </cell>
          <cell r="E35">
            <v>98.7</v>
          </cell>
          <cell r="G35">
            <v>44594</v>
          </cell>
          <cell r="H35">
            <v>827.29</v>
          </cell>
          <cell r="J35">
            <v>44594</v>
          </cell>
          <cell r="K35">
            <v>335.42</v>
          </cell>
          <cell r="M35">
            <v>44594</v>
          </cell>
          <cell r="N35">
            <v>9.5</v>
          </cell>
          <cell r="P35">
            <v>44594</v>
          </cell>
          <cell r="Q35">
            <v>0</v>
          </cell>
          <cell r="S35">
            <v>44594</v>
          </cell>
          <cell r="T35">
            <v>7567</v>
          </cell>
          <cell r="U35">
            <v>391</v>
          </cell>
          <cell r="W35">
            <v>44594</v>
          </cell>
          <cell r="X35">
            <v>99235</v>
          </cell>
          <cell r="Y35">
            <v>1534</v>
          </cell>
        </row>
        <row r="36">
          <cell r="A36">
            <v>44595</v>
          </cell>
          <cell r="B36">
            <v>249.92</v>
          </cell>
          <cell r="D36">
            <v>44595</v>
          </cell>
          <cell r="E36">
            <v>40.69</v>
          </cell>
          <cell r="G36">
            <v>44595</v>
          </cell>
          <cell r="H36">
            <v>378.16</v>
          </cell>
          <cell r="J36">
            <v>44595</v>
          </cell>
          <cell r="K36">
            <v>328.67</v>
          </cell>
          <cell r="M36">
            <v>44595</v>
          </cell>
          <cell r="N36">
            <v>4</v>
          </cell>
          <cell r="P36">
            <v>44595</v>
          </cell>
          <cell r="Q36">
            <v>0</v>
          </cell>
          <cell r="S36">
            <v>44595</v>
          </cell>
          <cell r="T36">
            <v>4284</v>
          </cell>
          <cell r="U36">
            <v>227</v>
          </cell>
          <cell r="W36">
            <v>44595</v>
          </cell>
          <cell r="X36">
            <v>67998</v>
          </cell>
          <cell r="Y36">
            <v>756</v>
          </cell>
        </row>
        <row r="37">
          <cell r="A37">
            <v>44596</v>
          </cell>
          <cell r="B37">
            <v>177.65</v>
          </cell>
          <cell r="D37">
            <v>44596</v>
          </cell>
          <cell r="E37">
            <v>18.78</v>
          </cell>
          <cell r="G37">
            <v>44596</v>
          </cell>
          <cell r="H37">
            <v>226.63</v>
          </cell>
          <cell r="J37">
            <v>44596</v>
          </cell>
          <cell r="K37">
            <v>273.68</v>
          </cell>
          <cell r="M37">
            <v>44596</v>
          </cell>
          <cell r="N37">
            <v>4.5</v>
          </cell>
          <cell r="P37">
            <v>44596</v>
          </cell>
          <cell r="Q37">
            <v>0</v>
          </cell>
          <cell r="S37">
            <v>44596</v>
          </cell>
          <cell r="T37">
            <v>2810</v>
          </cell>
          <cell r="U37">
            <v>136</v>
          </cell>
          <cell r="W37">
            <v>44596</v>
          </cell>
          <cell r="X37">
            <v>57519</v>
          </cell>
          <cell r="Y37">
            <v>461</v>
          </cell>
        </row>
        <row r="38">
          <cell r="A38">
            <v>44597</v>
          </cell>
          <cell r="B38">
            <v>125.3</v>
          </cell>
          <cell r="D38">
            <v>44597</v>
          </cell>
          <cell r="E38">
            <v>8.5399999999999991</v>
          </cell>
          <cell r="G38">
            <v>44597</v>
          </cell>
          <cell r="H38">
            <v>223.45</v>
          </cell>
          <cell r="J38">
            <v>44597</v>
          </cell>
          <cell r="K38">
            <v>249.25</v>
          </cell>
          <cell r="M38">
            <v>44597</v>
          </cell>
          <cell r="N38">
            <v>3</v>
          </cell>
          <cell r="P38">
            <v>44597</v>
          </cell>
          <cell r="Q38">
            <v>0</v>
          </cell>
          <cell r="S38">
            <v>44597</v>
          </cell>
          <cell r="T38">
            <v>2158</v>
          </cell>
          <cell r="U38">
            <v>109</v>
          </cell>
          <cell r="W38">
            <v>44597</v>
          </cell>
          <cell r="X38">
            <v>54206</v>
          </cell>
          <cell r="Y38">
            <v>601</v>
          </cell>
        </row>
        <row r="39">
          <cell r="A39">
            <v>44598</v>
          </cell>
          <cell r="B39">
            <v>170.48</v>
          </cell>
          <cell r="D39">
            <v>44598</v>
          </cell>
          <cell r="E39">
            <v>10.119999999999999</v>
          </cell>
          <cell r="G39">
            <v>44598</v>
          </cell>
          <cell r="H39">
            <v>250.34</v>
          </cell>
          <cell r="J39">
            <v>44598</v>
          </cell>
          <cell r="K39">
            <v>257.45999999999998</v>
          </cell>
          <cell r="M39">
            <v>44598</v>
          </cell>
          <cell r="N39">
            <v>2.5</v>
          </cell>
          <cell r="P39">
            <v>44598</v>
          </cell>
          <cell r="Q39">
            <v>1</v>
          </cell>
          <cell r="S39">
            <v>44598</v>
          </cell>
          <cell r="T39">
            <v>2233</v>
          </cell>
          <cell r="U39">
            <v>137</v>
          </cell>
          <cell r="W39">
            <v>44598</v>
          </cell>
          <cell r="X39">
            <v>46200</v>
          </cell>
          <cell r="Y39">
            <v>541</v>
          </cell>
        </row>
        <row r="40">
          <cell r="A40">
            <v>44599</v>
          </cell>
          <cell r="B40">
            <v>331.77</v>
          </cell>
          <cell r="D40">
            <v>44599</v>
          </cell>
          <cell r="E40">
            <v>21.36</v>
          </cell>
          <cell r="G40">
            <v>44599</v>
          </cell>
          <cell r="H40">
            <v>228.56</v>
          </cell>
          <cell r="J40">
            <v>44599</v>
          </cell>
          <cell r="K40">
            <v>261.27999999999997</v>
          </cell>
          <cell r="M40">
            <v>44599</v>
          </cell>
          <cell r="N40">
            <v>9</v>
          </cell>
          <cell r="P40">
            <v>44599</v>
          </cell>
          <cell r="Q40">
            <v>1</v>
          </cell>
          <cell r="S40">
            <v>44599</v>
          </cell>
          <cell r="T40">
            <v>5554</v>
          </cell>
          <cell r="U40">
            <v>240</v>
          </cell>
          <cell r="W40">
            <v>44599</v>
          </cell>
          <cell r="X40">
            <v>47854</v>
          </cell>
          <cell r="Y40">
            <v>431</v>
          </cell>
        </row>
        <row r="41">
          <cell r="A41">
            <v>44600</v>
          </cell>
          <cell r="B41">
            <v>369.6</v>
          </cell>
          <cell r="D41">
            <v>44600</v>
          </cell>
          <cell r="E41">
            <v>79.53</v>
          </cell>
          <cell r="G41">
            <v>44600</v>
          </cell>
          <cell r="H41">
            <v>270.33999999999997</v>
          </cell>
          <cell r="J41">
            <v>44600</v>
          </cell>
          <cell r="K41">
            <v>261.91000000000003</v>
          </cell>
          <cell r="M41">
            <v>44600</v>
          </cell>
          <cell r="N41">
            <v>5.5</v>
          </cell>
          <cell r="P41">
            <v>44600</v>
          </cell>
          <cell r="Q41">
            <v>1</v>
          </cell>
          <cell r="S41">
            <v>44600</v>
          </cell>
          <cell r="T41">
            <v>9080</v>
          </cell>
          <cell r="U41">
            <v>265</v>
          </cell>
          <cell r="W41">
            <v>44600</v>
          </cell>
          <cell r="X41">
            <v>52499</v>
          </cell>
          <cell r="Y41">
            <v>431</v>
          </cell>
        </row>
        <row r="42">
          <cell r="A42">
            <v>44601</v>
          </cell>
          <cell r="B42">
            <v>414.28</v>
          </cell>
          <cell r="D42">
            <v>44601</v>
          </cell>
          <cell r="E42">
            <v>102.04</v>
          </cell>
          <cell r="G42">
            <v>44601</v>
          </cell>
          <cell r="H42">
            <v>546.41</v>
          </cell>
          <cell r="J42">
            <v>44601</v>
          </cell>
          <cell r="K42">
            <v>266.94</v>
          </cell>
          <cell r="M42">
            <v>44601</v>
          </cell>
          <cell r="N42">
            <v>11.1</v>
          </cell>
          <cell r="P42">
            <v>44601</v>
          </cell>
          <cell r="Q42">
            <v>0</v>
          </cell>
          <cell r="S42">
            <v>44601</v>
          </cell>
          <cell r="T42">
            <v>9545</v>
          </cell>
          <cell r="U42">
            <v>310</v>
          </cell>
          <cell r="W42">
            <v>44601</v>
          </cell>
          <cell r="X42">
            <v>68393</v>
          </cell>
          <cell r="Y42">
            <v>655</v>
          </cell>
        </row>
        <row r="43">
          <cell r="A43">
            <v>44602</v>
          </cell>
          <cell r="B43">
            <v>573.01</v>
          </cell>
          <cell r="D43">
            <v>44602</v>
          </cell>
          <cell r="E43">
            <v>179.23</v>
          </cell>
          <cell r="G43">
            <v>44602</v>
          </cell>
          <cell r="H43">
            <v>668.21</v>
          </cell>
          <cell r="J43">
            <v>44602</v>
          </cell>
          <cell r="K43">
            <v>269.42</v>
          </cell>
          <cell r="M43">
            <v>44602</v>
          </cell>
          <cell r="N43">
            <v>9.9</v>
          </cell>
          <cell r="P43">
            <v>44602</v>
          </cell>
          <cell r="Q43">
            <v>1</v>
          </cell>
          <cell r="S43">
            <v>44602</v>
          </cell>
          <cell r="T43">
            <v>27814</v>
          </cell>
          <cell r="U43">
            <v>550</v>
          </cell>
          <cell r="W43">
            <v>44602</v>
          </cell>
          <cell r="X43">
            <v>77356</v>
          </cell>
          <cell r="Y43">
            <v>657</v>
          </cell>
        </row>
        <row r="44">
          <cell r="A44">
            <v>44603</v>
          </cell>
          <cell r="B44">
            <v>533.73</v>
          </cell>
          <cell r="D44">
            <v>44603</v>
          </cell>
          <cell r="E44">
            <v>463.7</v>
          </cell>
          <cell r="G44">
            <v>44603</v>
          </cell>
          <cell r="H44">
            <v>1048.83</v>
          </cell>
          <cell r="J44">
            <v>44603</v>
          </cell>
          <cell r="K44">
            <v>491.03</v>
          </cell>
          <cell r="M44">
            <v>44603</v>
          </cell>
          <cell r="N44">
            <v>8</v>
          </cell>
          <cell r="P44">
            <v>44603</v>
          </cell>
          <cell r="Q44">
            <v>2</v>
          </cell>
          <cell r="S44">
            <v>44603</v>
          </cell>
          <cell r="T44">
            <v>25787</v>
          </cell>
          <cell r="U44">
            <v>592</v>
          </cell>
          <cell r="W44">
            <v>44603</v>
          </cell>
          <cell r="X44">
            <v>142319</v>
          </cell>
          <cell r="Y44">
            <v>859</v>
          </cell>
        </row>
        <row r="45">
          <cell r="A45">
            <v>44604</v>
          </cell>
          <cell r="B45">
            <v>609.97</v>
          </cell>
          <cell r="D45">
            <v>44604</v>
          </cell>
          <cell r="E45">
            <v>677.84</v>
          </cell>
          <cell r="G45">
            <v>44604</v>
          </cell>
          <cell r="H45">
            <v>1267.96</v>
          </cell>
          <cell r="J45">
            <v>44604</v>
          </cell>
          <cell r="K45">
            <v>816.71</v>
          </cell>
          <cell r="M45">
            <v>44604</v>
          </cell>
          <cell r="N45">
            <v>8.4</v>
          </cell>
          <cell r="P45">
            <v>44604</v>
          </cell>
          <cell r="Q45">
            <v>2</v>
          </cell>
          <cell r="S45">
            <v>44604</v>
          </cell>
          <cell r="T45">
            <v>302826</v>
          </cell>
          <cell r="U45">
            <v>3665</v>
          </cell>
          <cell r="W45">
            <v>44604</v>
          </cell>
          <cell r="X45">
            <v>206523</v>
          </cell>
          <cell r="Y45">
            <v>1188</v>
          </cell>
        </row>
        <row r="46">
          <cell r="A46">
            <v>44605</v>
          </cell>
          <cell r="B46">
            <v>607.29</v>
          </cell>
          <cell r="D46">
            <v>44605</v>
          </cell>
          <cell r="E46">
            <v>488.4</v>
          </cell>
          <cell r="G46">
            <v>44605</v>
          </cell>
          <cell r="H46">
            <v>1377.24</v>
          </cell>
          <cell r="J46">
            <v>44605</v>
          </cell>
          <cell r="K46">
            <v>857.26</v>
          </cell>
          <cell r="M46">
            <v>44605</v>
          </cell>
          <cell r="N46">
            <v>15.4</v>
          </cell>
          <cell r="P46">
            <v>44605</v>
          </cell>
          <cell r="Q46">
            <v>4</v>
          </cell>
          <cell r="S46">
            <v>44605</v>
          </cell>
          <cell r="T46">
            <v>190994</v>
          </cell>
          <cell r="U46">
            <v>2457</v>
          </cell>
          <cell r="W46">
            <v>44605</v>
          </cell>
          <cell r="X46">
            <v>203165</v>
          </cell>
          <cell r="Y46">
            <v>1303</v>
          </cell>
        </row>
        <row r="47">
          <cell r="A47">
            <v>44606</v>
          </cell>
          <cell r="B47">
            <v>1672.45</v>
          </cell>
          <cell r="D47">
            <v>44606</v>
          </cell>
          <cell r="E47">
            <v>873.67</v>
          </cell>
          <cell r="G47">
            <v>44606</v>
          </cell>
          <cell r="H47">
            <v>2280.25</v>
          </cell>
          <cell r="J47">
            <v>44606</v>
          </cell>
          <cell r="K47">
            <v>1369.99</v>
          </cell>
          <cell r="M47">
            <v>44606</v>
          </cell>
          <cell r="N47">
            <v>32.69</v>
          </cell>
          <cell r="P47">
            <v>44606</v>
          </cell>
          <cell r="Q47">
            <v>6</v>
          </cell>
          <cell r="S47">
            <v>44606</v>
          </cell>
          <cell r="T47">
            <v>641775</v>
          </cell>
          <cell r="U47">
            <v>7724</v>
          </cell>
          <cell r="W47">
            <v>44606</v>
          </cell>
          <cell r="X47">
            <v>362484</v>
          </cell>
          <cell r="Y47">
            <v>2802</v>
          </cell>
        </row>
        <row r="48">
          <cell r="A48">
            <v>44607</v>
          </cell>
          <cell r="B48">
            <v>1585.42</v>
          </cell>
          <cell r="D48">
            <v>44607</v>
          </cell>
          <cell r="E48">
            <v>883.46</v>
          </cell>
          <cell r="G48">
            <v>44607</v>
          </cell>
          <cell r="H48">
            <v>2676.61</v>
          </cell>
          <cell r="J48">
            <v>44607</v>
          </cell>
          <cell r="K48">
            <v>1438.04</v>
          </cell>
          <cell r="M48">
            <v>44607</v>
          </cell>
          <cell r="N48">
            <v>21.51</v>
          </cell>
          <cell r="P48">
            <v>44607</v>
          </cell>
          <cell r="Q48">
            <v>2</v>
          </cell>
          <cell r="S48">
            <v>44607</v>
          </cell>
          <cell r="T48">
            <v>590195</v>
          </cell>
          <cell r="U48">
            <v>7343</v>
          </cell>
          <cell r="W48">
            <v>44607</v>
          </cell>
          <cell r="X48">
            <v>409162</v>
          </cell>
          <cell r="Y48">
            <v>3510</v>
          </cell>
        </row>
        <row r="49">
          <cell r="A49">
            <v>44608</v>
          </cell>
          <cell r="B49">
            <v>1675.56</v>
          </cell>
          <cell r="D49">
            <v>44608</v>
          </cell>
          <cell r="E49">
            <v>578.24</v>
          </cell>
          <cell r="G49">
            <v>44608</v>
          </cell>
          <cell r="H49">
            <v>2541.69</v>
          </cell>
          <cell r="J49">
            <v>44608</v>
          </cell>
          <cell r="K49">
            <v>1232.68</v>
          </cell>
          <cell r="M49">
            <v>44608</v>
          </cell>
          <cell r="N49">
            <v>39.33</v>
          </cell>
          <cell r="P49">
            <v>44608</v>
          </cell>
          <cell r="Q49">
            <v>3</v>
          </cell>
          <cell r="S49">
            <v>44608</v>
          </cell>
          <cell r="T49">
            <v>455094</v>
          </cell>
          <cell r="U49">
            <v>5519</v>
          </cell>
          <cell r="W49">
            <v>44608</v>
          </cell>
          <cell r="X49">
            <v>338215</v>
          </cell>
          <cell r="Y49">
            <v>3186</v>
          </cell>
        </row>
        <row r="50">
          <cell r="A50">
            <v>44609</v>
          </cell>
          <cell r="B50">
            <v>1333.32</v>
          </cell>
          <cell r="D50">
            <v>44609</v>
          </cell>
          <cell r="E50">
            <v>370.31</v>
          </cell>
          <cell r="G50">
            <v>44609</v>
          </cell>
          <cell r="H50">
            <v>2324.0100000000002</v>
          </cell>
          <cell r="J50">
            <v>44609</v>
          </cell>
          <cell r="K50">
            <v>330.36</v>
          </cell>
          <cell r="M50">
            <v>44609</v>
          </cell>
          <cell r="N50">
            <v>14.95</v>
          </cell>
          <cell r="P50">
            <v>44609</v>
          </cell>
          <cell r="Q50">
            <v>0</v>
          </cell>
          <cell r="S50">
            <v>44609</v>
          </cell>
          <cell r="T50">
            <v>446290</v>
          </cell>
          <cell r="U50">
            <v>5631</v>
          </cell>
          <cell r="W50">
            <v>44609</v>
          </cell>
          <cell r="X50">
            <v>237526</v>
          </cell>
          <cell r="Y50">
            <v>2882</v>
          </cell>
        </row>
        <row r="51">
          <cell r="A51">
            <v>44610</v>
          </cell>
          <cell r="B51">
            <v>1019.27</v>
          </cell>
          <cell r="D51">
            <v>44610</v>
          </cell>
          <cell r="E51">
            <v>119.01</v>
          </cell>
          <cell r="G51">
            <v>44610</v>
          </cell>
          <cell r="H51">
            <v>1982.25</v>
          </cell>
          <cell r="J51">
            <v>44610</v>
          </cell>
          <cell r="K51">
            <v>45.96</v>
          </cell>
          <cell r="M51">
            <v>44610</v>
          </cell>
          <cell r="N51">
            <v>22.51</v>
          </cell>
          <cell r="P51">
            <v>44610</v>
          </cell>
          <cell r="Q51">
            <v>0</v>
          </cell>
          <cell r="S51">
            <v>44610</v>
          </cell>
          <cell r="T51">
            <v>260183</v>
          </cell>
          <cell r="U51">
            <v>3057</v>
          </cell>
          <cell r="W51">
            <v>44610</v>
          </cell>
          <cell r="X51">
            <v>194827</v>
          </cell>
          <cell r="Y51">
            <v>2808</v>
          </cell>
        </row>
        <row r="52">
          <cell r="A52">
            <v>44611</v>
          </cell>
          <cell r="B52">
            <v>919.78</v>
          </cell>
          <cell r="D52">
            <v>44611</v>
          </cell>
          <cell r="E52">
            <v>155.9</v>
          </cell>
          <cell r="G52">
            <v>44611</v>
          </cell>
          <cell r="H52">
            <v>1883.59</v>
          </cell>
          <cell r="J52">
            <v>44611</v>
          </cell>
          <cell r="K52">
            <v>45.96</v>
          </cell>
          <cell r="M52">
            <v>44611</v>
          </cell>
          <cell r="N52">
            <v>13.41</v>
          </cell>
          <cell r="P52">
            <v>44611</v>
          </cell>
          <cell r="Q52">
            <v>0</v>
          </cell>
          <cell r="S52">
            <v>44611</v>
          </cell>
          <cell r="T52">
            <v>248768</v>
          </cell>
          <cell r="U52">
            <v>2964</v>
          </cell>
          <cell r="W52">
            <v>44611</v>
          </cell>
          <cell r="X52">
            <v>187764</v>
          </cell>
          <cell r="Y52">
            <v>2962</v>
          </cell>
        </row>
        <row r="53">
          <cell r="A53">
            <v>44612</v>
          </cell>
          <cell r="B53">
            <v>862.43</v>
          </cell>
          <cell r="D53">
            <v>44612</v>
          </cell>
          <cell r="E53">
            <v>180.51</v>
          </cell>
          <cell r="G53">
            <v>44612</v>
          </cell>
          <cell r="H53">
            <v>1986.82</v>
          </cell>
          <cell r="J53">
            <v>44612</v>
          </cell>
          <cell r="K53">
            <v>221.54</v>
          </cell>
          <cell r="M53">
            <v>44612</v>
          </cell>
          <cell r="N53">
            <v>25.88</v>
          </cell>
          <cell r="P53">
            <v>44612</v>
          </cell>
          <cell r="Q53">
            <v>0</v>
          </cell>
          <cell r="S53">
            <v>44612</v>
          </cell>
          <cell r="T53">
            <v>244502</v>
          </cell>
          <cell r="U53">
            <v>3146</v>
          </cell>
          <cell r="W53">
            <v>44612</v>
          </cell>
          <cell r="X53">
            <v>239429</v>
          </cell>
          <cell r="Y53">
            <v>3272</v>
          </cell>
        </row>
        <row r="54">
          <cell r="A54">
            <v>44613</v>
          </cell>
          <cell r="B54">
            <v>1036.6600000000001</v>
          </cell>
          <cell r="D54">
            <v>44613</v>
          </cell>
          <cell r="E54">
            <v>110.78</v>
          </cell>
          <cell r="G54">
            <v>44613</v>
          </cell>
          <cell r="H54">
            <v>1223.25</v>
          </cell>
          <cell r="J54">
            <v>44613</v>
          </cell>
          <cell r="K54">
            <v>221.54</v>
          </cell>
          <cell r="M54">
            <v>44613</v>
          </cell>
          <cell r="N54">
            <v>14.79</v>
          </cell>
          <cell r="P54">
            <v>44613</v>
          </cell>
          <cell r="Q54">
            <v>0</v>
          </cell>
          <cell r="S54">
            <v>44613</v>
          </cell>
          <cell r="T54">
            <v>225771</v>
          </cell>
          <cell r="U54">
            <v>2135</v>
          </cell>
          <cell r="W54">
            <v>44613</v>
          </cell>
          <cell r="X54">
            <v>137326</v>
          </cell>
          <cell r="Y54">
            <v>908</v>
          </cell>
        </row>
        <row r="55">
          <cell r="A55">
            <v>44614</v>
          </cell>
          <cell r="B55">
            <v>956.39</v>
          </cell>
          <cell r="D55">
            <v>44614</v>
          </cell>
          <cell r="E55">
            <v>103.67</v>
          </cell>
          <cell r="G55">
            <v>44614</v>
          </cell>
          <cell r="H55">
            <v>1579.22</v>
          </cell>
          <cell r="J55">
            <v>44614</v>
          </cell>
          <cell r="K55">
            <v>221.54</v>
          </cell>
          <cell r="M55">
            <v>44614</v>
          </cell>
          <cell r="N55">
            <v>31.22</v>
          </cell>
          <cell r="P55">
            <v>44614</v>
          </cell>
          <cell r="Q55">
            <v>0</v>
          </cell>
          <cell r="S55">
            <v>44614</v>
          </cell>
          <cell r="T55">
            <v>171920</v>
          </cell>
          <cell r="U55">
            <v>2016</v>
          </cell>
          <cell r="W55">
            <v>44614</v>
          </cell>
          <cell r="X55">
            <v>184790</v>
          </cell>
          <cell r="Y55">
            <v>1269</v>
          </cell>
        </row>
        <row r="56">
          <cell r="A56">
            <v>44615</v>
          </cell>
          <cell r="B56">
            <v>1258.44</v>
          </cell>
          <cell r="D56">
            <v>44615</v>
          </cell>
          <cell r="E56">
            <v>196.8</v>
          </cell>
          <cell r="G56">
            <v>44615</v>
          </cell>
          <cell r="H56">
            <v>1655.41</v>
          </cell>
          <cell r="J56">
            <v>44615</v>
          </cell>
          <cell r="K56">
            <v>221.54</v>
          </cell>
          <cell r="M56">
            <v>44615</v>
          </cell>
          <cell r="N56">
            <v>25.54</v>
          </cell>
          <cell r="P56">
            <v>44615</v>
          </cell>
          <cell r="Q56">
            <v>0</v>
          </cell>
          <cell r="S56">
            <v>44615</v>
          </cell>
          <cell r="T56">
            <v>219373</v>
          </cell>
          <cell r="U56">
            <v>2796</v>
          </cell>
          <cell r="W56">
            <v>44615</v>
          </cell>
          <cell r="X56">
            <v>190432</v>
          </cell>
          <cell r="Y56">
            <v>1007</v>
          </cell>
        </row>
        <row r="57">
          <cell r="A57">
            <v>44616</v>
          </cell>
          <cell r="B57">
            <v>1130.3699999999999</v>
          </cell>
          <cell r="D57">
            <v>44616</v>
          </cell>
          <cell r="E57">
            <v>158.91999999999999</v>
          </cell>
          <cell r="G57">
            <v>44616</v>
          </cell>
          <cell r="H57">
            <v>1603.68</v>
          </cell>
          <cell r="J57">
            <v>44616</v>
          </cell>
          <cell r="K57">
            <v>221.54</v>
          </cell>
          <cell r="M57">
            <v>44616</v>
          </cell>
          <cell r="N57">
            <v>24.28</v>
          </cell>
          <cell r="P57">
            <v>44616</v>
          </cell>
          <cell r="Q57">
            <v>0</v>
          </cell>
          <cell r="S57">
            <v>44616</v>
          </cell>
          <cell r="T57">
            <v>263695</v>
          </cell>
          <cell r="U57">
            <v>2752</v>
          </cell>
          <cell r="W57">
            <v>44616</v>
          </cell>
          <cell r="X57">
            <v>205802</v>
          </cell>
          <cell r="Y57">
            <v>1087</v>
          </cell>
        </row>
        <row r="58">
          <cell r="A58">
            <v>44617</v>
          </cell>
          <cell r="B58">
            <v>1023.69</v>
          </cell>
          <cell r="D58">
            <v>44617</v>
          </cell>
          <cell r="E58">
            <v>161.1</v>
          </cell>
          <cell r="G58">
            <v>44617</v>
          </cell>
          <cell r="H58">
            <v>1622.88</v>
          </cell>
          <cell r="J58">
            <v>44617</v>
          </cell>
          <cell r="K58">
            <v>221.54</v>
          </cell>
          <cell r="M58">
            <v>44617</v>
          </cell>
          <cell r="N58">
            <v>24.69</v>
          </cell>
          <cell r="P58">
            <v>44617</v>
          </cell>
          <cell r="Q58">
            <v>0</v>
          </cell>
          <cell r="S58">
            <v>44617</v>
          </cell>
          <cell r="T58">
            <v>260766</v>
          </cell>
          <cell r="U58">
            <v>2488</v>
          </cell>
          <cell r="W58">
            <v>44617</v>
          </cell>
          <cell r="X58">
            <v>199663</v>
          </cell>
          <cell r="Y58">
            <v>1241</v>
          </cell>
        </row>
        <row r="59">
          <cell r="A59">
            <v>44618</v>
          </cell>
          <cell r="B59">
            <v>1018.46</v>
          </cell>
          <cell r="D59">
            <v>44618</v>
          </cell>
          <cell r="E59">
            <v>173.33</v>
          </cell>
          <cell r="G59">
            <v>44618</v>
          </cell>
          <cell r="H59">
            <v>1643.51</v>
          </cell>
          <cell r="J59">
            <v>44618</v>
          </cell>
          <cell r="K59">
            <v>221.54</v>
          </cell>
          <cell r="M59">
            <v>44618</v>
          </cell>
          <cell r="N59">
            <v>20.48</v>
          </cell>
          <cell r="P59">
            <v>44618</v>
          </cell>
          <cell r="Q59">
            <v>0</v>
          </cell>
          <cell r="S59">
            <v>44618</v>
          </cell>
          <cell r="T59">
            <v>227345</v>
          </cell>
          <cell r="U59">
            <v>2694</v>
          </cell>
          <cell r="W59">
            <v>44618</v>
          </cell>
          <cell r="X59">
            <v>192221</v>
          </cell>
          <cell r="Y59">
            <v>1509</v>
          </cell>
        </row>
        <row r="60">
          <cell r="A60">
            <v>44619</v>
          </cell>
          <cell r="B60">
            <v>1117.1199999999999</v>
          </cell>
          <cell r="D60">
            <v>44619</v>
          </cell>
          <cell r="E60">
            <v>153.75</v>
          </cell>
          <cell r="G60">
            <v>44619</v>
          </cell>
          <cell r="H60">
            <v>1752.07</v>
          </cell>
          <cell r="J60">
            <v>44619</v>
          </cell>
          <cell r="K60">
            <v>221.54</v>
          </cell>
          <cell r="M60">
            <v>44619</v>
          </cell>
          <cell r="N60">
            <v>23.75</v>
          </cell>
          <cell r="P60">
            <v>44619</v>
          </cell>
          <cell r="Q60">
            <v>0</v>
          </cell>
          <cell r="S60">
            <v>44619</v>
          </cell>
          <cell r="T60">
            <v>210804</v>
          </cell>
          <cell r="U60">
            <v>3148</v>
          </cell>
          <cell r="W60">
            <v>44619</v>
          </cell>
          <cell r="X60">
            <v>221688</v>
          </cell>
          <cell r="Y60">
            <v>1659</v>
          </cell>
        </row>
        <row r="61">
          <cell r="A61">
            <v>44620</v>
          </cell>
          <cell r="B61">
            <v>1356.69</v>
          </cell>
          <cell r="D61">
            <v>44620</v>
          </cell>
          <cell r="E61">
            <v>155.38999999999999</v>
          </cell>
          <cell r="G61">
            <v>44620</v>
          </cell>
          <cell r="H61">
            <v>1810.38</v>
          </cell>
          <cell r="J61">
            <v>44620</v>
          </cell>
          <cell r="K61">
            <v>221.54</v>
          </cell>
          <cell r="M61">
            <v>44620</v>
          </cell>
          <cell r="N61">
            <v>32.270000000000003</v>
          </cell>
          <cell r="P61">
            <v>44620</v>
          </cell>
          <cell r="Q61">
            <v>0</v>
          </cell>
          <cell r="S61">
            <v>44620</v>
          </cell>
          <cell r="T61">
            <v>180421</v>
          </cell>
          <cell r="U61">
            <v>2802</v>
          </cell>
          <cell r="W61">
            <v>44620</v>
          </cell>
          <cell r="X61">
            <v>239853</v>
          </cell>
          <cell r="Y61">
            <v>1549</v>
          </cell>
        </row>
        <row r="62">
          <cell r="A62">
            <v>44621</v>
          </cell>
          <cell r="B62">
            <v>1188.42</v>
          </cell>
          <cell r="D62">
            <v>44621</v>
          </cell>
          <cell r="E62">
            <v>267.52</v>
          </cell>
          <cell r="G62">
            <v>44621</v>
          </cell>
          <cell r="H62">
            <v>1962.69</v>
          </cell>
          <cell r="J62">
            <v>44621</v>
          </cell>
          <cell r="K62">
            <v>221.54</v>
          </cell>
          <cell r="M62">
            <v>44621</v>
          </cell>
          <cell r="N62">
            <v>14.52</v>
          </cell>
          <cell r="P62">
            <v>44621</v>
          </cell>
          <cell r="Q62">
            <v>0</v>
          </cell>
          <cell r="S62">
            <v>44621</v>
          </cell>
          <cell r="T62">
            <v>184536</v>
          </cell>
          <cell r="U62">
            <v>2673</v>
          </cell>
          <cell r="W62">
            <v>44621</v>
          </cell>
          <cell r="X62">
            <v>263110</v>
          </cell>
          <cell r="Y62">
            <v>1705</v>
          </cell>
        </row>
        <row r="63">
          <cell r="A63">
            <v>44622</v>
          </cell>
          <cell r="B63">
            <v>1314.33</v>
          </cell>
          <cell r="D63">
            <v>44622</v>
          </cell>
          <cell r="E63">
            <v>406.11</v>
          </cell>
          <cell r="G63">
            <v>44622</v>
          </cell>
          <cell r="H63">
            <v>2149.34</v>
          </cell>
          <cell r="J63">
            <v>44622</v>
          </cell>
          <cell r="K63">
            <v>221.54</v>
          </cell>
          <cell r="M63">
            <v>44622</v>
          </cell>
          <cell r="N63">
            <v>15.68</v>
          </cell>
          <cell r="P63">
            <v>44622</v>
          </cell>
          <cell r="Q63">
            <v>0</v>
          </cell>
          <cell r="S63">
            <v>44622</v>
          </cell>
          <cell r="T63">
            <v>139078</v>
          </cell>
          <cell r="U63">
            <v>2139</v>
          </cell>
          <cell r="W63">
            <v>44622</v>
          </cell>
          <cell r="X63">
            <v>259104</v>
          </cell>
          <cell r="Y63">
            <v>1676</v>
          </cell>
        </row>
        <row r="64">
          <cell r="A64">
            <v>44623</v>
          </cell>
          <cell r="B64">
            <v>1254.46</v>
          </cell>
          <cell r="D64">
            <v>44623</v>
          </cell>
          <cell r="E64">
            <v>333.23</v>
          </cell>
          <cell r="G64">
            <v>44623</v>
          </cell>
          <cell r="H64">
            <v>2026.31</v>
          </cell>
          <cell r="J64">
            <v>44623</v>
          </cell>
          <cell r="K64">
            <v>1066.57</v>
          </cell>
          <cell r="M64">
            <v>44623</v>
          </cell>
          <cell r="N64">
            <v>18.559999999999999</v>
          </cell>
          <cell r="P64">
            <v>44623</v>
          </cell>
          <cell r="Q64">
            <v>0</v>
          </cell>
          <cell r="S64">
            <v>44623</v>
          </cell>
          <cell r="T64">
            <v>138533</v>
          </cell>
          <cell r="U64">
            <v>1905</v>
          </cell>
          <cell r="W64">
            <v>44623</v>
          </cell>
          <cell r="X64">
            <v>407310</v>
          </cell>
          <cell r="Y64">
            <v>2177</v>
          </cell>
        </row>
        <row r="65">
          <cell r="A65">
            <v>44624</v>
          </cell>
          <cell r="B65">
            <v>1679.64</v>
          </cell>
          <cell r="D65">
            <v>44624</v>
          </cell>
          <cell r="E65">
            <v>269.68</v>
          </cell>
          <cell r="G65">
            <v>44624</v>
          </cell>
          <cell r="H65">
            <v>1778.52</v>
          </cell>
          <cell r="J65">
            <v>44624</v>
          </cell>
          <cell r="K65">
            <v>970.95</v>
          </cell>
          <cell r="M65">
            <v>44624</v>
          </cell>
          <cell r="N65">
            <v>24.01</v>
          </cell>
          <cell r="P65">
            <v>44624</v>
          </cell>
          <cell r="Q65">
            <v>0</v>
          </cell>
          <cell r="S65">
            <v>44624</v>
          </cell>
          <cell r="T65">
            <v>227147</v>
          </cell>
          <cell r="U65">
            <v>2786</v>
          </cell>
          <cell r="W65">
            <v>44624</v>
          </cell>
          <cell r="X65">
            <v>364018</v>
          </cell>
          <cell r="Y65">
            <v>2295</v>
          </cell>
        </row>
        <row r="66">
          <cell r="A66">
            <v>44625</v>
          </cell>
          <cell r="B66">
            <v>2503.9299999999998</v>
          </cell>
          <cell r="D66">
            <v>44625</v>
          </cell>
          <cell r="E66">
            <v>190.1</v>
          </cell>
          <cell r="G66">
            <v>44625</v>
          </cell>
          <cell r="H66">
            <v>1642.25</v>
          </cell>
          <cell r="J66">
            <v>44625</v>
          </cell>
          <cell r="K66">
            <v>971.14</v>
          </cell>
          <cell r="M66">
            <v>44625</v>
          </cell>
          <cell r="N66">
            <v>43.39</v>
          </cell>
          <cell r="P66">
            <v>44625</v>
          </cell>
          <cell r="Q66">
            <v>0</v>
          </cell>
          <cell r="S66">
            <v>44625</v>
          </cell>
          <cell r="T66">
            <v>374992</v>
          </cell>
          <cell r="U66">
            <v>6200</v>
          </cell>
          <cell r="W66">
            <v>44625</v>
          </cell>
          <cell r="X66">
            <v>392665</v>
          </cell>
          <cell r="Y66">
            <v>2465</v>
          </cell>
        </row>
        <row r="67">
          <cell r="A67">
            <v>44626</v>
          </cell>
          <cell r="B67">
            <v>2170.7399999999998</v>
          </cell>
          <cell r="D67">
            <v>44626</v>
          </cell>
          <cell r="E67">
            <v>256.82</v>
          </cell>
          <cell r="G67">
            <v>44626</v>
          </cell>
          <cell r="H67">
            <v>1601.53</v>
          </cell>
          <cell r="J67">
            <v>44626</v>
          </cell>
          <cell r="K67">
            <v>832.52</v>
          </cell>
          <cell r="M67">
            <v>44626</v>
          </cell>
          <cell r="N67">
            <v>42.56</v>
          </cell>
          <cell r="P67">
            <v>44626</v>
          </cell>
          <cell r="Q67">
            <v>0</v>
          </cell>
          <cell r="S67">
            <v>44626</v>
          </cell>
          <cell r="T67">
            <v>405988</v>
          </cell>
          <cell r="U67">
            <v>5886</v>
          </cell>
          <cell r="W67">
            <v>44626</v>
          </cell>
          <cell r="X67">
            <v>372011</v>
          </cell>
          <cell r="Y67">
            <v>2597</v>
          </cell>
        </row>
        <row r="68">
          <cell r="A68">
            <v>44627</v>
          </cell>
          <cell r="B68">
            <v>2376.02</v>
          </cell>
          <cell r="D68">
            <v>44627</v>
          </cell>
          <cell r="E68">
            <v>536.07000000000005</v>
          </cell>
          <cell r="G68">
            <v>44627</v>
          </cell>
          <cell r="H68">
            <v>1559.93</v>
          </cell>
          <cell r="J68">
            <v>44627</v>
          </cell>
          <cell r="K68">
            <v>740.85</v>
          </cell>
          <cell r="M68">
            <v>44627</v>
          </cell>
          <cell r="N68">
            <v>55.7</v>
          </cell>
          <cell r="P68">
            <v>44627</v>
          </cell>
          <cell r="Q68">
            <v>0</v>
          </cell>
          <cell r="S68">
            <v>44627</v>
          </cell>
          <cell r="T68">
            <v>361473</v>
          </cell>
          <cell r="U68">
            <v>4975</v>
          </cell>
          <cell r="W68">
            <v>44627</v>
          </cell>
          <cell r="X68">
            <v>323749</v>
          </cell>
          <cell r="Y68">
            <v>1868</v>
          </cell>
        </row>
        <row r="69">
          <cell r="A69">
            <v>44628</v>
          </cell>
          <cell r="B69">
            <v>2196.6799999999998</v>
          </cell>
          <cell r="D69">
            <v>44628</v>
          </cell>
          <cell r="E69">
            <v>380.22</v>
          </cell>
          <cell r="G69">
            <v>44628</v>
          </cell>
          <cell r="H69">
            <v>1550.53</v>
          </cell>
          <cell r="J69">
            <v>44628</v>
          </cell>
          <cell r="K69">
            <v>685.61</v>
          </cell>
          <cell r="M69">
            <v>44628</v>
          </cell>
          <cell r="N69">
            <v>55.05</v>
          </cell>
          <cell r="P69">
            <v>44628</v>
          </cell>
          <cell r="Q69">
            <v>0</v>
          </cell>
          <cell r="S69">
            <v>44628</v>
          </cell>
          <cell r="T69">
            <v>412071</v>
          </cell>
          <cell r="U69">
            <v>4974</v>
          </cell>
          <cell r="W69">
            <v>44628</v>
          </cell>
          <cell r="X69">
            <v>232838</v>
          </cell>
          <cell r="Y69">
            <v>1458</v>
          </cell>
        </row>
        <row r="70">
          <cell r="A70">
            <v>44629</v>
          </cell>
          <cell r="B70">
            <v>2252.2399999999998</v>
          </cell>
          <cell r="D70">
            <v>44629</v>
          </cell>
          <cell r="E70">
            <v>376.65</v>
          </cell>
          <cell r="G70">
            <v>44629</v>
          </cell>
          <cell r="H70">
            <v>1555.72</v>
          </cell>
          <cell r="J70">
            <v>44629</v>
          </cell>
          <cell r="K70">
            <v>562.66</v>
          </cell>
          <cell r="M70">
            <v>44629</v>
          </cell>
          <cell r="N70">
            <v>42.18</v>
          </cell>
          <cell r="P70">
            <v>44629</v>
          </cell>
          <cell r="Q70">
            <v>0</v>
          </cell>
          <cell r="S70">
            <v>44629</v>
          </cell>
          <cell r="T70">
            <v>419965</v>
          </cell>
          <cell r="U70">
            <v>5100</v>
          </cell>
          <cell r="W70">
            <v>44629</v>
          </cell>
          <cell r="X70">
            <v>264117</v>
          </cell>
          <cell r="Y70">
            <v>1708</v>
          </cell>
        </row>
        <row r="71">
          <cell r="A71">
            <v>44630</v>
          </cell>
          <cell r="B71">
            <v>2120.0300000000002</v>
          </cell>
          <cell r="D71">
            <v>44630</v>
          </cell>
          <cell r="E71">
            <v>407.96</v>
          </cell>
          <cell r="G71">
            <v>44630</v>
          </cell>
          <cell r="H71">
            <v>1532.13</v>
          </cell>
          <cell r="J71">
            <v>44630</v>
          </cell>
          <cell r="K71">
            <v>532.21</v>
          </cell>
          <cell r="M71">
            <v>44630</v>
          </cell>
          <cell r="N71">
            <v>54.41</v>
          </cell>
          <cell r="P71">
            <v>44630</v>
          </cell>
          <cell r="Q71">
            <v>0</v>
          </cell>
          <cell r="S71">
            <v>44630</v>
          </cell>
          <cell r="T71">
            <v>445348</v>
          </cell>
          <cell r="U71">
            <v>5225</v>
          </cell>
          <cell r="W71">
            <v>44630</v>
          </cell>
          <cell r="X71">
            <v>250302</v>
          </cell>
          <cell r="Y71">
            <v>1736</v>
          </cell>
        </row>
        <row r="72">
          <cell r="A72">
            <v>44631</v>
          </cell>
          <cell r="B72">
            <v>1575.75</v>
          </cell>
          <cell r="D72">
            <v>44631</v>
          </cell>
          <cell r="E72">
            <v>297.38</v>
          </cell>
          <cell r="G72">
            <v>44631</v>
          </cell>
          <cell r="H72">
            <v>1517.28</v>
          </cell>
          <cell r="J72">
            <v>44631</v>
          </cell>
          <cell r="K72">
            <v>504.16</v>
          </cell>
          <cell r="M72">
            <v>44631</v>
          </cell>
          <cell r="N72">
            <v>38.200000000000003</v>
          </cell>
          <cell r="P72">
            <v>44631</v>
          </cell>
          <cell r="Q72">
            <v>0</v>
          </cell>
          <cell r="S72">
            <v>44631</v>
          </cell>
          <cell r="T72">
            <v>353030</v>
          </cell>
          <cell r="U72">
            <v>4810</v>
          </cell>
          <cell r="W72">
            <v>44631</v>
          </cell>
          <cell r="X72">
            <v>236936</v>
          </cell>
          <cell r="Y72">
            <v>1631</v>
          </cell>
        </row>
        <row r="73">
          <cell r="A73">
            <v>44632</v>
          </cell>
          <cell r="B73">
            <v>1765.51</v>
          </cell>
          <cell r="D73">
            <v>44632</v>
          </cell>
          <cell r="E73">
            <v>229.39</v>
          </cell>
          <cell r="G73">
            <v>44632</v>
          </cell>
          <cell r="H73">
            <v>1550.73</v>
          </cell>
          <cell r="J73">
            <v>44632</v>
          </cell>
          <cell r="K73">
            <v>503.13</v>
          </cell>
          <cell r="M73">
            <v>44632</v>
          </cell>
          <cell r="N73">
            <v>47.26</v>
          </cell>
          <cell r="P73">
            <v>44632</v>
          </cell>
          <cell r="Q73">
            <v>0</v>
          </cell>
          <cell r="S73">
            <v>44632</v>
          </cell>
          <cell r="T73">
            <v>451759</v>
          </cell>
          <cell r="U73">
            <v>5797</v>
          </cell>
          <cell r="W73">
            <v>44632</v>
          </cell>
          <cell r="X73">
            <v>230767</v>
          </cell>
          <cell r="Y73">
            <v>1709</v>
          </cell>
        </row>
        <row r="74">
          <cell r="A74">
            <v>44633</v>
          </cell>
          <cell r="B74">
            <v>1545.16</v>
          </cell>
          <cell r="D74">
            <v>44633</v>
          </cell>
          <cell r="E74">
            <v>149.31</v>
          </cell>
          <cell r="G74">
            <v>44633</v>
          </cell>
          <cell r="H74">
            <v>1538.44</v>
          </cell>
          <cell r="J74">
            <v>44633</v>
          </cell>
          <cell r="K74">
            <v>508.21</v>
          </cell>
          <cell r="M74">
            <v>44633</v>
          </cell>
          <cell r="N74">
            <v>47.55</v>
          </cell>
          <cell r="P74">
            <v>44633</v>
          </cell>
          <cell r="Q74">
            <v>0</v>
          </cell>
          <cell r="S74">
            <v>44633</v>
          </cell>
          <cell r="T74">
            <v>567973</v>
          </cell>
          <cell r="U74">
            <v>6489</v>
          </cell>
          <cell r="W74">
            <v>44633</v>
          </cell>
          <cell r="X74">
            <v>247888</v>
          </cell>
          <cell r="Y74">
            <v>1857</v>
          </cell>
        </row>
        <row r="75">
          <cell r="A75">
            <v>44634</v>
          </cell>
          <cell r="B75">
            <v>2023.52</v>
          </cell>
          <cell r="D75">
            <v>44634</v>
          </cell>
          <cell r="E75">
            <v>209.05</v>
          </cell>
          <cell r="G75">
            <v>44634</v>
          </cell>
          <cell r="H75">
            <v>1586.19</v>
          </cell>
          <cell r="J75">
            <v>44634</v>
          </cell>
          <cell r="K75">
            <v>562.34</v>
          </cell>
          <cell r="M75">
            <v>44634</v>
          </cell>
          <cell r="N75">
            <v>72.34</v>
          </cell>
          <cell r="P75">
            <v>44634</v>
          </cell>
          <cell r="Q75">
            <v>0</v>
          </cell>
          <cell r="S75">
            <v>44634</v>
          </cell>
          <cell r="T75">
            <v>533183</v>
          </cell>
          <cell r="U75">
            <v>7087</v>
          </cell>
          <cell r="W75">
            <v>44634</v>
          </cell>
          <cell r="X75">
            <v>258853</v>
          </cell>
          <cell r="Y75">
            <v>1704</v>
          </cell>
        </row>
        <row r="76">
          <cell r="A76">
            <v>44635</v>
          </cell>
          <cell r="B76">
            <v>1939.1</v>
          </cell>
          <cell r="D76">
            <v>44635</v>
          </cell>
          <cell r="E76">
            <v>211.23</v>
          </cell>
          <cell r="G76">
            <v>44635</v>
          </cell>
          <cell r="H76">
            <v>1619.05</v>
          </cell>
          <cell r="J76">
            <v>44635</v>
          </cell>
          <cell r="K76">
            <v>609.91999999999996</v>
          </cell>
          <cell r="M76">
            <v>44635</v>
          </cell>
          <cell r="N76">
            <v>52.25</v>
          </cell>
          <cell r="P76">
            <v>44635</v>
          </cell>
          <cell r="Q76">
            <v>0.5</v>
          </cell>
          <cell r="S76">
            <v>44635</v>
          </cell>
          <cell r="T76">
            <v>498547</v>
          </cell>
          <cell r="U76">
            <v>5362</v>
          </cell>
          <cell r="W76">
            <v>44635</v>
          </cell>
          <cell r="X76">
            <v>220938</v>
          </cell>
          <cell r="Y76">
            <v>1410</v>
          </cell>
        </row>
        <row r="77">
          <cell r="A77">
            <v>44636</v>
          </cell>
          <cell r="B77">
            <v>2078.44</v>
          </cell>
          <cell r="D77">
            <v>44636</v>
          </cell>
          <cell r="E77">
            <v>394.17</v>
          </cell>
          <cell r="G77">
            <v>44636</v>
          </cell>
          <cell r="H77">
            <v>1621.07</v>
          </cell>
          <cell r="J77">
            <v>44636</v>
          </cell>
          <cell r="K77">
            <v>601.26</v>
          </cell>
          <cell r="M77">
            <v>44636</v>
          </cell>
          <cell r="N77">
            <v>73.41</v>
          </cell>
          <cell r="P77">
            <v>44636</v>
          </cell>
          <cell r="Q77">
            <v>2.5</v>
          </cell>
          <cell r="S77">
            <v>44636</v>
          </cell>
          <cell r="T77">
            <v>533259</v>
          </cell>
          <cell r="U77">
            <v>5370</v>
          </cell>
          <cell r="W77">
            <v>44636</v>
          </cell>
          <cell r="X77">
            <v>225651</v>
          </cell>
          <cell r="Y77">
            <v>1693</v>
          </cell>
        </row>
        <row r="78">
          <cell r="A78">
            <v>44637</v>
          </cell>
          <cell r="B78">
            <v>2056</v>
          </cell>
          <cell r="D78">
            <v>44637</v>
          </cell>
          <cell r="E78">
            <v>677.03</v>
          </cell>
          <cell r="G78">
            <v>44637</v>
          </cell>
          <cell r="H78">
            <v>1369.88</v>
          </cell>
          <cell r="J78">
            <v>44637</v>
          </cell>
          <cell r="K78">
            <v>600.69000000000005</v>
          </cell>
          <cell r="M78">
            <v>44637</v>
          </cell>
          <cell r="N78">
            <v>71.08</v>
          </cell>
          <cell r="P78">
            <v>44637</v>
          </cell>
          <cell r="Q78">
            <v>5</v>
          </cell>
          <cell r="S78">
            <v>44637</v>
          </cell>
          <cell r="T78">
            <v>482620</v>
          </cell>
          <cell r="U78">
            <v>5490</v>
          </cell>
          <cell r="W78">
            <v>44637</v>
          </cell>
          <cell r="X78">
            <v>183639</v>
          </cell>
          <cell r="Y78">
            <v>1324</v>
          </cell>
        </row>
        <row r="79">
          <cell r="A79">
            <v>44638</v>
          </cell>
          <cell r="B79">
            <v>1634.31</v>
          </cell>
          <cell r="D79">
            <v>44638</v>
          </cell>
          <cell r="E79">
            <v>712.64</v>
          </cell>
          <cell r="G79">
            <v>44638</v>
          </cell>
          <cell r="H79">
            <v>1187.55</v>
          </cell>
          <cell r="J79">
            <v>44638</v>
          </cell>
          <cell r="K79">
            <v>539.41999999999996</v>
          </cell>
          <cell r="M79">
            <v>44638</v>
          </cell>
          <cell r="N79">
            <v>43.44</v>
          </cell>
          <cell r="P79">
            <v>44638</v>
          </cell>
          <cell r="Q79">
            <v>4</v>
          </cell>
          <cell r="S79">
            <v>44638</v>
          </cell>
          <cell r="T79">
            <v>748945</v>
          </cell>
          <cell r="U79">
            <v>6878</v>
          </cell>
          <cell r="W79">
            <v>44638</v>
          </cell>
          <cell r="X79">
            <v>160851</v>
          </cell>
          <cell r="Y79">
            <v>1015</v>
          </cell>
        </row>
        <row r="80">
          <cell r="A80">
            <v>44639</v>
          </cell>
          <cell r="B80">
            <v>1805.8</v>
          </cell>
          <cell r="D80">
            <v>44639</v>
          </cell>
          <cell r="E80">
            <v>651.41</v>
          </cell>
          <cell r="G80">
            <v>44639</v>
          </cell>
          <cell r="H80">
            <v>1485.51</v>
          </cell>
          <cell r="J80">
            <v>44639</v>
          </cell>
          <cell r="K80">
            <v>618.09</v>
          </cell>
          <cell r="M80">
            <v>44639</v>
          </cell>
          <cell r="N80">
            <v>49.19</v>
          </cell>
          <cell r="P80">
            <v>44639</v>
          </cell>
          <cell r="Q80">
            <v>5</v>
          </cell>
          <cell r="S80">
            <v>44639</v>
          </cell>
          <cell r="T80">
            <v>774276</v>
          </cell>
          <cell r="U80">
            <v>7456</v>
          </cell>
          <cell r="W80">
            <v>44639</v>
          </cell>
          <cell r="X80">
            <v>244860</v>
          </cell>
          <cell r="Y80">
            <v>1418</v>
          </cell>
        </row>
        <row r="81">
          <cell r="A81">
            <v>44640</v>
          </cell>
          <cell r="B81">
            <v>1860.87</v>
          </cell>
          <cell r="D81">
            <v>44640</v>
          </cell>
          <cell r="E81">
            <v>606.74</v>
          </cell>
          <cell r="G81">
            <v>44640</v>
          </cell>
          <cell r="H81">
            <v>1478.9</v>
          </cell>
          <cell r="J81">
            <v>44640</v>
          </cell>
          <cell r="K81">
            <v>605.82000000000005</v>
          </cell>
          <cell r="M81">
            <v>44640</v>
          </cell>
          <cell r="N81">
            <v>56.25</v>
          </cell>
          <cell r="P81">
            <v>44640</v>
          </cell>
          <cell r="Q81">
            <v>1</v>
          </cell>
          <cell r="S81">
            <v>44640</v>
          </cell>
          <cell r="T81">
            <v>798267</v>
          </cell>
          <cell r="U81">
            <v>8144</v>
          </cell>
          <cell r="W81">
            <v>44640</v>
          </cell>
          <cell r="X81">
            <v>264419</v>
          </cell>
          <cell r="Y81">
            <v>1546</v>
          </cell>
        </row>
        <row r="82">
          <cell r="A82">
            <v>44641</v>
          </cell>
          <cell r="B82">
            <v>1971.06</v>
          </cell>
          <cell r="D82">
            <v>44641</v>
          </cell>
          <cell r="E82">
            <v>951.17</v>
          </cell>
          <cell r="G82">
            <v>44641</v>
          </cell>
          <cell r="H82">
            <v>1550.12</v>
          </cell>
          <cell r="J82">
            <v>44641</v>
          </cell>
          <cell r="K82">
            <v>605.5</v>
          </cell>
          <cell r="M82">
            <v>44641</v>
          </cell>
          <cell r="N82">
            <v>76.22</v>
          </cell>
          <cell r="P82">
            <v>44641</v>
          </cell>
          <cell r="Q82">
            <v>7.06</v>
          </cell>
          <cell r="S82">
            <v>44641</v>
          </cell>
          <cell r="T82">
            <v>550743</v>
          </cell>
          <cell r="U82">
            <v>6200</v>
          </cell>
          <cell r="W82">
            <v>44641</v>
          </cell>
          <cell r="X82">
            <v>271985</v>
          </cell>
          <cell r="Y82">
            <v>1510</v>
          </cell>
        </row>
        <row r="83">
          <cell r="A83">
            <v>44642</v>
          </cell>
          <cell r="B83">
            <v>1743.68</v>
          </cell>
          <cell r="D83">
            <v>44642</v>
          </cell>
          <cell r="E83">
            <v>949.92</v>
          </cell>
          <cell r="G83">
            <v>44642</v>
          </cell>
          <cell r="H83">
            <v>1847.85</v>
          </cell>
          <cell r="J83">
            <v>44642</v>
          </cell>
          <cell r="K83">
            <v>693.39</v>
          </cell>
          <cell r="M83">
            <v>44642</v>
          </cell>
          <cell r="N83">
            <v>61.43</v>
          </cell>
          <cell r="P83">
            <v>44642</v>
          </cell>
          <cell r="Q83">
            <v>15.11</v>
          </cell>
          <cell r="S83">
            <v>44642</v>
          </cell>
          <cell r="T83">
            <v>542263</v>
          </cell>
          <cell r="U83">
            <v>6261</v>
          </cell>
          <cell r="W83">
            <v>44642</v>
          </cell>
          <cell r="X83">
            <v>324460</v>
          </cell>
          <cell r="Y83">
            <v>1717</v>
          </cell>
        </row>
        <row r="84">
          <cell r="A84">
            <v>44643</v>
          </cell>
          <cell r="B84">
            <v>2046.3</v>
          </cell>
          <cell r="D84">
            <v>44643</v>
          </cell>
          <cell r="E84">
            <v>767.24</v>
          </cell>
          <cell r="G84">
            <v>44643</v>
          </cell>
          <cell r="H84">
            <v>1983.46</v>
          </cell>
          <cell r="J84">
            <v>44643</v>
          </cell>
          <cell r="K84">
            <v>862.16</v>
          </cell>
          <cell r="M84">
            <v>44643</v>
          </cell>
          <cell r="N84">
            <v>61.41</v>
          </cell>
          <cell r="P84">
            <v>44643</v>
          </cell>
          <cell r="Q84">
            <v>5.22</v>
          </cell>
          <cell r="S84">
            <v>44643</v>
          </cell>
          <cell r="T84">
            <v>592767</v>
          </cell>
          <cell r="U84">
            <v>7421</v>
          </cell>
          <cell r="W84">
            <v>44643</v>
          </cell>
          <cell r="X84">
            <v>347400</v>
          </cell>
          <cell r="Y84">
            <v>1657</v>
          </cell>
        </row>
        <row r="85">
          <cell r="A85">
            <v>44644</v>
          </cell>
          <cell r="B85">
            <v>2008.23</v>
          </cell>
          <cell r="D85">
            <v>44644</v>
          </cell>
          <cell r="E85">
            <v>594.52</v>
          </cell>
          <cell r="G85">
            <v>44644</v>
          </cell>
          <cell r="H85">
            <v>1995.92</v>
          </cell>
          <cell r="J85">
            <v>44644</v>
          </cell>
          <cell r="K85">
            <v>870.62</v>
          </cell>
          <cell r="M85">
            <v>44644</v>
          </cell>
          <cell r="N85">
            <v>65.34</v>
          </cell>
          <cell r="P85">
            <v>44644</v>
          </cell>
          <cell r="Q85">
            <v>6.06</v>
          </cell>
          <cell r="S85">
            <v>44644</v>
          </cell>
          <cell r="T85">
            <v>499978</v>
          </cell>
          <cell r="U85">
            <v>6981</v>
          </cell>
          <cell r="W85">
            <v>44644</v>
          </cell>
          <cell r="X85">
            <v>372533</v>
          </cell>
          <cell r="Y85">
            <v>1581</v>
          </cell>
        </row>
        <row r="86">
          <cell r="A86">
            <v>44645</v>
          </cell>
          <cell r="B86">
            <v>2203.81</v>
          </cell>
          <cell r="D86">
            <v>44645</v>
          </cell>
          <cell r="E86">
            <v>576.92999999999995</v>
          </cell>
          <cell r="G86">
            <v>44645</v>
          </cell>
          <cell r="H86">
            <v>1954.8</v>
          </cell>
          <cell r="J86">
            <v>44645</v>
          </cell>
          <cell r="K86">
            <v>857.12</v>
          </cell>
          <cell r="M86">
            <v>44645</v>
          </cell>
          <cell r="N86">
            <v>70.75</v>
          </cell>
          <cell r="P86">
            <v>44645</v>
          </cell>
          <cell r="Q86">
            <v>5.0599999999999996</v>
          </cell>
          <cell r="S86">
            <v>44645</v>
          </cell>
          <cell r="T86">
            <v>589086</v>
          </cell>
          <cell r="U86">
            <v>7705</v>
          </cell>
          <cell r="W86">
            <v>44645</v>
          </cell>
          <cell r="X86">
            <v>338780</v>
          </cell>
          <cell r="Y86">
            <v>1795</v>
          </cell>
        </row>
        <row r="87">
          <cell r="A87">
            <v>44646</v>
          </cell>
          <cell r="B87">
            <v>2173.1</v>
          </cell>
          <cell r="D87">
            <v>44646</v>
          </cell>
          <cell r="E87">
            <v>631.19000000000005</v>
          </cell>
          <cell r="G87">
            <v>44646</v>
          </cell>
          <cell r="H87">
            <v>1997.94</v>
          </cell>
          <cell r="J87">
            <v>44646</v>
          </cell>
          <cell r="K87">
            <v>431.72</v>
          </cell>
          <cell r="M87">
            <v>44646</v>
          </cell>
          <cell r="N87">
            <v>63.03</v>
          </cell>
          <cell r="P87">
            <v>44646</v>
          </cell>
          <cell r="Q87">
            <v>5</v>
          </cell>
          <cell r="S87">
            <v>44646</v>
          </cell>
          <cell r="T87">
            <v>642370</v>
          </cell>
          <cell r="U87">
            <v>8782</v>
          </cell>
          <cell r="W87">
            <v>44646</v>
          </cell>
          <cell r="X87">
            <v>326128</v>
          </cell>
          <cell r="Y87">
            <v>1631</v>
          </cell>
        </row>
        <row r="88">
          <cell r="A88">
            <v>44647</v>
          </cell>
          <cell r="B88">
            <v>2201.38</v>
          </cell>
          <cell r="D88">
            <v>44647</v>
          </cell>
          <cell r="E88">
            <v>752.26</v>
          </cell>
          <cell r="G88">
            <v>44647</v>
          </cell>
          <cell r="H88">
            <v>1976.32</v>
          </cell>
          <cell r="J88">
            <v>44647</v>
          </cell>
          <cell r="K88">
            <v>0</v>
          </cell>
          <cell r="M88">
            <v>44647</v>
          </cell>
          <cell r="N88">
            <v>77.77</v>
          </cell>
          <cell r="P88">
            <v>44647</v>
          </cell>
          <cell r="Q88">
            <v>8.11</v>
          </cell>
          <cell r="S88">
            <v>44647</v>
          </cell>
          <cell r="T88">
            <v>656419</v>
          </cell>
          <cell r="U88">
            <v>9355</v>
          </cell>
          <cell r="W88">
            <v>44647</v>
          </cell>
          <cell r="X88">
            <v>265231</v>
          </cell>
          <cell r="Y88">
            <v>1526</v>
          </cell>
        </row>
        <row r="89">
          <cell r="A89">
            <v>44648</v>
          </cell>
          <cell r="B89">
            <v>2006.4</v>
          </cell>
          <cell r="D89">
            <v>44648</v>
          </cell>
          <cell r="E89">
            <v>561.12</v>
          </cell>
          <cell r="G89">
            <v>44648</v>
          </cell>
          <cell r="H89">
            <v>1900</v>
          </cell>
          <cell r="J89">
            <v>44648</v>
          </cell>
          <cell r="K89">
            <v>991.88</v>
          </cell>
          <cell r="M89">
            <v>44648</v>
          </cell>
          <cell r="N89">
            <v>94.84</v>
          </cell>
          <cell r="P89">
            <v>44648</v>
          </cell>
          <cell r="Q89">
            <v>8.64</v>
          </cell>
          <cell r="S89">
            <v>44648</v>
          </cell>
          <cell r="T89">
            <v>504980</v>
          </cell>
          <cell r="U89">
            <v>6880</v>
          </cell>
          <cell r="W89">
            <v>44648</v>
          </cell>
          <cell r="X89">
            <v>374417</v>
          </cell>
          <cell r="Y89">
            <v>1855</v>
          </cell>
        </row>
        <row r="90">
          <cell r="A90">
            <v>44649</v>
          </cell>
          <cell r="B90">
            <v>1591.63</v>
          </cell>
          <cell r="D90">
            <v>44649</v>
          </cell>
          <cell r="E90">
            <v>367.26</v>
          </cell>
          <cell r="G90">
            <v>44649</v>
          </cell>
          <cell r="H90">
            <v>1675.05</v>
          </cell>
          <cell r="J90">
            <v>44649</v>
          </cell>
          <cell r="K90">
            <v>1008.12</v>
          </cell>
          <cell r="M90">
            <v>44649</v>
          </cell>
          <cell r="N90">
            <v>68.03</v>
          </cell>
          <cell r="P90">
            <v>44649</v>
          </cell>
          <cell r="Q90">
            <v>5.31</v>
          </cell>
          <cell r="S90">
            <v>44649</v>
          </cell>
          <cell r="T90">
            <v>346951</v>
          </cell>
          <cell r="U90">
            <v>4810</v>
          </cell>
          <cell r="W90">
            <v>44649</v>
          </cell>
          <cell r="X90">
            <v>326087</v>
          </cell>
          <cell r="Y90">
            <v>1695</v>
          </cell>
        </row>
        <row r="91">
          <cell r="A91">
            <v>44650</v>
          </cell>
          <cell r="B91">
            <v>1514.91</v>
          </cell>
          <cell r="D91">
            <v>44650</v>
          </cell>
          <cell r="E91">
            <v>379.95</v>
          </cell>
          <cell r="G91">
            <v>44650</v>
          </cell>
          <cell r="H91">
            <v>1539.63</v>
          </cell>
          <cell r="J91">
            <v>44650</v>
          </cell>
          <cell r="K91">
            <v>1026.2</v>
          </cell>
          <cell r="M91">
            <v>44650</v>
          </cell>
          <cell r="N91">
            <v>54.82</v>
          </cell>
          <cell r="P91">
            <v>44650</v>
          </cell>
          <cell r="Q91">
            <v>4</v>
          </cell>
          <cell r="S91">
            <v>44650</v>
          </cell>
          <cell r="T91">
            <v>420110</v>
          </cell>
          <cell r="U91">
            <v>5470</v>
          </cell>
          <cell r="W91">
            <v>44650</v>
          </cell>
          <cell r="X91">
            <v>333504</v>
          </cell>
          <cell r="Y91">
            <v>1465</v>
          </cell>
        </row>
        <row r="92">
          <cell r="A92">
            <v>44651</v>
          </cell>
          <cell r="B92">
            <v>1697</v>
          </cell>
          <cell r="D92">
            <v>44651</v>
          </cell>
          <cell r="E92">
            <v>323.29000000000002</v>
          </cell>
          <cell r="G92">
            <v>44651</v>
          </cell>
          <cell r="H92">
            <v>1522.17</v>
          </cell>
          <cell r="J92">
            <v>44651</v>
          </cell>
          <cell r="K92">
            <v>1021.88</v>
          </cell>
          <cell r="M92">
            <v>44651</v>
          </cell>
          <cell r="N92">
            <v>69.989999999999995</v>
          </cell>
          <cell r="P92">
            <v>44651</v>
          </cell>
          <cell r="Q92">
            <v>4.83</v>
          </cell>
          <cell r="S92">
            <v>44651</v>
          </cell>
          <cell r="T92">
            <v>443560</v>
          </cell>
          <cell r="U92">
            <v>5212</v>
          </cell>
          <cell r="W92">
            <v>44651</v>
          </cell>
          <cell r="X92">
            <v>328538</v>
          </cell>
          <cell r="Y92">
            <v>1059</v>
          </cell>
        </row>
        <row r="93">
          <cell r="A93">
            <v>44652</v>
          </cell>
          <cell r="B93">
            <v>1743.36</v>
          </cell>
          <cell r="D93">
            <v>44652</v>
          </cell>
          <cell r="E93">
            <v>291.95999999999998</v>
          </cell>
          <cell r="G93">
            <v>44652</v>
          </cell>
          <cell r="H93">
            <v>1452.22</v>
          </cell>
          <cell r="J93">
            <v>44652</v>
          </cell>
          <cell r="K93">
            <v>887.97</v>
          </cell>
          <cell r="M93">
            <v>44652</v>
          </cell>
          <cell r="N93">
            <v>49.98</v>
          </cell>
          <cell r="P93">
            <v>44652</v>
          </cell>
          <cell r="Q93">
            <v>3</v>
          </cell>
          <cell r="S93">
            <v>44652</v>
          </cell>
          <cell r="T93">
            <v>437862</v>
          </cell>
          <cell r="U93">
            <v>5473</v>
          </cell>
          <cell r="W93">
            <v>44652</v>
          </cell>
          <cell r="X93">
            <v>291145</v>
          </cell>
          <cell r="Y93">
            <v>1236</v>
          </cell>
        </row>
        <row r="94">
          <cell r="A94">
            <v>44653</v>
          </cell>
          <cell r="B94">
            <v>1428.79</v>
          </cell>
          <cell r="D94">
            <v>44653</v>
          </cell>
          <cell r="E94">
            <v>384.16</v>
          </cell>
          <cell r="G94">
            <v>44653</v>
          </cell>
          <cell r="H94">
            <v>1521.43</v>
          </cell>
          <cell r="J94">
            <v>44653</v>
          </cell>
          <cell r="K94">
            <v>758.81</v>
          </cell>
          <cell r="M94">
            <v>44653</v>
          </cell>
          <cell r="N94">
            <v>26.4</v>
          </cell>
          <cell r="P94">
            <v>44653</v>
          </cell>
          <cell r="Q94">
            <v>3</v>
          </cell>
          <cell r="S94">
            <v>44653</v>
          </cell>
          <cell r="T94">
            <v>411135</v>
          </cell>
          <cell r="U94">
            <v>5795</v>
          </cell>
          <cell r="W94">
            <v>44653</v>
          </cell>
          <cell r="X94">
            <v>262012</v>
          </cell>
          <cell r="Y94">
            <v>1161</v>
          </cell>
        </row>
        <row r="95">
          <cell r="A95">
            <v>44654</v>
          </cell>
          <cell r="B95">
            <v>1756.6</v>
          </cell>
          <cell r="D95">
            <v>44654</v>
          </cell>
          <cell r="E95">
            <v>407.08</v>
          </cell>
          <cell r="G95">
            <v>44654</v>
          </cell>
          <cell r="H95">
            <v>1585.68</v>
          </cell>
          <cell r="J95">
            <v>44654</v>
          </cell>
          <cell r="K95">
            <v>266.95999999999998</v>
          </cell>
          <cell r="M95">
            <v>44654</v>
          </cell>
          <cell r="N95">
            <v>24.49</v>
          </cell>
          <cell r="P95">
            <v>44654</v>
          </cell>
          <cell r="Q95">
            <v>6</v>
          </cell>
          <cell r="S95">
            <v>44654</v>
          </cell>
          <cell r="T95">
            <v>632417</v>
          </cell>
          <cell r="U95">
            <v>7668</v>
          </cell>
          <cell r="W95">
            <v>44654</v>
          </cell>
          <cell r="X95">
            <v>215524</v>
          </cell>
          <cell r="Y95">
            <v>1136</v>
          </cell>
        </row>
        <row r="96">
          <cell r="A96">
            <v>44655</v>
          </cell>
          <cell r="B96">
            <v>1690.01</v>
          </cell>
          <cell r="D96">
            <v>44655</v>
          </cell>
          <cell r="E96">
            <v>329.2</v>
          </cell>
          <cell r="G96">
            <v>44655</v>
          </cell>
          <cell r="H96">
            <v>1505.51</v>
          </cell>
          <cell r="J96">
            <v>44655</v>
          </cell>
          <cell r="K96">
            <v>763.35</v>
          </cell>
          <cell r="M96">
            <v>44655</v>
          </cell>
          <cell r="N96">
            <v>20</v>
          </cell>
          <cell r="P96">
            <v>44655</v>
          </cell>
          <cell r="Q96">
            <v>4.5</v>
          </cell>
          <cell r="S96">
            <v>44655</v>
          </cell>
          <cell r="T96">
            <v>394143</v>
          </cell>
          <cell r="U96">
            <v>4864</v>
          </cell>
          <cell r="W96">
            <v>44655</v>
          </cell>
          <cell r="X96">
            <v>262496</v>
          </cell>
          <cell r="Y96">
            <v>927</v>
          </cell>
        </row>
        <row r="97">
          <cell r="A97">
            <v>44656</v>
          </cell>
          <cell r="B97">
            <v>1628.02</v>
          </cell>
          <cell r="D97">
            <v>44656</v>
          </cell>
          <cell r="E97">
            <v>351.06</v>
          </cell>
          <cell r="G97">
            <v>44656</v>
          </cell>
          <cell r="H97">
            <v>1436.95</v>
          </cell>
          <cell r="J97">
            <v>44656</v>
          </cell>
          <cell r="K97">
            <v>724.4</v>
          </cell>
          <cell r="M97">
            <v>44656</v>
          </cell>
          <cell r="N97">
            <v>26.49</v>
          </cell>
          <cell r="P97">
            <v>44656</v>
          </cell>
          <cell r="Q97">
            <v>5.5</v>
          </cell>
          <cell r="S97">
            <v>44656</v>
          </cell>
          <cell r="T97">
            <v>277167</v>
          </cell>
          <cell r="U97">
            <v>3791</v>
          </cell>
          <cell r="W97">
            <v>44656</v>
          </cell>
          <cell r="X97">
            <v>231439</v>
          </cell>
          <cell r="Y97">
            <v>888</v>
          </cell>
        </row>
        <row r="98">
          <cell r="A98">
            <v>44657</v>
          </cell>
          <cell r="B98">
            <v>1779.69</v>
          </cell>
          <cell r="D98">
            <v>44657</v>
          </cell>
          <cell r="E98">
            <v>516.15</v>
          </cell>
          <cell r="G98">
            <v>44657</v>
          </cell>
          <cell r="H98">
            <v>1182.68</v>
          </cell>
          <cell r="J98">
            <v>44657</v>
          </cell>
          <cell r="K98">
            <v>512.25</v>
          </cell>
          <cell r="M98">
            <v>44657</v>
          </cell>
          <cell r="N98">
            <v>24.97</v>
          </cell>
          <cell r="P98">
            <v>44657</v>
          </cell>
          <cell r="Q98">
            <v>9.33</v>
          </cell>
          <cell r="S98">
            <v>44657</v>
          </cell>
          <cell r="T98">
            <v>359705</v>
          </cell>
          <cell r="U98">
            <v>4401</v>
          </cell>
          <cell r="W98">
            <v>44657</v>
          </cell>
          <cell r="X98">
            <v>175723</v>
          </cell>
          <cell r="Y98">
            <v>723</v>
          </cell>
        </row>
        <row r="99">
          <cell r="A99">
            <v>44658</v>
          </cell>
          <cell r="B99">
            <v>1657.64</v>
          </cell>
          <cell r="D99">
            <v>44658</v>
          </cell>
          <cell r="E99">
            <v>412.53</v>
          </cell>
          <cell r="G99">
            <v>44658</v>
          </cell>
          <cell r="H99">
            <v>1037.31</v>
          </cell>
          <cell r="J99">
            <v>44658</v>
          </cell>
          <cell r="K99">
            <v>778.42</v>
          </cell>
          <cell r="M99">
            <v>44658</v>
          </cell>
          <cell r="N99">
            <v>23.73</v>
          </cell>
          <cell r="P99">
            <v>44658</v>
          </cell>
          <cell r="Q99">
            <v>2.2200000000000002</v>
          </cell>
          <cell r="S99">
            <v>44658</v>
          </cell>
          <cell r="T99">
            <v>280074</v>
          </cell>
          <cell r="U99">
            <v>3167</v>
          </cell>
          <cell r="W99">
            <v>44658</v>
          </cell>
          <cell r="X99">
            <v>199286</v>
          </cell>
          <cell r="Y99">
            <v>768</v>
          </cell>
        </row>
        <row r="100">
          <cell r="A100">
            <v>44659</v>
          </cell>
          <cell r="B100">
            <v>1812.45</v>
          </cell>
          <cell r="D100">
            <v>44659</v>
          </cell>
          <cell r="E100">
            <v>466.29</v>
          </cell>
          <cell r="G100">
            <v>44659</v>
          </cell>
          <cell r="H100">
            <v>1043.23</v>
          </cell>
          <cell r="J100">
            <v>44659</v>
          </cell>
          <cell r="K100">
            <v>772.18</v>
          </cell>
          <cell r="M100">
            <v>44659</v>
          </cell>
          <cell r="N100">
            <v>24.25</v>
          </cell>
          <cell r="P100">
            <v>44659</v>
          </cell>
          <cell r="Q100">
            <v>5.56</v>
          </cell>
          <cell r="S100">
            <v>44659</v>
          </cell>
          <cell r="T100">
            <v>357880</v>
          </cell>
          <cell r="U100">
            <v>4227</v>
          </cell>
          <cell r="W100">
            <v>44659</v>
          </cell>
          <cell r="X100">
            <v>192451</v>
          </cell>
          <cell r="Y100">
            <v>786</v>
          </cell>
        </row>
        <row r="101">
          <cell r="A101">
            <v>44660</v>
          </cell>
          <cell r="B101">
            <v>1520.98</v>
          </cell>
          <cell r="D101">
            <v>44660</v>
          </cell>
          <cell r="E101">
            <v>371.8</v>
          </cell>
          <cell r="G101">
            <v>44660</v>
          </cell>
          <cell r="H101">
            <v>1113.9000000000001</v>
          </cell>
          <cell r="J101">
            <v>44660</v>
          </cell>
          <cell r="K101">
            <v>449.4</v>
          </cell>
          <cell r="M101">
            <v>44660</v>
          </cell>
          <cell r="N101">
            <v>19</v>
          </cell>
          <cell r="P101">
            <v>44660</v>
          </cell>
          <cell r="Q101">
            <v>5</v>
          </cell>
          <cell r="S101">
            <v>44660</v>
          </cell>
          <cell r="T101">
            <v>307514</v>
          </cell>
          <cell r="U101">
            <v>4792</v>
          </cell>
          <cell r="W101">
            <v>44660</v>
          </cell>
          <cell r="X101">
            <v>169142</v>
          </cell>
          <cell r="Y101">
            <v>714</v>
          </cell>
        </row>
        <row r="102">
          <cell r="A102">
            <v>44661</v>
          </cell>
          <cell r="B102">
            <v>1785.3</v>
          </cell>
          <cell r="D102">
            <v>44661</v>
          </cell>
          <cell r="E102">
            <v>339.55</v>
          </cell>
          <cell r="G102">
            <v>44661</v>
          </cell>
          <cell r="H102">
            <v>1133.4000000000001</v>
          </cell>
          <cell r="J102">
            <v>44661</v>
          </cell>
          <cell r="K102">
            <v>0</v>
          </cell>
          <cell r="M102">
            <v>44661</v>
          </cell>
          <cell r="N102">
            <v>25</v>
          </cell>
          <cell r="P102">
            <v>44661</v>
          </cell>
          <cell r="Q102">
            <v>6.03</v>
          </cell>
          <cell r="S102">
            <v>44661</v>
          </cell>
          <cell r="T102">
            <v>336839</v>
          </cell>
          <cell r="U102">
            <v>4710</v>
          </cell>
          <cell r="W102">
            <v>44661</v>
          </cell>
          <cell r="X102">
            <v>131634</v>
          </cell>
          <cell r="Y102">
            <v>603</v>
          </cell>
        </row>
        <row r="103">
          <cell r="A103">
            <v>44662</v>
          </cell>
          <cell r="B103">
            <v>2013.37</v>
          </cell>
          <cell r="D103">
            <v>44662</v>
          </cell>
          <cell r="E103">
            <v>646.46</v>
          </cell>
          <cell r="G103">
            <v>44662</v>
          </cell>
          <cell r="H103">
            <v>1070.28</v>
          </cell>
          <cell r="J103">
            <v>44662</v>
          </cell>
          <cell r="K103">
            <v>779.93</v>
          </cell>
          <cell r="M103">
            <v>44662</v>
          </cell>
          <cell r="N103">
            <v>37.99</v>
          </cell>
          <cell r="P103">
            <v>44662</v>
          </cell>
          <cell r="Q103">
            <v>12.07</v>
          </cell>
          <cell r="S103">
            <v>44662</v>
          </cell>
          <cell r="T103">
            <v>422468</v>
          </cell>
          <cell r="U103">
            <v>5083</v>
          </cell>
          <cell r="W103">
            <v>44662</v>
          </cell>
          <cell r="X103">
            <v>204572</v>
          </cell>
          <cell r="Y103">
            <v>696</v>
          </cell>
        </row>
        <row r="104">
          <cell r="A104">
            <v>44663</v>
          </cell>
          <cell r="B104">
            <v>1688.55</v>
          </cell>
          <cell r="D104">
            <v>44663</v>
          </cell>
          <cell r="E104">
            <v>511.81</v>
          </cell>
          <cell r="G104">
            <v>44663</v>
          </cell>
          <cell r="H104">
            <v>1028.06</v>
          </cell>
          <cell r="J104">
            <v>44663</v>
          </cell>
          <cell r="K104">
            <v>774.73</v>
          </cell>
          <cell r="M104">
            <v>44663</v>
          </cell>
          <cell r="N104">
            <v>26</v>
          </cell>
          <cell r="P104">
            <v>44663</v>
          </cell>
          <cell r="Q104">
            <v>9.83</v>
          </cell>
          <cell r="S104">
            <v>44663</v>
          </cell>
          <cell r="T104">
            <v>359622</v>
          </cell>
          <cell r="U104">
            <v>3826</v>
          </cell>
          <cell r="W104">
            <v>44663</v>
          </cell>
          <cell r="X104">
            <v>182986</v>
          </cell>
          <cell r="Y104">
            <v>724</v>
          </cell>
        </row>
        <row r="105">
          <cell r="A105">
            <v>44664</v>
          </cell>
          <cell r="B105">
            <v>2176.79</v>
          </cell>
          <cell r="D105">
            <v>44664</v>
          </cell>
          <cell r="E105">
            <v>422.24</v>
          </cell>
          <cell r="G105">
            <v>44664</v>
          </cell>
          <cell r="H105">
            <v>984.29</v>
          </cell>
          <cell r="J105">
            <v>44664</v>
          </cell>
          <cell r="K105">
            <v>445.34</v>
          </cell>
          <cell r="M105">
            <v>44664</v>
          </cell>
          <cell r="N105">
            <v>36</v>
          </cell>
          <cell r="P105">
            <v>44664</v>
          </cell>
          <cell r="Q105">
            <v>10</v>
          </cell>
          <cell r="S105">
            <v>44664</v>
          </cell>
          <cell r="T105">
            <v>414087</v>
          </cell>
          <cell r="U105">
            <v>4297</v>
          </cell>
          <cell r="W105">
            <v>44664</v>
          </cell>
          <cell r="X105">
            <v>151287</v>
          </cell>
          <cell r="Y105">
            <v>636</v>
          </cell>
        </row>
        <row r="106">
          <cell r="A106">
            <v>44665</v>
          </cell>
          <cell r="B106">
            <v>1178.27</v>
          </cell>
          <cell r="D106">
            <v>44665</v>
          </cell>
          <cell r="E106">
            <v>476.52</v>
          </cell>
          <cell r="G106">
            <v>44665</v>
          </cell>
          <cell r="H106">
            <v>981.59</v>
          </cell>
          <cell r="J106">
            <v>44665</v>
          </cell>
          <cell r="K106">
            <v>775.49</v>
          </cell>
          <cell r="M106">
            <v>44665</v>
          </cell>
          <cell r="N106">
            <v>21</v>
          </cell>
          <cell r="P106">
            <v>44665</v>
          </cell>
          <cell r="Q106">
            <v>10.58</v>
          </cell>
          <cell r="S106">
            <v>44665</v>
          </cell>
          <cell r="T106">
            <v>408801</v>
          </cell>
          <cell r="U106">
            <v>3218</v>
          </cell>
          <cell r="W106">
            <v>44665</v>
          </cell>
          <cell r="X106">
            <v>190982</v>
          </cell>
          <cell r="Y106">
            <v>676</v>
          </cell>
        </row>
        <row r="107">
          <cell r="A107">
            <v>44666</v>
          </cell>
          <cell r="B107">
            <v>1346.52</v>
          </cell>
          <cell r="D107">
            <v>44666</v>
          </cell>
          <cell r="E107">
            <v>362.25</v>
          </cell>
          <cell r="G107">
            <v>44666</v>
          </cell>
          <cell r="H107">
            <v>984.55</v>
          </cell>
          <cell r="J107">
            <v>44666</v>
          </cell>
          <cell r="K107">
            <v>773.08</v>
          </cell>
          <cell r="M107">
            <v>44666</v>
          </cell>
          <cell r="N107">
            <v>8.33</v>
          </cell>
          <cell r="P107">
            <v>44666</v>
          </cell>
          <cell r="Q107">
            <v>16.2</v>
          </cell>
          <cell r="S107">
            <v>44666</v>
          </cell>
          <cell r="T107">
            <v>498481</v>
          </cell>
          <cell r="U107">
            <v>3796</v>
          </cell>
          <cell r="W107">
            <v>44666</v>
          </cell>
          <cell r="X107">
            <v>193190</v>
          </cell>
          <cell r="Y107">
            <v>712</v>
          </cell>
        </row>
        <row r="108">
          <cell r="A108">
            <v>44667</v>
          </cell>
          <cell r="B108">
            <v>1858.12</v>
          </cell>
          <cell r="D108">
            <v>44667</v>
          </cell>
          <cell r="E108">
            <v>321.43</v>
          </cell>
          <cell r="G108">
            <v>44667</v>
          </cell>
          <cell r="H108">
            <v>1093.54</v>
          </cell>
          <cell r="J108">
            <v>44667</v>
          </cell>
          <cell r="K108">
            <v>451.43</v>
          </cell>
          <cell r="M108">
            <v>44667</v>
          </cell>
          <cell r="N108">
            <v>30</v>
          </cell>
          <cell r="P108">
            <v>44667</v>
          </cell>
          <cell r="Q108">
            <v>3</v>
          </cell>
          <cell r="S108">
            <v>44667</v>
          </cell>
          <cell r="T108">
            <v>622328</v>
          </cell>
          <cell r="U108">
            <v>5277</v>
          </cell>
          <cell r="W108">
            <v>44667</v>
          </cell>
          <cell r="X108">
            <v>174786</v>
          </cell>
          <cell r="Y108">
            <v>595</v>
          </cell>
        </row>
        <row r="109">
          <cell r="A109">
            <v>44668</v>
          </cell>
          <cell r="B109">
            <v>1726.49</v>
          </cell>
          <cell r="D109">
            <v>44668</v>
          </cell>
          <cell r="E109">
            <v>659.66</v>
          </cell>
          <cell r="G109">
            <v>44668</v>
          </cell>
          <cell r="H109">
            <v>1103.56</v>
          </cell>
          <cell r="J109">
            <v>44668</v>
          </cell>
          <cell r="K109">
            <v>0</v>
          </cell>
          <cell r="M109">
            <v>44668</v>
          </cell>
          <cell r="N109">
            <v>25.11</v>
          </cell>
          <cell r="P109">
            <v>44668</v>
          </cell>
          <cell r="Q109">
            <v>12.91</v>
          </cell>
          <cell r="S109">
            <v>44668</v>
          </cell>
          <cell r="T109">
            <v>609644</v>
          </cell>
          <cell r="U109">
            <v>5765</v>
          </cell>
          <cell r="W109">
            <v>44668</v>
          </cell>
          <cell r="X109">
            <v>134189</v>
          </cell>
          <cell r="Y109">
            <v>618</v>
          </cell>
        </row>
        <row r="110">
          <cell r="A110">
            <v>44669</v>
          </cell>
          <cell r="B110">
            <v>2490.48</v>
          </cell>
          <cell r="D110">
            <v>44669</v>
          </cell>
          <cell r="E110">
            <v>599.19000000000005</v>
          </cell>
          <cell r="G110">
            <v>44669</v>
          </cell>
          <cell r="H110">
            <v>1038.74</v>
          </cell>
          <cell r="J110">
            <v>44669</v>
          </cell>
          <cell r="K110">
            <v>778.15</v>
          </cell>
          <cell r="M110">
            <v>44669</v>
          </cell>
          <cell r="N110">
            <v>41.87</v>
          </cell>
          <cell r="P110">
            <v>44669</v>
          </cell>
          <cell r="Q110">
            <v>19.5</v>
          </cell>
          <cell r="S110">
            <v>44669</v>
          </cell>
          <cell r="T110">
            <v>542425</v>
          </cell>
          <cell r="U110">
            <v>5653</v>
          </cell>
          <cell r="W110">
            <v>44669</v>
          </cell>
          <cell r="X110">
            <v>228949</v>
          </cell>
          <cell r="Y110">
            <v>733</v>
          </cell>
        </row>
        <row r="111">
          <cell r="A111">
            <v>44670</v>
          </cell>
          <cell r="B111">
            <v>2320.37</v>
          </cell>
          <cell r="D111">
            <v>44670</v>
          </cell>
          <cell r="E111">
            <v>248.28</v>
          </cell>
          <cell r="G111">
            <v>44670</v>
          </cell>
          <cell r="H111">
            <v>1018.9</v>
          </cell>
          <cell r="J111">
            <v>44670</v>
          </cell>
          <cell r="K111">
            <v>769.44</v>
          </cell>
          <cell r="M111">
            <v>44670</v>
          </cell>
          <cell r="N111">
            <v>22.25</v>
          </cell>
          <cell r="P111">
            <v>44670</v>
          </cell>
          <cell r="Q111">
            <v>6.67</v>
          </cell>
          <cell r="S111">
            <v>44670</v>
          </cell>
          <cell r="T111">
            <v>446632</v>
          </cell>
          <cell r="U111">
            <v>3493</v>
          </cell>
          <cell r="W111">
            <v>44670</v>
          </cell>
          <cell r="X111">
            <v>193239</v>
          </cell>
          <cell r="Y111">
            <v>688</v>
          </cell>
        </row>
        <row r="112">
          <cell r="A112">
            <v>44671</v>
          </cell>
          <cell r="B112">
            <v>2176.83</v>
          </cell>
          <cell r="D112">
            <v>44671</v>
          </cell>
          <cell r="E112">
            <v>861.31</v>
          </cell>
          <cell r="G112">
            <v>44671</v>
          </cell>
          <cell r="H112">
            <v>1018.54</v>
          </cell>
          <cell r="J112">
            <v>44671</v>
          </cell>
          <cell r="K112">
            <v>452.41</v>
          </cell>
          <cell r="M112">
            <v>44671</v>
          </cell>
          <cell r="N112">
            <v>30</v>
          </cell>
          <cell r="P112">
            <v>44671</v>
          </cell>
          <cell r="Q112">
            <v>17.29</v>
          </cell>
          <cell r="S112">
            <v>44671</v>
          </cell>
          <cell r="T112">
            <v>485104</v>
          </cell>
          <cell r="U112">
            <v>4945</v>
          </cell>
          <cell r="W112">
            <v>44671</v>
          </cell>
          <cell r="X112">
            <v>148571</v>
          </cell>
          <cell r="Y112">
            <v>491</v>
          </cell>
        </row>
        <row r="113">
          <cell r="A113">
            <v>44672</v>
          </cell>
          <cell r="B113">
            <v>1873.07</v>
          </cell>
          <cell r="D113">
            <v>44672</v>
          </cell>
          <cell r="E113">
            <v>1082.98</v>
          </cell>
          <cell r="G113">
            <v>44672</v>
          </cell>
          <cell r="H113">
            <v>993.6</v>
          </cell>
          <cell r="J113">
            <v>44672</v>
          </cell>
          <cell r="K113">
            <v>0</v>
          </cell>
          <cell r="M113">
            <v>44672</v>
          </cell>
          <cell r="N113">
            <v>17</v>
          </cell>
          <cell r="P113">
            <v>44672</v>
          </cell>
          <cell r="Q113">
            <v>4.42</v>
          </cell>
          <cell r="S113">
            <v>44672</v>
          </cell>
          <cell r="T113">
            <v>378616</v>
          </cell>
          <cell r="U113">
            <v>3682</v>
          </cell>
          <cell r="W113">
            <v>44672</v>
          </cell>
          <cell r="X113">
            <v>102431</v>
          </cell>
          <cell r="Y113">
            <v>350</v>
          </cell>
        </row>
        <row r="114">
          <cell r="A114">
            <v>44673</v>
          </cell>
          <cell r="B114">
            <v>2010.22</v>
          </cell>
          <cell r="D114">
            <v>44673</v>
          </cell>
          <cell r="E114">
            <v>737.3</v>
          </cell>
          <cell r="G114">
            <v>44673</v>
          </cell>
          <cell r="H114">
            <v>980.82</v>
          </cell>
          <cell r="J114">
            <v>44673</v>
          </cell>
          <cell r="K114">
            <v>0</v>
          </cell>
          <cell r="M114">
            <v>44673</v>
          </cell>
          <cell r="N114">
            <v>26.44</v>
          </cell>
          <cell r="P114">
            <v>44673</v>
          </cell>
          <cell r="Q114">
            <v>7.23</v>
          </cell>
          <cell r="S114">
            <v>44673</v>
          </cell>
          <cell r="T114">
            <v>607877</v>
          </cell>
          <cell r="U114">
            <v>6523</v>
          </cell>
          <cell r="W114">
            <v>44673</v>
          </cell>
          <cell r="X114">
            <v>111694</v>
          </cell>
          <cell r="Y114">
            <v>396</v>
          </cell>
        </row>
        <row r="115">
          <cell r="A115">
            <v>44674</v>
          </cell>
          <cell r="B115">
            <v>1672.85</v>
          </cell>
          <cell r="D115">
            <v>44674</v>
          </cell>
          <cell r="E115">
            <v>311.99</v>
          </cell>
          <cell r="G115">
            <v>44674</v>
          </cell>
          <cell r="H115">
            <v>1062.69</v>
          </cell>
          <cell r="J115">
            <v>44674</v>
          </cell>
          <cell r="K115">
            <v>0</v>
          </cell>
          <cell r="M115">
            <v>44674</v>
          </cell>
          <cell r="N115">
            <v>8.56</v>
          </cell>
          <cell r="P115">
            <v>44674</v>
          </cell>
          <cell r="Q115">
            <v>6.1</v>
          </cell>
          <cell r="S115">
            <v>44674</v>
          </cell>
          <cell r="T115">
            <v>450453</v>
          </cell>
          <cell r="U115">
            <v>4907</v>
          </cell>
          <cell r="W115">
            <v>44674</v>
          </cell>
          <cell r="X115">
            <v>131536</v>
          </cell>
          <cell r="Y115">
            <v>469</v>
          </cell>
        </row>
        <row r="116">
          <cell r="A116">
            <v>44675</v>
          </cell>
          <cell r="B116">
            <v>1666.64</v>
          </cell>
          <cell r="D116">
            <v>44675</v>
          </cell>
          <cell r="E116">
            <v>391.53</v>
          </cell>
          <cell r="G116">
            <v>44675</v>
          </cell>
          <cell r="H116">
            <v>1109.78</v>
          </cell>
          <cell r="J116">
            <v>44675</v>
          </cell>
          <cell r="K116">
            <v>0</v>
          </cell>
          <cell r="M116">
            <v>44675</v>
          </cell>
          <cell r="N116">
            <v>21</v>
          </cell>
          <cell r="P116">
            <v>44675</v>
          </cell>
          <cell r="Q116">
            <v>10</v>
          </cell>
          <cell r="S116">
            <v>44675</v>
          </cell>
          <cell r="T116">
            <v>407393</v>
          </cell>
          <cell r="U116">
            <v>4299</v>
          </cell>
          <cell r="W116">
            <v>44675</v>
          </cell>
          <cell r="X116">
            <v>136589</v>
          </cell>
          <cell r="Y116">
            <v>485</v>
          </cell>
        </row>
        <row r="117">
          <cell r="A117">
            <v>44676</v>
          </cell>
          <cell r="B117">
            <v>1978.93</v>
          </cell>
          <cell r="D117">
            <v>44676</v>
          </cell>
          <cell r="E117">
            <v>573.41999999999996</v>
          </cell>
          <cell r="G117">
            <v>44676</v>
          </cell>
          <cell r="H117">
            <v>1044.1199999999999</v>
          </cell>
          <cell r="J117">
            <v>44676</v>
          </cell>
          <cell r="K117">
            <v>785.98</v>
          </cell>
          <cell r="M117">
            <v>44676</v>
          </cell>
          <cell r="N117">
            <v>18</v>
          </cell>
          <cell r="P117">
            <v>44676</v>
          </cell>
          <cell r="Q117">
            <v>7</v>
          </cell>
          <cell r="S117">
            <v>44676</v>
          </cell>
          <cell r="T117">
            <v>276257</v>
          </cell>
          <cell r="U117">
            <v>3281</v>
          </cell>
          <cell r="W117">
            <v>44676</v>
          </cell>
          <cell r="X117">
            <v>198832</v>
          </cell>
          <cell r="Y117">
            <v>575</v>
          </cell>
        </row>
        <row r="118">
          <cell r="A118">
            <v>44677</v>
          </cell>
          <cell r="B118">
            <v>783.85</v>
          </cell>
          <cell r="D118">
            <v>44677</v>
          </cell>
          <cell r="E118">
            <v>682.23</v>
          </cell>
          <cell r="G118">
            <v>44677</v>
          </cell>
          <cell r="H118">
            <v>2133.06</v>
          </cell>
          <cell r="J118">
            <v>44677</v>
          </cell>
          <cell r="K118">
            <v>710.28</v>
          </cell>
          <cell r="M118">
            <v>44677</v>
          </cell>
          <cell r="N118">
            <v>13</v>
          </cell>
          <cell r="P118">
            <v>44677</v>
          </cell>
          <cell r="Q118">
            <v>3</v>
          </cell>
          <cell r="S118">
            <v>44677</v>
          </cell>
          <cell r="T118">
            <v>36510</v>
          </cell>
          <cell r="U118">
            <v>667</v>
          </cell>
          <cell r="W118">
            <v>44677</v>
          </cell>
          <cell r="X118">
            <v>322742</v>
          </cell>
          <cell r="Y118">
            <v>843</v>
          </cell>
        </row>
        <row r="119">
          <cell r="A119">
            <v>44678</v>
          </cell>
          <cell r="B119">
            <v>648.02</v>
          </cell>
          <cell r="D119">
            <v>44678</v>
          </cell>
          <cell r="E119">
            <v>2485.15</v>
          </cell>
          <cell r="G119">
            <v>44678</v>
          </cell>
          <cell r="H119">
            <v>1869.93</v>
          </cell>
          <cell r="J119">
            <v>44678</v>
          </cell>
          <cell r="K119">
            <v>697.72</v>
          </cell>
          <cell r="M119">
            <v>44678</v>
          </cell>
          <cell r="N119">
            <v>6</v>
          </cell>
          <cell r="P119">
            <v>44678</v>
          </cell>
          <cell r="Q119">
            <v>3</v>
          </cell>
          <cell r="S119">
            <v>44678</v>
          </cell>
          <cell r="T119">
            <v>15113</v>
          </cell>
          <cell r="U119">
            <v>608</v>
          </cell>
          <cell r="W119">
            <v>44678</v>
          </cell>
          <cell r="X119">
            <v>283061</v>
          </cell>
          <cell r="Y119">
            <v>779</v>
          </cell>
        </row>
        <row r="120">
          <cell r="A120">
            <v>44679</v>
          </cell>
          <cell r="B120">
            <v>606.05999999999995</v>
          </cell>
          <cell r="D120">
            <v>44679</v>
          </cell>
          <cell r="E120">
            <v>4136.99</v>
          </cell>
          <cell r="G120">
            <v>44679</v>
          </cell>
          <cell r="H120">
            <v>1571.87</v>
          </cell>
          <cell r="J120">
            <v>44679</v>
          </cell>
          <cell r="K120">
            <v>681.33</v>
          </cell>
          <cell r="M120">
            <v>44679</v>
          </cell>
          <cell r="N120">
            <v>6</v>
          </cell>
          <cell r="P120">
            <v>44679</v>
          </cell>
          <cell r="Q120">
            <v>3</v>
          </cell>
          <cell r="S120">
            <v>44679</v>
          </cell>
          <cell r="T120">
            <v>14934</v>
          </cell>
          <cell r="U120">
            <v>680</v>
          </cell>
          <cell r="W120">
            <v>44679</v>
          </cell>
          <cell r="X120">
            <v>297291</v>
          </cell>
          <cell r="Y120">
            <v>624</v>
          </cell>
        </row>
        <row r="121">
          <cell r="A121">
            <v>44680</v>
          </cell>
          <cell r="B121">
            <v>543.79999999999995</v>
          </cell>
          <cell r="D121">
            <v>44680</v>
          </cell>
          <cell r="E121">
            <v>4218.9799999999996</v>
          </cell>
          <cell r="G121">
            <v>44680</v>
          </cell>
          <cell r="H121">
            <v>1470.29</v>
          </cell>
          <cell r="J121">
            <v>44680</v>
          </cell>
          <cell r="K121">
            <v>716.53</v>
          </cell>
          <cell r="M121">
            <v>44680</v>
          </cell>
          <cell r="N121">
            <v>4</v>
          </cell>
          <cell r="P121">
            <v>44680</v>
          </cell>
          <cell r="Q121">
            <v>5</v>
          </cell>
          <cell r="S121">
            <v>44680</v>
          </cell>
          <cell r="T121">
            <v>13688</v>
          </cell>
          <cell r="U121">
            <v>565</v>
          </cell>
          <cell r="W121">
            <v>44680</v>
          </cell>
          <cell r="X121">
            <v>300872</v>
          </cell>
          <cell r="Y121">
            <v>524</v>
          </cell>
        </row>
        <row r="122">
          <cell r="A122">
            <v>44681</v>
          </cell>
          <cell r="B122">
            <v>584.72</v>
          </cell>
          <cell r="D122">
            <v>44681</v>
          </cell>
          <cell r="E122">
            <v>3966.53</v>
          </cell>
          <cell r="G122">
            <v>44681</v>
          </cell>
          <cell r="H122">
            <v>1632.08</v>
          </cell>
          <cell r="J122">
            <v>44681</v>
          </cell>
          <cell r="K122">
            <v>768.02</v>
          </cell>
          <cell r="M122">
            <v>44681</v>
          </cell>
          <cell r="N122">
            <v>5</v>
          </cell>
          <cell r="P122">
            <v>44681</v>
          </cell>
          <cell r="Q122">
            <v>2</v>
          </cell>
          <cell r="S122">
            <v>44681</v>
          </cell>
          <cell r="T122">
            <v>8177</v>
          </cell>
          <cell r="U122">
            <v>424</v>
          </cell>
          <cell r="W122">
            <v>44681</v>
          </cell>
          <cell r="X122">
            <v>345603</v>
          </cell>
          <cell r="Y122">
            <v>575</v>
          </cell>
        </row>
        <row r="123">
          <cell r="A123">
            <v>44682</v>
          </cell>
          <cell r="B123">
            <v>481.6</v>
          </cell>
          <cell r="D123">
            <v>44682</v>
          </cell>
          <cell r="E123">
            <v>3575.91</v>
          </cell>
          <cell r="G123">
            <v>44682</v>
          </cell>
          <cell r="H123">
            <v>1411.39</v>
          </cell>
          <cell r="J123">
            <v>44682</v>
          </cell>
          <cell r="K123">
            <v>640.14</v>
          </cell>
          <cell r="M123">
            <v>44682</v>
          </cell>
          <cell r="N123">
            <v>5</v>
          </cell>
          <cell r="P123">
            <v>44682</v>
          </cell>
          <cell r="Q123">
            <v>1</v>
          </cell>
          <cell r="S123">
            <v>44682</v>
          </cell>
          <cell r="T123">
            <v>7107</v>
          </cell>
          <cell r="U123">
            <v>361</v>
          </cell>
          <cell r="W123">
            <v>44682</v>
          </cell>
          <cell r="X123">
            <v>364129</v>
          </cell>
          <cell r="Y123">
            <v>654</v>
          </cell>
        </row>
        <row r="124">
          <cell r="A124">
            <v>44683</v>
          </cell>
          <cell r="B124">
            <v>605.34</v>
          </cell>
          <cell r="D124">
            <v>44683</v>
          </cell>
          <cell r="E124">
            <v>3361.71</v>
          </cell>
          <cell r="G124">
            <v>44683</v>
          </cell>
          <cell r="H124">
            <v>1494.67</v>
          </cell>
          <cell r="J124">
            <v>44683</v>
          </cell>
          <cell r="K124">
            <v>0</v>
          </cell>
          <cell r="M124">
            <v>44683</v>
          </cell>
          <cell r="N124">
            <v>7</v>
          </cell>
          <cell r="P124">
            <v>44683</v>
          </cell>
          <cell r="Q124">
            <v>1</v>
          </cell>
          <cell r="S124">
            <v>44683</v>
          </cell>
          <cell r="T124">
            <v>11429</v>
          </cell>
          <cell r="U124">
            <v>431</v>
          </cell>
          <cell r="W124">
            <v>44683</v>
          </cell>
          <cell r="X124">
            <v>300628</v>
          </cell>
          <cell r="Y124">
            <v>483</v>
          </cell>
        </row>
        <row r="125">
          <cell r="A125">
            <v>44684</v>
          </cell>
          <cell r="B125">
            <v>738.83</v>
          </cell>
          <cell r="D125">
            <v>44684</v>
          </cell>
          <cell r="E125">
            <v>771.52</v>
          </cell>
          <cell r="G125">
            <v>44684</v>
          </cell>
          <cell r="H125">
            <v>1490.03</v>
          </cell>
          <cell r="J125">
            <v>44684</v>
          </cell>
          <cell r="K125">
            <v>802.01</v>
          </cell>
          <cell r="M125">
            <v>44684</v>
          </cell>
          <cell r="N125">
            <v>7</v>
          </cell>
          <cell r="P125">
            <v>44684</v>
          </cell>
          <cell r="Q125">
            <v>2</v>
          </cell>
          <cell r="S125">
            <v>44684</v>
          </cell>
          <cell r="T125">
            <v>14301</v>
          </cell>
          <cell r="U125">
            <v>514</v>
          </cell>
          <cell r="W125">
            <v>44684</v>
          </cell>
          <cell r="X125">
            <v>349103</v>
          </cell>
          <cell r="Y125">
            <v>719</v>
          </cell>
        </row>
        <row r="126">
          <cell r="A126">
            <v>44685</v>
          </cell>
          <cell r="B126">
            <v>774.98</v>
          </cell>
          <cell r="D126">
            <v>44685</v>
          </cell>
          <cell r="E126">
            <v>770.67</v>
          </cell>
          <cell r="G126">
            <v>44685</v>
          </cell>
          <cell r="H126">
            <v>1451.01</v>
          </cell>
          <cell r="J126">
            <v>44685</v>
          </cell>
          <cell r="K126">
            <v>858.5</v>
          </cell>
          <cell r="M126">
            <v>44685</v>
          </cell>
          <cell r="N126">
            <v>5</v>
          </cell>
          <cell r="P126">
            <v>44685</v>
          </cell>
          <cell r="Q126">
            <v>0.5</v>
          </cell>
          <cell r="S126">
            <v>44685</v>
          </cell>
          <cell r="T126">
            <v>13551</v>
          </cell>
          <cell r="U126">
            <v>480</v>
          </cell>
          <cell r="W126">
            <v>44685</v>
          </cell>
          <cell r="X126">
            <v>314620</v>
          </cell>
          <cell r="Y126">
            <v>642</v>
          </cell>
        </row>
        <row r="127">
          <cell r="A127">
            <v>44686</v>
          </cell>
          <cell r="B127">
            <v>697.13</v>
          </cell>
          <cell r="D127">
            <v>44686</v>
          </cell>
          <cell r="E127">
            <v>790.13</v>
          </cell>
          <cell r="G127">
            <v>44686</v>
          </cell>
          <cell r="H127">
            <v>1439.97</v>
          </cell>
          <cell r="J127">
            <v>44686</v>
          </cell>
          <cell r="K127">
            <v>856.01</v>
          </cell>
          <cell r="M127">
            <v>44686</v>
          </cell>
          <cell r="N127">
            <v>9</v>
          </cell>
          <cell r="P127">
            <v>44686</v>
          </cell>
          <cell r="Q127">
            <v>3.5</v>
          </cell>
          <cell r="S127">
            <v>44686</v>
          </cell>
          <cell r="T127">
            <v>12240</v>
          </cell>
          <cell r="U127">
            <v>473</v>
          </cell>
          <cell r="W127">
            <v>44686</v>
          </cell>
          <cell r="X127">
            <v>351443</v>
          </cell>
          <cell r="Y127">
            <v>535</v>
          </cell>
        </row>
        <row r="128">
          <cell r="A128">
            <v>44687</v>
          </cell>
          <cell r="B128">
            <v>402.39</v>
          </cell>
          <cell r="D128">
            <v>44687</v>
          </cell>
          <cell r="E128">
            <v>669.13</v>
          </cell>
          <cell r="G128">
            <v>44687</v>
          </cell>
          <cell r="H128">
            <v>1404.15</v>
          </cell>
          <cell r="J128">
            <v>44687</v>
          </cell>
          <cell r="K128">
            <v>857.87</v>
          </cell>
          <cell r="M128">
            <v>44687</v>
          </cell>
          <cell r="N128">
            <v>6</v>
          </cell>
          <cell r="P128">
            <v>44687</v>
          </cell>
          <cell r="Q128">
            <v>1</v>
          </cell>
          <cell r="S128">
            <v>44687</v>
          </cell>
          <cell r="T128">
            <v>9837</v>
          </cell>
          <cell r="U128">
            <v>354</v>
          </cell>
          <cell r="W128">
            <v>44687</v>
          </cell>
          <cell r="X128">
            <v>330288</v>
          </cell>
          <cell r="Y128">
            <v>529</v>
          </cell>
        </row>
        <row r="129">
          <cell r="A129">
            <v>44688</v>
          </cell>
          <cell r="B129">
            <v>426.74</v>
          </cell>
          <cell r="D129">
            <v>44688</v>
          </cell>
          <cell r="E129">
            <v>297.93</v>
          </cell>
          <cell r="G129">
            <v>44688</v>
          </cell>
          <cell r="H129">
            <v>1578.57</v>
          </cell>
          <cell r="J129">
            <v>44688</v>
          </cell>
          <cell r="K129">
            <v>867.3</v>
          </cell>
          <cell r="M129">
            <v>44688</v>
          </cell>
          <cell r="N129">
            <v>2</v>
          </cell>
          <cell r="P129">
            <v>44688</v>
          </cell>
          <cell r="Q129">
            <v>2</v>
          </cell>
          <cell r="S129">
            <v>44688</v>
          </cell>
          <cell r="T129">
            <v>6401</v>
          </cell>
          <cell r="U129">
            <v>229</v>
          </cell>
          <cell r="W129">
            <v>44688</v>
          </cell>
          <cell r="X129">
            <v>362020</v>
          </cell>
          <cell r="Y129">
            <v>607</v>
          </cell>
        </row>
        <row r="130">
          <cell r="A130">
            <v>44689</v>
          </cell>
          <cell r="B130">
            <v>387.37</v>
          </cell>
          <cell r="D130">
            <v>44689</v>
          </cell>
          <cell r="E130">
            <v>385.03</v>
          </cell>
          <cell r="G130">
            <v>44689</v>
          </cell>
          <cell r="H130">
            <v>1580.55</v>
          </cell>
          <cell r="J130">
            <v>44689</v>
          </cell>
          <cell r="K130">
            <v>758.31</v>
          </cell>
          <cell r="M130">
            <v>44689</v>
          </cell>
          <cell r="N130">
            <v>1</v>
          </cell>
          <cell r="P130">
            <v>44689</v>
          </cell>
          <cell r="Q130">
            <v>1</v>
          </cell>
          <cell r="S130">
            <v>44689</v>
          </cell>
          <cell r="T130">
            <v>6311</v>
          </cell>
          <cell r="U130">
            <v>240</v>
          </cell>
          <cell r="W130">
            <v>44689</v>
          </cell>
          <cell r="X130">
            <v>380405</v>
          </cell>
          <cell r="Y130">
            <v>649</v>
          </cell>
        </row>
        <row r="131">
          <cell r="A131">
            <v>44690</v>
          </cell>
          <cell r="B131">
            <v>780.92</v>
          </cell>
          <cell r="D131">
            <v>44690</v>
          </cell>
          <cell r="E131">
            <v>1092.8800000000001</v>
          </cell>
          <cell r="G131">
            <v>44690</v>
          </cell>
          <cell r="H131">
            <v>1666.2</v>
          </cell>
          <cell r="J131">
            <v>44690</v>
          </cell>
          <cell r="K131">
            <v>0</v>
          </cell>
          <cell r="M131">
            <v>44690</v>
          </cell>
          <cell r="N131">
            <v>10</v>
          </cell>
          <cell r="P131">
            <v>44690</v>
          </cell>
          <cell r="Q131">
            <v>2.5</v>
          </cell>
          <cell r="S131">
            <v>44690</v>
          </cell>
          <cell r="T131">
            <v>28080</v>
          </cell>
          <cell r="U131">
            <v>740</v>
          </cell>
          <cell r="W131">
            <v>44690</v>
          </cell>
          <cell r="X131">
            <v>250372</v>
          </cell>
          <cell r="Y131">
            <v>505</v>
          </cell>
        </row>
        <row r="132">
          <cell r="A132">
            <v>44691</v>
          </cell>
          <cell r="B132">
            <v>1022.18</v>
          </cell>
          <cell r="D132">
            <v>44691</v>
          </cell>
          <cell r="E132">
            <v>1051.1099999999999</v>
          </cell>
          <cell r="G132">
            <v>44691</v>
          </cell>
          <cell r="H132">
            <v>1608.13</v>
          </cell>
          <cell r="J132">
            <v>44691</v>
          </cell>
          <cell r="K132">
            <v>953.74</v>
          </cell>
          <cell r="M132">
            <v>44691</v>
          </cell>
          <cell r="N132">
            <v>6</v>
          </cell>
          <cell r="P132">
            <v>44691</v>
          </cell>
          <cell r="Q132">
            <v>6.67</v>
          </cell>
          <cell r="S132">
            <v>44691</v>
          </cell>
          <cell r="T132">
            <v>63370</v>
          </cell>
          <cell r="U132">
            <v>1369</v>
          </cell>
          <cell r="W132">
            <v>44691</v>
          </cell>
          <cell r="X132">
            <v>359011</v>
          </cell>
          <cell r="Y132">
            <v>694</v>
          </cell>
        </row>
        <row r="133">
          <cell r="A133">
            <v>44692</v>
          </cell>
          <cell r="B133">
            <v>1023.55</v>
          </cell>
          <cell r="D133">
            <v>44692</v>
          </cell>
          <cell r="E133">
            <v>1345.07</v>
          </cell>
          <cell r="G133">
            <v>44692</v>
          </cell>
          <cell r="H133">
            <v>1583.73</v>
          </cell>
          <cell r="J133">
            <v>44692</v>
          </cell>
          <cell r="K133">
            <v>955.59</v>
          </cell>
          <cell r="M133">
            <v>44692</v>
          </cell>
          <cell r="N133">
            <v>5</v>
          </cell>
          <cell r="P133">
            <v>44692</v>
          </cell>
          <cell r="Q133">
            <v>12.67</v>
          </cell>
          <cell r="S133">
            <v>44692</v>
          </cell>
          <cell r="T133">
            <v>165924</v>
          </cell>
          <cell r="U133">
            <v>2933</v>
          </cell>
          <cell r="W133">
            <v>44692</v>
          </cell>
          <cell r="X133">
            <v>354188</v>
          </cell>
          <cell r="Y133">
            <v>720</v>
          </cell>
        </row>
        <row r="134">
          <cell r="A134">
            <v>44693</v>
          </cell>
          <cell r="B134">
            <v>863.86</v>
          </cell>
          <cell r="D134">
            <v>44693</v>
          </cell>
          <cell r="E134">
            <v>1026.76</v>
          </cell>
          <cell r="G134">
            <v>44693</v>
          </cell>
          <cell r="H134">
            <v>1497.54</v>
          </cell>
          <cell r="J134">
            <v>44693</v>
          </cell>
          <cell r="K134">
            <v>989.72</v>
          </cell>
          <cell r="M134">
            <v>44693</v>
          </cell>
          <cell r="N134">
            <v>8</v>
          </cell>
          <cell r="P134">
            <v>44693</v>
          </cell>
          <cell r="Q134">
            <v>11.5</v>
          </cell>
          <cell r="S134">
            <v>44693</v>
          </cell>
          <cell r="T134">
            <v>119822</v>
          </cell>
          <cell r="U134">
            <v>2079</v>
          </cell>
          <cell r="W134">
            <v>44693</v>
          </cell>
          <cell r="X134">
            <v>360645</v>
          </cell>
          <cell r="Y134">
            <v>676</v>
          </cell>
        </row>
        <row r="135">
          <cell r="A135">
            <v>44694</v>
          </cell>
          <cell r="B135">
            <v>692.75</v>
          </cell>
          <cell r="D135">
            <v>44694</v>
          </cell>
          <cell r="E135">
            <v>932.4</v>
          </cell>
          <cell r="G135">
            <v>44694</v>
          </cell>
          <cell r="H135">
            <v>2020.96</v>
          </cell>
          <cell r="J135">
            <v>44694</v>
          </cell>
          <cell r="K135">
            <v>1109.18</v>
          </cell>
          <cell r="M135">
            <v>44694</v>
          </cell>
          <cell r="N135">
            <v>5</v>
          </cell>
          <cell r="P135">
            <v>44694</v>
          </cell>
          <cell r="Q135">
            <v>12</v>
          </cell>
          <cell r="S135">
            <v>44694</v>
          </cell>
          <cell r="T135">
            <v>103629</v>
          </cell>
          <cell r="U135">
            <v>1837</v>
          </cell>
          <cell r="W135">
            <v>44694</v>
          </cell>
          <cell r="X135">
            <v>466591</v>
          </cell>
          <cell r="Y135">
            <v>964</v>
          </cell>
        </row>
        <row r="136">
          <cell r="A136">
            <v>44695</v>
          </cell>
          <cell r="B136">
            <v>559.20000000000005</v>
          </cell>
          <cell r="D136">
            <v>44695</v>
          </cell>
          <cell r="E136">
            <v>545.53</v>
          </cell>
          <cell r="G136">
            <v>44695</v>
          </cell>
          <cell r="H136">
            <v>3109.75</v>
          </cell>
          <cell r="J136">
            <v>44695</v>
          </cell>
          <cell r="K136">
            <v>1178.3900000000001</v>
          </cell>
          <cell r="M136">
            <v>44695</v>
          </cell>
          <cell r="N136">
            <v>6</v>
          </cell>
          <cell r="P136">
            <v>44695</v>
          </cell>
          <cell r="Q136">
            <v>2</v>
          </cell>
          <cell r="S136">
            <v>44695</v>
          </cell>
          <cell r="T136">
            <v>117064</v>
          </cell>
          <cell r="U136">
            <v>2028</v>
          </cell>
          <cell r="W136">
            <v>44695</v>
          </cell>
          <cell r="X136">
            <v>675638</v>
          </cell>
          <cell r="Y136">
            <v>1390</v>
          </cell>
        </row>
        <row r="137">
          <cell r="A137">
            <v>44696</v>
          </cell>
          <cell r="B137">
            <v>606.34</v>
          </cell>
          <cell r="D137">
            <v>44696</v>
          </cell>
          <cell r="E137">
            <v>649.09</v>
          </cell>
          <cell r="G137">
            <v>44696</v>
          </cell>
          <cell r="H137">
            <v>3235.31</v>
          </cell>
          <cell r="J137">
            <v>44696</v>
          </cell>
          <cell r="K137">
            <v>1194.71</v>
          </cell>
          <cell r="M137">
            <v>44696</v>
          </cell>
          <cell r="N137">
            <v>7</v>
          </cell>
          <cell r="P137">
            <v>44696</v>
          </cell>
          <cell r="Q137">
            <v>9.5</v>
          </cell>
          <cell r="S137">
            <v>44696</v>
          </cell>
          <cell r="T137">
            <v>109339</v>
          </cell>
          <cell r="U137">
            <v>1804</v>
          </cell>
          <cell r="W137">
            <v>44696</v>
          </cell>
          <cell r="X137">
            <v>724522</v>
          </cell>
          <cell r="Y137">
            <v>1418</v>
          </cell>
        </row>
        <row r="138">
          <cell r="A138">
            <v>44697</v>
          </cell>
          <cell r="B138">
            <v>651.46</v>
          </cell>
          <cell r="D138">
            <v>44697</v>
          </cell>
          <cell r="E138">
            <v>1021.94</v>
          </cell>
          <cell r="G138">
            <v>44697</v>
          </cell>
          <cell r="H138">
            <v>2904.4</v>
          </cell>
          <cell r="J138">
            <v>44697</v>
          </cell>
          <cell r="K138">
            <v>1113.2</v>
          </cell>
          <cell r="M138">
            <v>44697</v>
          </cell>
          <cell r="N138">
            <v>15.01</v>
          </cell>
          <cell r="P138">
            <v>44697</v>
          </cell>
          <cell r="Q138">
            <v>5</v>
          </cell>
          <cell r="S138">
            <v>44697</v>
          </cell>
          <cell r="T138">
            <v>57935</v>
          </cell>
          <cell r="U138">
            <v>1083</v>
          </cell>
          <cell r="W138">
            <v>44697</v>
          </cell>
          <cell r="X138">
            <v>605105</v>
          </cell>
          <cell r="Y138">
            <v>1341</v>
          </cell>
        </row>
        <row r="139">
          <cell r="A139">
            <v>44698</v>
          </cell>
          <cell r="B139">
            <v>1118.43</v>
          </cell>
          <cell r="D139">
            <v>44698</v>
          </cell>
          <cell r="E139">
            <v>941.21</v>
          </cell>
          <cell r="G139">
            <v>44698</v>
          </cell>
          <cell r="H139">
            <v>2575.54</v>
          </cell>
          <cell r="J139">
            <v>44698</v>
          </cell>
          <cell r="K139">
            <v>1076.3499999999999</v>
          </cell>
          <cell r="M139">
            <v>44698</v>
          </cell>
          <cell r="N139">
            <v>10.07</v>
          </cell>
          <cell r="P139">
            <v>44698</v>
          </cell>
          <cell r="Q139">
            <v>3</v>
          </cell>
          <cell r="S139">
            <v>44698</v>
          </cell>
          <cell r="T139">
            <v>318458</v>
          </cell>
          <cell r="U139">
            <v>1030</v>
          </cell>
          <cell r="W139">
            <v>44698</v>
          </cell>
          <cell r="X139">
            <v>537532</v>
          </cell>
          <cell r="Y139">
            <v>1300</v>
          </cell>
        </row>
        <row r="140">
          <cell r="A140">
            <v>44699</v>
          </cell>
          <cell r="B140">
            <v>1046.5999999999999</v>
          </cell>
          <cell r="D140">
            <v>44699</v>
          </cell>
          <cell r="E140">
            <v>991.3</v>
          </cell>
          <cell r="G140">
            <v>44699</v>
          </cell>
          <cell r="H140">
            <v>2354.5500000000002</v>
          </cell>
          <cell r="J140">
            <v>44699</v>
          </cell>
          <cell r="K140">
            <v>1026.8</v>
          </cell>
          <cell r="M140">
            <v>44699</v>
          </cell>
          <cell r="N140">
            <v>4.93</v>
          </cell>
          <cell r="P140">
            <v>44699</v>
          </cell>
          <cell r="Q140">
            <v>1.17</v>
          </cell>
          <cell r="S140">
            <v>44699</v>
          </cell>
          <cell r="T140">
            <v>294909</v>
          </cell>
          <cell r="U140">
            <v>926</v>
          </cell>
          <cell r="W140">
            <v>44699</v>
          </cell>
          <cell r="X140">
            <v>489417</v>
          </cell>
          <cell r="Y140">
            <v>1115</v>
          </cell>
        </row>
        <row r="141">
          <cell r="A141">
            <v>44700</v>
          </cell>
          <cell r="B141">
            <v>1114.8399999999999</v>
          </cell>
          <cell r="D141">
            <v>44700</v>
          </cell>
          <cell r="E141">
            <v>893.84</v>
          </cell>
          <cell r="G141">
            <v>44700</v>
          </cell>
          <cell r="H141">
            <v>3071.77</v>
          </cell>
          <cell r="J141">
            <v>44700</v>
          </cell>
          <cell r="K141">
            <v>402.32</v>
          </cell>
          <cell r="M141">
            <v>44700</v>
          </cell>
          <cell r="N141">
            <v>10</v>
          </cell>
          <cell r="P141">
            <v>44700</v>
          </cell>
          <cell r="Q141">
            <v>2.17</v>
          </cell>
          <cell r="S141">
            <v>44700</v>
          </cell>
          <cell r="T141">
            <v>389312</v>
          </cell>
          <cell r="U141">
            <v>988</v>
          </cell>
          <cell r="W141">
            <v>44700</v>
          </cell>
          <cell r="X141">
            <v>507461</v>
          </cell>
          <cell r="Y141">
            <v>1017</v>
          </cell>
        </row>
        <row r="142">
          <cell r="A142">
            <v>44701</v>
          </cell>
          <cell r="B142">
            <v>1397.43</v>
          </cell>
          <cell r="D142">
            <v>44701</v>
          </cell>
          <cell r="E142">
            <v>734.58</v>
          </cell>
          <cell r="G142">
            <v>44701</v>
          </cell>
          <cell r="H142">
            <v>3407.74</v>
          </cell>
          <cell r="J142">
            <v>44701</v>
          </cell>
          <cell r="K142">
            <v>1411.29</v>
          </cell>
          <cell r="M142">
            <v>44701</v>
          </cell>
          <cell r="N142">
            <v>0</v>
          </cell>
          <cell r="P142">
            <v>44701</v>
          </cell>
          <cell r="Q142">
            <v>1</v>
          </cell>
          <cell r="S142">
            <v>44701</v>
          </cell>
          <cell r="T142">
            <v>123673</v>
          </cell>
          <cell r="U142">
            <v>979</v>
          </cell>
          <cell r="W142">
            <v>44701</v>
          </cell>
          <cell r="X142">
            <v>834824</v>
          </cell>
          <cell r="Y142">
            <v>1379</v>
          </cell>
        </row>
        <row r="143">
          <cell r="A143">
            <v>44702</v>
          </cell>
          <cell r="B143">
            <v>1398.82</v>
          </cell>
          <cell r="D143">
            <v>44702</v>
          </cell>
          <cell r="E143">
            <v>363.77</v>
          </cell>
          <cell r="G143">
            <v>44702</v>
          </cell>
          <cell r="H143">
            <v>3709.95</v>
          </cell>
          <cell r="J143">
            <v>44702</v>
          </cell>
          <cell r="K143">
            <v>1420.6</v>
          </cell>
          <cell r="M143">
            <v>44702</v>
          </cell>
          <cell r="N143">
            <v>9</v>
          </cell>
          <cell r="P143">
            <v>44702</v>
          </cell>
          <cell r="Q143">
            <v>1</v>
          </cell>
          <cell r="S143">
            <v>44702</v>
          </cell>
          <cell r="T143">
            <v>230572</v>
          </cell>
          <cell r="U143">
            <v>1776</v>
          </cell>
          <cell r="W143">
            <v>44702</v>
          </cell>
          <cell r="X143">
            <v>884061</v>
          </cell>
          <cell r="Y143">
            <v>1444</v>
          </cell>
        </row>
        <row r="144">
          <cell r="A144">
            <v>44703</v>
          </cell>
          <cell r="B144">
            <v>1471.51</v>
          </cell>
          <cell r="D144">
            <v>44703</v>
          </cell>
          <cell r="E144">
            <v>451.02</v>
          </cell>
          <cell r="G144">
            <v>44703</v>
          </cell>
          <cell r="H144">
            <v>3772.03</v>
          </cell>
          <cell r="J144">
            <v>44703</v>
          </cell>
          <cell r="K144">
            <v>1343.51</v>
          </cell>
          <cell r="M144">
            <v>44703</v>
          </cell>
          <cell r="N144">
            <v>6</v>
          </cell>
          <cell r="P144">
            <v>44703</v>
          </cell>
          <cell r="Q144">
            <v>1</v>
          </cell>
          <cell r="S144">
            <v>44703</v>
          </cell>
          <cell r="T144">
            <v>589819</v>
          </cell>
          <cell r="U144">
            <v>1936</v>
          </cell>
          <cell r="W144">
            <v>44703</v>
          </cell>
          <cell r="X144">
            <v>1020911</v>
          </cell>
          <cell r="Y144">
            <v>1454</v>
          </cell>
        </row>
        <row r="145">
          <cell r="A145">
            <v>44704</v>
          </cell>
          <cell r="B145">
            <v>2345.29</v>
          </cell>
          <cell r="D145">
            <v>44704</v>
          </cell>
          <cell r="E145">
            <v>854.48</v>
          </cell>
          <cell r="G145">
            <v>44704</v>
          </cell>
          <cell r="H145">
            <v>3647.46</v>
          </cell>
          <cell r="J145">
            <v>44704</v>
          </cell>
          <cell r="K145">
            <v>1265.95</v>
          </cell>
          <cell r="M145">
            <v>44704</v>
          </cell>
          <cell r="N145">
            <v>12</v>
          </cell>
          <cell r="P145">
            <v>44704</v>
          </cell>
          <cell r="Q145">
            <v>3</v>
          </cell>
          <cell r="S145">
            <v>44704</v>
          </cell>
          <cell r="T145">
            <v>296592</v>
          </cell>
          <cell r="U145">
            <v>1681</v>
          </cell>
          <cell r="W145">
            <v>44704</v>
          </cell>
          <cell r="X145">
            <v>870916</v>
          </cell>
          <cell r="Y145">
            <v>1424</v>
          </cell>
        </row>
        <row r="146">
          <cell r="A146">
            <v>44705</v>
          </cell>
          <cell r="B146">
            <v>2287.2199999999998</v>
          </cell>
          <cell r="D146">
            <v>44705</v>
          </cell>
          <cell r="E146">
            <v>994.09</v>
          </cell>
          <cell r="G146">
            <v>44705</v>
          </cell>
          <cell r="H146">
            <v>3547.22</v>
          </cell>
          <cell r="J146">
            <v>44705</v>
          </cell>
          <cell r="K146">
            <v>1115.76</v>
          </cell>
          <cell r="M146">
            <v>44705</v>
          </cell>
          <cell r="N146">
            <v>17</v>
          </cell>
          <cell r="P146">
            <v>44705</v>
          </cell>
          <cell r="Q146">
            <v>2</v>
          </cell>
          <cell r="S146">
            <v>44705</v>
          </cell>
          <cell r="T146">
            <v>435732</v>
          </cell>
          <cell r="U146">
            <v>1758</v>
          </cell>
          <cell r="W146">
            <v>44705</v>
          </cell>
          <cell r="X146">
            <v>743473</v>
          </cell>
          <cell r="Y146">
            <v>1289</v>
          </cell>
        </row>
        <row r="147">
          <cell r="A147">
            <v>44706</v>
          </cell>
          <cell r="B147">
            <v>3042.75</v>
          </cell>
          <cell r="D147">
            <v>44706</v>
          </cell>
          <cell r="E147">
            <v>1050.74</v>
          </cell>
          <cell r="G147">
            <v>44706</v>
          </cell>
          <cell r="H147">
            <v>3447.13</v>
          </cell>
          <cell r="J147">
            <v>44706</v>
          </cell>
          <cell r="K147">
            <v>1100.25</v>
          </cell>
          <cell r="M147">
            <v>44706</v>
          </cell>
          <cell r="N147">
            <v>17</v>
          </cell>
          <cell r="P147">
            <v>44706</v>
          </cell>
          <cell r="Q147">
            <v>0</v>
          </cell>
          <cell r="S147">
            <v>44706</v>
          </cell>
          <cell r="T147">
            <v>859912</v>
          </cell>
          <cell r="U147">
            <v>8825</v>
          </cell>
          <cell r="W147">
            <v>44706</v>
          </cell>
          <cell r="X147">
            <v>811392</v>
          </cell>
          <cell r="Y147">
            <v>1161</v>
          </cell>
        </row>
        <row r="148">
          <cell r="A148">
            <v>44707</v>
          </cell>
          <cell r="B148">
            <v>2235.06</v>
          </cell>
          <cell r="D148">
            <v>44707</v>
          </cell>
          <cell r="E148">
            <v>771.02</v>
          </cell>
          <cell r="G148">
            <v>44707</v>
          </cell>
          <cell r="H148">
            <v>3256.13</v>
          </cell>
          <cell r="J148">
            <v>44707</v>
          </cell>
          <cell r="K148">
            <v>1127.3800000000001</v>
          </cell>
          <cell r="M148">
            <v>44707</v>
          </cell>
          <cell r="N148">
            <v>19.670000000000002</v>
          </cell>
          <cell r="P148">
            <v>44707</v>
          </cell>
          <cell r="Q148">
            <v>2</v>
          </cell>
          <cell r="S148">
            <v>44707</v>
          </cell>
          <cell r="T148">
            <v>512563</v>
          </cell>
          <cell r="U148">
            <v>5097</v>
          </cell>
          <cell r="W148">
            <v>44707</v>
          </cell>
          <cell r="X148">
            <v>732439</v>
          </cell>
          <cell r="Y148">
            <v>1054</v>
          </cell>
        </row>
        <row r="149">
          <cell r="A149">
            <v>44708</v>
          </cell>
          <cell r="B149">
            <v>1839.74</v>
          </cell>
          <cell r="D149">
            <v>44708</v>
          </cell>
          <cell r="E149">
            <v>549.08000000000004</v>
          </cell>
          <cell r="G149">
            <v>44708</v>
          </cell>
          <cell r="H149">
            <v>3158.47</v>
          </cell>
          <cell r="J149">
            <v>44708</v>
          </cell>
          <cell r="K149">
            <v>1135.26</v>
          </cell>
          <cell r="M149">
            <v>44708</v>
          </cell>
          <cell r="N149">
            <v>17.829999999999998</v>
          </cell>
          <cell r="P149">
            <v>44708</v>
          </cell>
          <cell r="Q149">
            <v>1</v>
          </cell>
          <cell r="S149">
            <v>44708</v>
          </cell>
          <cell r="T149">
            <v>173163</v>
          </cell>
          <cell r="U149">
            <v>2585</v>
          </cell>
          <cell r="W149">
            <v>44708</v>
          </cell>
          <cell r="X149">
            <v>660350</v>
          </cell>
          <cell r="Y149">
            <v>1066</v>
          </cell>
        </row>
        <row r="150">
          <cell r="A150">
            <v>44709</v>
          </cell>
          <cell r="B150">
            <v>1549.43</v>
          </cell>
          <cell r="D150">
            <v>44709</v>
          </cell>
          <cell r="E150">
            <v>368.65</v>
          </cell>
          <cell r="G150">
            <v>44709</v>
          </cell>
          <cell r="H150">
            <v>3593.68</v>
          </cell>
          <cell r="J150">
            <v>44709</v>
          </cell>
          <cell r="K150">
            <v>1277.8900000000001</v>
          </cell>
          <cell r="M150">
            <v>44709</v>
          </cell>
          <cell r="N150">
            <v>7.5</v>
          </cell>
          <cell r="P150">
            <v>44709</v>
          </cell>
          <cell r="Q150">
            <v>0</v>
          </cell>
          <cell r="S150">
            <v>44709</v>
          </cell>
          <cell r="T150">
            <v>390915</v>
          </cell>
          <cell r="U150">
            <v>5631</v>
          </cell>
          <cell r="W150">
            <v>44709</v>
          </cell>
          <cell r="X150">
            <v>886273</v>
          </cell>
          <cell r="Y150">
            <v>1342</v>
          </cell>
        </row>
        <row r="151">
          <cell r="A151">
            <v>44710</v>
          </cell>
          <cell r="B151">
            <v>1870.31</v>
          </cell>
          <cell r="D151">
            <v>44710</v>
          </cell>
          <cell r="E151">
            <v>304.42</v>
          </cell>
          <cell r="G151">
            <v>44710</v>
          </cell>
          <cell r="H151">
            <v>3682.49</v>
          </cell>
          <cell r="J151">
            <v>44710</v>
          </cell>
          <cell r="K151">
            <v>1317.11</v>
          </cell>
          <cell r="M151">
            <v>44710</v>
          </cell>
          <cell r="N151">
            <v>2</v>
          </cell>
          <cell r="P151">
            <v>44710</v>
          </cell>
          <cell r="Q151">
            <v>0</v>
          </cell>
          <cell r="S151">
            <v>44710</v>
          </cell>
          <cell r="T151">
            <v>274550</v>
          </cell>
          <cell r="U151">
            <v>3685</v>
          </cell>
          <cell r="W151">
            <v>44710</v>
          </cell>
          <cell r="X151">
            <v>1127052</v>
          </cell>
          <cell r="Y151">
            <v>1549</v>
          </cell>
        </row>
        <row r="152">
          <cell r="A152">
            <v>44711</v>
          </cell>
          <cell r="B152">
            <v>2777.67</v>
          </cell>
          <cell r="D152">
            <v>44711</v>
          </cell>
          <cell r="E152">
            <v>630.49</v>
          </cell>
          <cell r="G152">
            <v>44711</v>
          </cell>
          <cell r="H152">
            <v>3473.6</v>
          </cell>
          <cell r="J152">
            <v>44711</v>
          </cell>
          <cell r="K152">
            <v>1244.05</v>
          </cell>
          <cell r="M152">
            <v>44711</v>
          </cell>
          <cell r="N152">
            <v>18.21</v>
          </cell>
          <cell r="P152">
            <v>44711</v>
          </cell>
          <cell r="Q152">
            <v>0</v>
          </cell>
          <cell r="S152">
            <v>44711</v>
          </cell>
          <cell r="T152">
            <v>156290</v>
          </cell>
          <cell r="U152">
            <v>2298</v>
          </cell>
          <cell r="W152">
            <v>44711</v>
          </cell>
          <cell r="X152">
            <v>953302</v>
          </cell>
          <cell r="Y152">
            <v>1294</v>
          </cell>
        </row>
        <row r="153">
          <cell r="A153">
            <v>44712</v>
          </cell>
          <cell r="B153">
            <v>2652.98</v>
          </cell>
          <cell r="D153">
            <v>44712</v>
          </cell>
          <cell r="E153">
            <v>704.54</v>
          </cell>
          <cell r="G153">
            <v>44712</v>
          </cell>
          <cell r="H153">
            <v>3416.33</v>
          </cell>
          <cell r="J153">
            <v>44712</v>
          </cell>
          <cell r="K153">
            <v>1200.78</v>
          </cell>
          <cell r="M153">
            <v>44712</v>
          </cell>
          <cell r="N153">
            <v>18.829999999999998</v>
          </cell>
          <cell r="P153">
            <v>44712</v>
          </cell>
          <cell r="Q153">
            <v>1</v>
          </cell>
          <cell r="S153">
            <v>44712</v>
          </cell>
          <cell r="T153">
            <v>208929</v>
          </cell>
          <cell r="U153">
            <v>3002</v>
          </cell>
          <cell r="W153">
            <v>44712</v>
          </cell>
          <cell r="X153">
            <v>900730</v>
          </cell>
          <cell r="Y153">
            <v>1459</v>
          </cell>
        </row>
        <row r="154">
          <cell r="A154">
            <v>44713</v>
          </cell>
          <cell r="B154">
            <v>2393.5</v>
          </cell>
          <cell r="D154">
            <v>44713</v>
          </cell>
          <cell r="E154">
            <v>772.83</v>
          </cell>
          <cell r="G154">
            <v>44713</v>
          </cell>
          <cell r="H154">
            <v>3301.08</v>
          </cell>
          <cell r="J154">
            <v>44713</v>
          </cell>
          <cell r="K154">
            <v>1057.22</v>
          </cell>
          <cell r="M154">
            <v>44713</v>
          </cell>
          <cell r="N154">
            <v>10</v>
          </cell>
          <cell r="P154">
            <v>44713</v>
          </cell>
          <cell r="Q154">
            <v>2</v>
          </cell>
          <cell r="S154">
            <v>44713</v>
          </cell>
          <cell r="T154">
            <v>170312</v>
          </cell>
          <cell r="U154">
            <v>2897</v>
          </cell>
          <cell r="W154">
            <v>44713</v>
          </cell>
          <cell r="X154">
            <v>873669</v>
          </cell>
          <cell r="Y154">
            <v>1360</v>
          </cell>
        </row>
        <row r="155">
          <cell r="A155">
            <v>44714</v>
          </cell>
          <cell r="B155">
            <v>2396.7800000000002</v>
          </cell>
          <cell r="D155">
            <v>44714</v>
          </cell>
          <cell r="E155">
            <v>617.27</v>
          </cell>
          <cell r="G155">
            <v>44714</v>
          </cell>
          <cell r="H155">
            <v>3285.53</v>
          </cell>
          <cell r="J155">
            <v>44714</v>
          </cell>
          <cell r="K155">
            <v>1025.99</v>
          </cell>
          <cell r="M155">
            <v>44714</v>
          </cell>
          <cell r="N155">
            <v>14.99</v>
          </cell>
          <cell r="P155">
            <v>44714</v>
          </cell>
          <cell r="Q155">
            <v>1</v>
          </cell>
          <cell r="S155">
            <v>44714</v>
          </cell>
          <cell r="T155">
            <v>175172</v>
          </cell>
          <cell r="U155">
            <v>3138</v>
          </cell>
          <cell r="W155">
            <v>44714</v>
          </cell>
          <cell r="X155">
            <v>894780</v>
          </cell>
          <cell r="Y155">
            <v>1310</v>
          </cell>
        </row>
        <row r="156">
          <cell r="A156">
            <v>44715</v>
          </cell>
          <cell r="B156">
            <v>2146.4699999999998</v>
          </cell>
          <cell r="D156">
            <v>44715</v>
          </cell>
          <cell r="E156">
            <v>506.96</v>
          </cell>
          <cell r="G156">
            <v>44715</v>
          </cell>
          <cell r="H156">
            <v>3255.47</v>
          </cell>
          <cell r="J156">
            <v>44715</v>
          </cell>
          <cell r="K156">
            <v>1019.04</v>
          </cell>
          <cell r="M156">
            <v>44715</v>
          </cell>
          <cell r="N156">
            <v>15.97</v>
          </cell>
          <cell r="P156">
            <v>44715</v>
          </cell>
          <cell r="Q156">
            <v>0</v>
          </cell>
          <cell r="S156">
            <v>44715</v>
          </cell>
          <cell r="T156">
            <v>186277</v>
          </cell>
          <cell r="U156">
            <v>3121</v>
          </cell>
          <cell r="W156">
            <v>44715</v>
          </cell>
          <cell r="X156">
            <v>858036</v>
          </cell>
          <cell r="Y156">
            <v>1163</v>
          </cell>
        </row>
        <row r="157">
          <cell r="A157">
            <v>44716</v>
          </cell>
          <cell r="B157">
            <v>1576.58</v>
          </cell>
          <cell r="D157">
            <v>44716</v>
          </cell>
          <cell r="E157">
            <v>631.91999999999996</v>
          </cell>
          <cell r="G157">
            <v>44716</v>
          </cell>
          <cell r="H157">
            <v>3613.75</v>
          </cell>
          <cell r="J157">
            <v>44716</v>
          </cell>
          <cell r="K157">
            <v>1146.5</v>
          </cell>
          <cell r="M157">
            <v>44716</v>
          </cell>
          <cell r="N157">
            <v>14.04</v>
          </cell>
          <cell r="P157">
            <v>44716</v>
          </cell>
          <cell r="Q157">
            <v>0</v>
          </cell>
          <cell r="S157">
            <v>44716</v>
          </cell>
          <cell r="T157">
            <v>170095</v>
          </cell>
          <cell r="U157">
            <v>2875</v>
          </cell>
          <cell r="W157">
            <v>44716</v>
          </cell>
          <cell r="X157">
            <v>1093675</v>
          </cell>
          <cell r="Y157">
            <v>1548</v>
          </cell>
        </row>
        <row r="158">
          <cell r="A158">
            <v>44717</v>
          </cell>
          <cell r="B158">
            <v>1688.51</v>
          </cell>
          <cell r="D158">
            <v>44717</v>
          </cell>
          <cell r="E158">
            <v>578.22</v>
          </cell>
          <cell r="G158">
            <v>44717</v>
          </cell>
          <cell r="H158">
            <v>3684.05</v>
          </cell>
          <cell r="J158">
            <v>44717</v>
          </cell>
          <cell r="K158">
            <v>1150.9100000000001</v>
          </cell>
          <cell r="M158">
            <v>44717</v>
          </cell>
          <cell r="N158">
            <v>12.08</v>
          </cell>
          <cell r="P158">
            <v>44717</v>
          </cell>
          <cell r="Q158">
            <v>1</v>
          </cell>
          <cell r="S158">
            <v>44717</v>
          </cell>
          <cell r="T158">
            <v>239474</v>
          </cell>
          <cell r="U158">
            <v>3411</v>
          </cell>
          <cell r="W158">
            <v>44717</v>
          </cell>
          <cell r="X158">
            <v>1134591</v>
          </cell>
          <cell r="Y158">
            <v>1647</v>
          </cell>
        </row>
        <row r="159">
          <cell r="A159">
            <v>44718</v>
          </cell>
          <cell r="B159">
            <v>2431.79</v>
          </cell>
          <cell r="D159">
            <v>44718</v>
          </cell>
          <cell r="E159">
            <v>1050.71</v>
          </cell>
          <cell r="G159">
            <v>44718</v>
          </cell>
          <cell r="H159">
            <v>3493.39</v>
          </cell>
          <cell r="J159">
            <v>44718</v>
          </cell>
          <cell r="K159">
            <v>1125.8</v>
          </cell>
          <cell r="M159">
            <v>44718</v>
          </cell>
          <cell r="N159">
            <v>18</v>
          </cell>
          <cell r="P159">
            <v>44718</v>
          </cell>
          <cell r="Q159">
            <v>4</v>
          </cell>
          <cell r="S159">
            <v>44718</v>
          </cell>
          <cell r="T159">
            <v>187921</v>
          </cell>
          <cell r="U159">
            <v>3316</v>
          </cell>
          <cell r="W159">
            <v>44718</v>
          </cell>
          <cell r="X159">
            <v>978867</v>
          </cell>
          <cell r="Y159">
            <v>1580</v>
          </cell>
        </row>
        <row r="160">
          <cell r="A160">
            <v>44719</v>
          </cell>
          <cell r="B160">
            <v>2997.95</v>
          </cell>
          <cell r="D160">
            <v>44719</v>
          </cell>
          <cell r="E160">
            <v>819.73</v>
          </cell>
          <cell r="G160">
            <v>44719</v>
          </cell>
          <cell r="H160">
            <v>3372.31</v>
          </cell>
          <cell r="J160">
            <v>44719</v>
          </cell>
          <cell r="K160">
            <v>1070.71</v>
          </cell>
          <cell r="M160">
            <v>44719</v>
          </cell>
          <cell r="N160">
            <v>14</v>
          </cell>
          <cell r="P160">
            <v>44719</v>
          </cell>
          <cell r="Q160">
            <v>4</v>
          </cell>
          <cell r="S160">
            <v>44719</v>
          </cell>
          <cell r="T160">
            <v>204095</v>
          </cell>
          <cell r="U160">
            <v>3214</v>
          </cell>
          <cell r="W160">
            <v>44719</v>
          </cell>
          <cell r="X160">
            <v>878629</v>
          </cell>
          <cell r="Y160">
            <v>1485</v>
          </cell>
        </row>
        <row r="161">
          <cell r="A161">
            <v>44720</v>
          </cell>
          <cell r="B161">
            <v>2884.51</v>
          </cell>
          <cell r="D161">
            <v>44720</v>
          </cell>
          <cell r="E161">
            <v>922.69</v>
          </cell>
          <cell r="G161">
            <v>44720</v>
          </cell>
          <cell r="H161">
            <v>3192.46</v>
          </cell>
          <cell r="J161">
            <v>44720</v>
          </cell>
          <cell r="K161">
            <v>1042.6199999999999</v>
          </cell>
          <cell r="M161">
            <v>44720</v>
          </cell>
          <cell r="N161">
            <v>16.190000000000001</v>
          </cell>
          <cell r="P161">
            <v>44720</v>
          </cell>
          <cell r="Q161">
            <v>10.67</v>
          </cell>
          <cell r="S161">
            <v>44720</v>
          </cell>
          <cell r="T161">
            <v>271709</v>
          </cell>
          <cell r="U161">
            <v>3866</v>
          </cell>
          <cell r="W161">
            <v>44720</v>
          </cell>
          <cell r="X161">
            <v>747581</v>
          </cell>
          <cell r="Y161">
            <v>1460</v>
          </cell>
        </row>
        <row r="162">
          <cell r="A162">
            <v>44721</v>
          </cell>
          <cell r="B162">
            <v>2779.03</v>
          </cell>
          <cell r="D162">
            <v>44721</v>
          </cell>
          <cell r="E162">
            <v>734.22</v>
          </cell>
          <cell r="G162">
            <v>44721</v>
          </cell>
          <cell r="H162">
            <v>3167.08</v>
          </cell>
          <cell r="J162">
            <v>44721</v>
          </cell>
          <cell r="K162">
            <v>916.93</v>
          </cell>
          <cell r="M162">
            <v>44721</v>
          </cell>
          <cell r="N162">
            <v>12.1</v>
          </cell>
          <cell r="P162">
            <v>44721</v>
          </cell>
          <cell r="Q162">
            <v>20.63</v>
          </cell>
          <cell r="S162">
            <v>44721</v>
          </cell>
          <cell r="T162">
            <v>297079</v>
          </cell>
          <cell r="U162">
            <v>4208</v>
          </cell>
          <cell r="W162">
            <v>44721</v>
          </cell>
          <cell r="X162">
            <v>700922</v>
          </cell>
          <cell r="Y162">
            <v>1295</v>
          </cell>
        </row>
        <row r="163">
          <cell r="A163">
            <v>44722</v>
          </cell>
          <cell r="B163">
            <v>1794.83</v>
          </cell>
          <cell r="D163">
            <v>44722</v>
          </cell>
          <cell r="E163">
            <v>607.22</v>
          </cell>
          <cell r="G163">
            <v>44722</v>
          </cell>
          <cell r="H163">
            <v>2663.06</v>
          </cell>
          <cell r="J163">
            <v>44722</v>
          </cell>
          <cell r="K163">
            <v>750.71</v>
          </cell>
          <cell r="M163">
            <v>44722</v>
          </cell>
          <cell r="N163">
            <v>9.15</v>
          </cell>
          <cell r="P163">
            <v>44722</v>
          </cell>
          <cell r="Q163">
            <v>11.25</v>
          </cell>
          <cell r="S163">
            <v>44722</v>
          </cell>
          <cell r="T163">
            <v>175784</v>
          </cell>
          <cell r="U163">
            <v>3036</v>
          </cell>
          <cell r="W163">
            <v>44722</v>
          </cell>
          <cell r="X163">
            <v>575853</v>
          </cell>
          <cell r="Y163">
            <v>963</v>
          </cell>
        </row>
        <row r="164">
          <cell r="A164">
            <v>44723</v>
          </cell>
          <cell r="B164">
            <v>1509.51</v>
          </cell>
          <cell r="D164">
            <v>44723</v>
          </cell>
          <cell r="E164">
            <v>333.09</v>
          </cell>
          <cell r="G164">
            <v>44723</v>
          </cell>
          <cell r="H164">
            <v>1223.6199999999999</v>
          </cell>
          <cell r="J164">
            <v>44723</v>
          </cell>
          <cell r="K164">
            <v>373.93</v>
          </cell>
          <cell r="M164">
            <v>44723</v>
          </cell>
          <cell r="N164">
            <v>15.75</v>
          </cell>
          <cell r="P164">
            <v>44723</v>
          </cell>
          <cell r="Q164">
            <v>15.67</v>
          </cell>
          <cell r="S164">
            <v>44723</v>
          </cell>
          <cell r="T164">
            <v>140163</v>
          </cell>
          <cell r="U164">
            <v>2384</v>
          </cell>
          <cell r="W164">
            <v>44723</v>
          </cell>
          <cell r="X164">
            <v>269997</v>
          </cell>
          <cell r="Y164">
            <v>493</v>
          </cell>
        </row>
        <row r="165">
          <cell r="A165">
            <v>44724</v>
          </cell>
          <cell r="B165">
            <v>1612.96</v>
          </cell>
          <cell r="D165">
            <v>44724</v>
          </cell>
          <cell r="E165">
            <v>642.62</v>
          </cell>
          <cell r="G165">
            <v>44724</v>
          </cell>
          <cell r="H165">
            <v>567.5</v>
          </cell>
          <cell r="J165">
            <v>44724</v>
          </cell>
          <cell r="K165">
            <v>176.57</v>
          </cell>
          <cell r="M165">
            <v>44724</v>
          </cell>
          <cell r="N165">
            <v>9.83</v>
          </cell>
          <cell r="P165">
            <v>44724</v>
          </cell>
          <cell r="Q165">
            <v>19.899999999999999</v>
          </cell>
          <cell r="S165">
            <v>44724</v>
          </cell>
          <cell r="T165">
            <v>196959</v>
          </cell>
          <cell r="U165">
            <v>3655</v>
          </cell>
          <cell r="W165">
            <v>44724</v>
          </cell>
          <cell r="X165">
            <v>134461</v>
          </cell>
          <cell r="Y165">
            <v>235</v>
          </cell>
        </row>
        <row r="166">
          <cell r="A166">
            <v>44725</v>
          </cell>
          <cell r="B166">
            <v>1793.2</v>
          </cell>
          <cell r="D166">
            <v>44725</v>
          </cell>
          <cell r="E166">
            <v>428.7</v>
          </cell>
          <cell r="G166">
            <v>44725</v>
          </cell>
          <cell r="H166">
            <v>2053</v>
          </cell>
          <cell r="J166">
            <v>44725</v>
          </cell>
          <cell r="K166">
            <v>635.84</v>
          </cell>
          <cell r="M166">
            <v>44725</v>
          </cell>
          <cell r="N166">
            <v>22.81</v>
          </cell>
          <cell r="P166">
            <v>44725</v>
          </cell>
          <cell r="Q166">
            <v>20.93</v>
          </cell>
          <cell r="S166">
            <v>44725</v>
          </cell>
          <cell r="T166">
            <v>134073</v>
          </cell>
          <cell r="U166">
            <v>2359</v>
          </cell>
          <cell r="W166">
            <v>44725</v>
          </cell>
          <cell r="X166">
            <v>556506</v>
          </cell>
          <cell r="Y166">
            <v>813</v>
          </cell>
        </row>
        <row r="167">
          <cell r="A167">
            <v>44726</v>
          </cell>
          <cell r="B167">
            <v>1734.5</v>
          </cell>
          <cell r="D167">
            <v>44726</v>
          </cell>
          <cell r="E167">
            <v>527.89</v>
          </cell>
          <cell r="G167">
            <v>44726</v>
          </cell>
          <cell r="H167">
            <v>1815.6</v>
          </cell>
          <cell r="J167">
            <v>44726</v>
          </cell>
          <cell r="K167">
            <v>661.95</v>
          </cell>
          <cell r="M167">
            <v>44726</v>
          </cell>
          <cell r="N167">
            <v>20.34</v>
          </cell>
          <cell r="P167">
            <v>44726</v>
          </cell>
          <cell r="Q167">
            <v>18.760000000000002</v>
          </cell>
          <cell r="S167">
            <v>44726</v>
          </cell>
          <cell r="T167">
            <v>129748</v>
          </cell>
          <cell r="U167">
            <v>2264</v>
          </cell>
          <cell r="W167">
            <v>44726</v>
          </cell>
          <cell r="X167">
            <v>511856</v>
          </cell>
          <cell r="Y167">
            <v>787</v>
          </cell>
        </row>
        <row r="168">
          <cell r="A168">
            <v>44727</v>
          </cell>
          <cell r="B168">
            <v>1469.01</v>
          </cell>
          <cell r="D168">
            <v>44727</v>
          </cell>
          <cell r="E168">
            <v>478.46</v>
          </cell>
          <cell r="G168">
            <v>44727</v>
          </cell>
          <cell r="H168">
            <v>1694.28</v>
          </cell>
          <cell r="J168">
            <v>44727</v>
          </cell>
          <cell r="K168">
            <v>522.16999999999996</v>
          </cell>
          <cell r="M168">
            <v>44727</v>
          </cell>
          <cell r="N168">
            <v>15.37</v>
          </cell>
          <cell r="P168">
            <v>44727</v>
          </cell>
          <cell r="Q168">
            <v>22.5</v>
          </cell>
          <cell r="S168">
            <v>44727</v>
          </cell>
          <cell r="T168">
            <v>98156</v>
          </cell>
          <cell r="U168">
            <v>1768</v>
          </cell>
          <cell r="W168">
            <v>44727</v>
          </cell>
          <cell r="X168">
            <v>406158</v>
          </cell>
          <cell r="Y168">
            <v>562</v>
          </cell>
        </row>
        <row r="169">
          <cell r="A169">
            <v>44728</v>
          </cell>
          <cell r="B169">
            <v>1761.11</v>
          </cell>
          <cell r="D169">
            <v>44728</v>
          </cell>
          <cell r="E169">
            <v>448.15</v>
          </cell>
          <cell r="G169">
            <v>44728</v>
          </cell>
          <cell r="H169">
            <v>1542.19</v>
          </cell>
          <cell r="J169">
            <v>44728</v>
          </cell>
          <cell r="K169">
            <v>419.12</v>
          </cell>
          <cell r="M169">
            <v>44728</v>
          </cell>
          <cell r="N169">
            <v>19.03</v>
          </cell>
          <cell r="P169">
            <v>44728</v>
          </cell>
          <cell r="Q169">
            <v>25.45</v>
          </cell>
          <cell r="S169">
            <v>44728</v>
          </cell>
          <cell r="T169">
            <v>101174</v>
          </cell>
          <cell r="U169">
            <v>2047</v>
          </cell>
          <cell r="W169">
            <v>44728</v>
          </cell>
          <cell r="X169">
            <v>401085</v>
          </cell>
          <cell r="Y169">
            <v>624</v>
          </cell>
        </row>
        <row r="170">
          <cell r="A170">
            <v>44729</v>
          </cell>
          <cell r="B170">
            <v>1146.0899999999999</v>
          </cell>
          <cell r="D170">
            <v>44729</v>
          </cell>
          <cell r="E170">
            <v>333.32</v>
          </cell>
          <cell r="G170">
            <v>44729</v>
          </cell>
          <cell r="H170">
            <v>1479.6</v>
          </cell>
          <cell r="J170">
            <v>44729</v>
          </cell>
          <cell r="K170">
            <v>301.44</v>
          </cell>
          <cell r="M170">
            <v>44729</v>
          </cell>
          <cell r="N170">
            <v>11.02</v>
          </cell>
          <cell r="P170">
            <v>44729</v>
          </cell>
          <cell r="Q170">
            <v>19.3</v>
          </cell>
          <cell r="S170">
            <v>44729</v>
          </cell>
          <cell r="T170">
            <v>76916</v>
          </cell>
          <cell r="U170">
            <v>1494</v>
          </cell>
          <cell r="W170">
            <v>44729</v>
          </cell>
          <cell r="X170">
            <v>397065</v>
          </cell>
          <cell r="Y170">
            <v>613</v>
          </cell>
        </row>
        <row r="171">
          <cell r="A171">
            <v>44730</v>
          </cell>
          <cell r="B171">
            <v>1065.58</v>
          </cell>
          <cell r="D171">
            <v>44730</v>
          </cell>
          <cell r="E171">
            <v>437.23</v>
          </cell>
          <cell r="G171">
            <v>44730</v>
          </cell>
          <cell r="H171">
            <v>919.08</v>
          </cell>
          <cell r="J171">
            <v>44730</v>
          </cell>
          <cell r="K171">
            <v>0</v>
          </cell>
          <cell r="M171">
            <v>44730</v>
          </cell>
          <cell r="N171">
            <v>16</v>
          </cell>
          <cell r="P171">
            <v>44730</v>
          </cell>
          <cell r="Q171">
            <v>20.2</v>
          </cell>
          <cell r="S171">
            <v>44730</v>
          </cell>
          <cell r="T171">
            <v>90490</v>
          </cell>
          <cell r="U171">
            <v>1427</v>
          </cell>
          <cell r="W171">
            <v>44730</v>
          </cell>
          <cell r="X171">
            <v>272610</v>
          </cell>
          <cell r="Y171">
            <v>278</v>
          </cell>
        </row>
        <row r="172">
          <cell r="A172">
            <v>44731</v>
          </cell>
          <cell r="B172">
            <v>1277.3499999999999</v>
          </cell>
          <cell r="D172">
            <v>44731</v>
          </cell>
          <cell r="E172">
            <v>658.18</v>
          </cell>
          <cell r="G172">
            <v>44731</v>
          </cell>
          <cell r="H172">
            <v>966.92</v>
          </cell>
          <cell r="J172">
            <v>44731</v>
          </cell>
          <cell r="K172">
            <v>0</v>
          </cell>
          <cell r="M172">
            <v>44731</v>
          </cell>
          <cell r="N172">
            <v>10.95</v>
          </cell>
          <cell r="P172">
            <v>44731</v>
          </cell>
          <cell r="Q172">
            <v>29.24</v>
          </cell>
          <cell r="S172">
            <v>44731</v>
          </cell>
          <cell r="T172">
            <v>112086</v>
          </cell>
          <cell r="U172">
            <v>1644</v>
          </cell>
          <cell r="W172">
            <v>44731</v>
          </cell>
          <cell r="X172">
            <v>322295</v>
          </cell>
          <cell r="Y172">
            <v>376</v>
          </cell>
        </row>
        <row r="173">
          <cell r="A173">
            <v>44732</v>
          </cell>
          <cell r="B173">
            <v>1846.53</v>
          </cell>
          <cell r="D173">
            <v>44732</v>
          </cell>
          <cell r="E173">
            <v>478.77</v>
          </cell>
          <cell r="G173">
            <v>44732</v>
          </cell>
          <cell r="H173">
            <v>917.67</v>
          </cell>
          <cell r="J173">
            <v>44732</v>
          </cell>
          <cell r="K173">
            <v>264.98</v>
          </cell>
          <cell r="M173">
            <v>44732</v>
          </cell>
          <cell r="N173">
            <v>10.050000000000001</v>
          </cell>
          <cell r="P173">
            <v>44732</v>
          </cell>
          <cell r="Q173">
            <v>32.93</v>
          </cell>
          <cell r="S173">
            <v>44732</v>
          </cell>
          <cell r="T173">
            <v>106185</v>
          </cell>
          <cell r="U173">
            <v>1767</v>
          </cell>
          <cell r="W173">
            <v>44732</v>
          </cell>
          <cell r="X173">
            <v>326849</v>
          </cell>
          <cell r="Y173">
            <v>350</v>
          </cell>
        </row>
        <row r="174">
          <cell r="A174">
            <v>44733</v>
          </cell>
          <cell r="B174">
            <v>1826.58</v>
          </cell>
          <cell r="D174">
            <v>44733</v>
          </cell>
          <cell r="E174">
            <v>579.91</v>
          </cell>
          <cell r="G174">
            <v>44733</v>
          </cell>
          <cell r="H174">
            <v>1161.6600000000001</v>
          </cell>
          <cell r="J174">
            <v>44733</v>
          </cell>
          <cell r="K174">
            <v>400.83</v>
          </cell>
          <cell r="M174">
            <v>44733</v>
          </cell>
          <cell r="N174">
            <v>9</v>
          </cell>
          <cell r="P174">
            <v>44733</v>
          </cell>
          <cell r="Q174">
            <v>14.95</v>
          </cell>
          <cell r="S174">
            <v>44733</v>
          </cell>
          <cell r="T174">
            <v>112730</v>
          </cell>
          <cell r="U174">
            <v>1851</v>
          </cell>
          <cell r="W174">
            <v>44733</v>
          </cell>
          <cell r="X174">
            <v>385068</v>
          </cell>
          <cell r="Y174">
            <v>489</v>
          </cell>
        </row>
        <row r="175">
          <cell r="A175">
            <v>44734</v>
          </cell>
          <cell r="B175">
            <v>1310.6199999999999</v>
          </cell>
          <cell r="D175">
            <v>44734</v>
          </cell>
          <cell r="E175">
            <v>589.59</v>
          </cell>
          <cell r="G175">
            <v>44734</v>
          </cell>
          <cell r="H175">
            <v>1223.99</v>
          </cell>
          <cell r="J175">
            <v>44734</v>
          </cell>
          <cell r="K175">
            <v>416</v>
          </cell>
          <cell r="M175">
            <v>44734</v>
          </cell>
          <cell r="N175">
            <v>9.01</v>
          </cell>
          <cell r="P175">
            <v>44734</v>
          </cell>
          <cell r="Q175">
            <v>23.75</v>
          </cell>
          <cell r="S175">
            <v>44734</v>
          </cell>
          <cell r="T175">
            <v>90575</v>
          </cell>
          <cell r="U175">
            <v>1679</v>
          </cell>
          <cell r="W175">
            <v>44734</v>
          </cell>
          <cell r="X175">
            <v>339416</v>
          </cell>
          <cell r="Y175">
            <v>432</v>
          </cell>
        </row>
        <row r="176">
          <cell r="A176">
            <v>44735</v>
          </cell>
          <cell r="B176">
            <v>1166.29</v>
          </cell>
          <cell r="D176">
            <v>44735</v>
          </cell>
          <cell r="E176">
            <v>289.08</v>
          </cell>
          <cell r="G176">
            <v>44735</v>
          </cell>
          <cell r="H176">
            <v>1246.42</v>
          </cell>
          <cell r="J176">
            <v>44735</v>
          </cell>
          <cell r="K176">
            <v>419.12</v>
          </cell>
          <cell r="M176">
            <v>44735</v>
          </cell>
          <cell r="N176">
            <v>12.93</v>
          </cell>
          <cell r="P176">
            <v>44735</v>
          </cell>
          <cell r="Q176">
            <v>11</v>
          </cell>
          <cell r="S176">
            <v>44735</v>
          </cell>
          <cell r="T176">
            <v>70223</v>
          </cell>
          <cell r="U176">
            <v>1174</v>
          </cell>
          <cell r="W176">
            <v>44735</v>
          </cell>
          <cell r="X176">
            <v>354157</v>
          </cell>
          <cell r="Y176">
            <v>486</v>
          </cell>
        </row>
        <row r="177">
          <cell r="A177">
            <v>44736</v>
          </cell>
          <cell r="B177">
            <v>903.39</v>
          </cell>
          <cell r="D177">
            <v>44736</v>
          </cell>
          <cell r="E177">
            <v>225.98</v>
          </cell>
          <cell r="G177">
            <v>44736</v>
          </cell>
          <cell r="H177">
            <v>745.78</v>
          </cell>
          <cell r="J177">
            <v>44736</v>
          </cell>
          <cell r="K177">
            <v>427.73</v>
          </cell>
          <cell r="M177">
            <v>44736</v>
          </cell>
          <cell r="N177">
            <v>8.01</v>
          </cell>
          <cell r="P177">
            <v>44736</v>
          </cell>
          <cell r="Q177">
            <v>10.92</v>
          </cell>
          <cell r="S177">
            <v>44736</v>
          </cell>
          <cell r="T177">
            <v>80915</v>
          </cell>
          <cell r="U177">
            <v>1198</v>
          </cell>
          <cell r="W177">
            <v>44736</v>
          </cell>
          <cell r="X177">
            <v>267555</v>
          </cell>
          <cell r="Y177">
            <v>323</v>
          </cell>
        </row>
        <row r="178">
          <cell r="A178">
            <v>44737</v>
          </cell>
          <cell r="B178">
            <v>651.85</v>
          </cell>
          <cell r="D178">
            <v>44737</v>
          </cell>
          <cell r="E178">
            <v>583.97</v>
          </cell>
          <cell r="G178">
            <v>44737</v>
          </cell>
          <cell r="H178">
            <v>221.56</v>
          </cell>
          <cell r="J178">
            <v>44737</v>
          </cell>
          <cell r="K178">
            <v>375.97</v>
          </cell>
          <cell r="M178">
            <v>44737</v>
          </cell>
          <cell r="N178">
            <v>9.4700000000000006</v>
          </cell>
          <cell r="P178">
            <v>44737</v>
          </cell>
          <cell r="Q178">
            <v>41.11</v>
          </cell>
          <cell r="S178">
            <v>44737</v>
          </cell>
          <cell r="T178">
            <v>98170</v>
          </cell>
          <cell r="U178">
            <v>1581</v>
          </cell>
          <cell r="W178">
            <v>44737</v>
          </cell>
          <cell r="X178">
            <v>176680</v>
          </cell>
          <cell r="Y178">
            <v>117</v>
          </cell>
        </row>
        <row r="179">
          <cell r="A179">
            <v>44738</v>
          </cell>
          <cell r="B179">
            <v>861.46</v>
          </cell>
          <cell r="D179">
            <v>44738</v>
          </cell>
          <cell r="E179">
            <v>440.31</v>
          </cell>
          <cell r="G179">
            <v>44738</v>
          </cell>
          <cell r="H179">
            <v>246.92</v>
          </cell>
          <cell r="J179">
            <v>44738</v>
          </cell>
          <cell r="K179">
            <v>418.49</v>
          </cell>
          <cell r="M179">
            <v>44738</v>
          </cell>
          <cell r="N179">
            <v>11.24</v>
          </cell>
          <cell r="P179">
            <v>44738</v>
          </cell>
          <cell r="Q179">
            <v>24.72</v>
          </cell>
          <cell r="S179">
            <v>44738</v>
          </cell>
          <cell r="T179">
            <v>91361</v>
          </cell>
          <cell r="U179">
            <v>1359</v>
          </cell>
          <cell r="W179">
            <v>44738</v>
          </cell>
          <cell r="X179">
            <v>215659</v>
          </cell>
          <cell r="Y179">
            <v>150</v>
          </cell>
        </row>
        <row r="180">
          <cell r="A180">
            <v>44739</v>
          </cell>
          <cell r="B180">
            <v>1217.55</v>
          </cell>
          <cell r="D180">
            <v>44739</v>
          </cell>
          <cell r="E180">
            <v>544.64</v>
          </cell>
          <cell r="G180">
            <v>44739</v>
          </cell>
          <cell r="H180">
            <v>1267.26</v>
          </cell>
          <cell r="J180">
            <v>44739</v>
          </cell>
          <cell r="K180">
            <v>424.02</v>
          </cell>
          <cell r="M180">
            <v>44739</v>
          </cell>
          <cell r="N180">
            <v>14.55</v>
          </cell>
          <cell r="P180">
            <v>44739</v>
          </cell>
          <cell r="Q180">
            <v>9.5500000000000007</v>
          </cell>
          <cell r="S180">
            <v>44739</v>
          </cell>
          <cell r="T180">
            <v>84285</v>
          </cell>
          <cell r="U180">
            <v>1628</v>
          </cell>
          <cell r="W180">
            <v>44739</v>
          </cell>
          <cell r="X180">
            <v>348987</v>
          </cell>
          <cell r="Y180">
            <v>396</v>
          </cell>
        </row>
        <row r="181">
          <cell r="A181">
            <v>44740</v>
          </cell>
          <cell r="B181">
            <v>1477.96</v>
          </cell>
          <cell r="D181">
            <v>44740</v>
          </cell>
          <cell r="E181">
            <v>573.16</v>
          </cell>
          <cell r="G181">
            <v>44740</v>
          </cell>
          <cell r="H181">
            <v>1515.87</v>
          </cell>
          <cell r="J181">
            <v>44740</v>
          </cell>
          <cell r="K181">
            <v>424.14</v>
          </cell>
          <cell r="M181">
            <v>44740</v>
          </cell>
          <cell r="N181">
            <v>13</v>
          </cell>
          <cell r="P181">
            <v>44740</v>
          </cell>
          <cell r="Q181">
            <v>10.14</v>
          </cell>
          <cell r="S181">
            <v>44740</v>
          </cell>
          <cell r="T181">
            <v>96751</v>
          </cell>
          <cell r="U181">
            <v>1777</v>
          </cell>
          <cell r="W181">
            <v>44740</v>
          </cell>
          <cell r="X181">
            <v>352774</v>
          </cell>
          <cell r="Y181">
            <v>540</v>
          </cell>
        </row>
        <row r="182">
          <cell r="A182">
            <v>44741</v>
          </cell>
          <cell r="B182">
            <v>1181.52</v>
          </cell>
          <cell r="D182">
            <v>44741</v>
          </cell>
          <cell r="E182">
            <v>349.92</v>
          </cell>
          <cell r="G182">
            <v>44741</v>
          </cell>
          <cell r="H182">
            <v>1474.01</v>
          </cell>
          <cell r="J182">
            <v>44741</v>
          </cell>
          <cell r="K182">
            <v>422.51</v>
          </cell>
          <cell r="M182">
            <v>44741</v>
          </cell>
          <cell r="N182">
            <v>7.45</v>
          </cell>
          <cell r="P182">
            <v>44741</v>
          </cell>
          <cell r="Q182">
            <v>10.25</v>
          </cell>
          <cell r="S182">
            <v>44741</v>
          </cell>
          <cell r="T182">
            <v>88239</v>
          </cell>
          <cell r="U182">
            <v>1577</v>
          </cell>
          <cell r="W182">
            <v>44741</v>
          </cell>
          <cell r="X182">
            <v>385294</v>
          </cell>
          <cell r="Y182">
            <v>535</v>
          </cell>
        </row>
        <row r="183">
          <cell r="A183">
            <v>44742</v>
          </cell>
          <cell r="B183">
            <v>1258.56</v>
          </cell>
          <cell r="D183">
            <v>44742</v>
          </cell>
          <cell r="E183">
            <v>291.73</v>
          </cell>
          <cell r="G183">
            <v>44742</v>
          </cell>
          <cell r="H183">
            <v>1267.0899999999999</v>
          </cell>
          <cell r="J183">
            <v>44742</v>
          </cell>
          <cell r="K183">
            <v>432.12</v>
          </cell>
          <cell r="M183">
            <v>44742</v>
          </cell>
          <cell r="N183">
            <v>9.4600000000000009</v>
          </cell>
          <cell r="P183">
            <v>44742</v>
          </cell>
          <cell r="Q183">
            <v>5</v>
          </cell>
          <cell r="S183">
            <v>44742</v>
          </cell>
          <cell r="T183">
            <v>73908</v>
          </cell>
          <cell r="U183">
            <v>1215</v>
          </cell>
          <cell r="W183">
            <v>44742</v>
          </cell>
          <cell r="X183">
            <v>298877</v>
          </cell>
          <cell r="Y183">
            <v>424</v>
          </cell>
        </row>
        <row r="184">
          <cell r="A184">
            <v>44743</v>
          </cell>
          <cell r="B184">
            <v>1350.22</v>
          </cell>
          <cell r="D184">
            <v>44743</v>
          </cell>
          <cell r="E184">
            <v>373.54</v>
          </cell>
          <cell r="G184">
            <v>44743</v>
          </cell>
          <cell r="H184">
            <v>985.68</v>
          </cell>
          <cell r="J184">
            <v>44743</v>
          </cell>
          <cell r="K184">
            <v>440.12</v>
          </cell>
          <cell r="M184">
            <v>44743</v>
          </cell>
          <cell r="N184">
            <v>3.47</v>
          </cell>
          <cell r="P184">
            <v>44743</v>
          </cell>
          <cell r="Q184">
            <v>6.86</v>
          </cell>
          <cell r="S184">
            <v>44743</v>
          </cell>
          <cell r="T184">
            <v>107813</v>
          </cell>
          <cell r="U184">
            <v>1596</v>
          </cell>
          <cell r="W184">
            <v>44743</v>
          </cell>
          <cell r="X184">
            <v>279184</v>
          </cell>
          <cell r="Y184">
            <v>394</v>
          </cell>
        </row>
        <row r="185">
          <cell r="A185">
            <v>44744</v>
          </cell>
          <cell r="B185">
            <v>894.43</v>
          </cell>
          <cell r="D185">
            <v>44744</v>
          </cell>
          <cell r="E185">
            <v>453.02</v>
          </cell>
          <cell r="G185">
            <v>44744</v>
          </cell>
          <cell r="H185">
            <v>234.31</v>
          </cell>
          <cell r="J185">
            <v>44744</v>
          </cell>
          <cell r="K185">
            <v>467.13</v>
          </cell>
          <cell r="M185">
            <v>44744</v>
          </cell>
          <cell r="N185">
            <v>9.7200000000000006</v>
          </cell>
          <cell r="P185">
            <v>44744</v>
          </cell>
          <cell r="Q185">
            <v>7.7</v>
          </cell>
          <cell r="S185">
            <v>44744</v>
          </cell>
          <cell r="T185">
            <v>93030</v>
          </cell>
          <cell r="U185">
            <v>1405</v>
          </cell>
          <cell r="W185">
            <v>44744</v>
          </cell>
          <cell r="X185">
            <v>158822</v>
          </cell>
          <cell r="Y185">
            <v>185</v>
          </cell>
        </row>
        <row r="186">
          <cell r="A186">
            <v>44745</v>
          </cell>
          <cell r="B186">
            <v>758.8</v>
          </cell>
          <cell r="D186">
            <v>44745</v>
          </cell>
          <cell r="E186">
            <v>467.04</v>
          </cell>
          <cell r="G186">
            <v>44745</v>
          </cell>
          <cell r="H186">
            <v>259.51</v>
          </cell>
          <cell r="J186">
            <v>44745</v>
          </cell>
          <cell r="K186">
            <v>484.9</v>
          </cell>
          <cell r="M186">
            <v>44745</v>
          </cell>
          <cell r="N186">
            <v>9.99</v>
          </cell>
          <cell r="P186">
            <v>44745</v>
          </cell>
          <cell r="Q186">
            <v>11.71</v>
          </cell>
          <cell r="S186">
            <v>44745</v>
          </cell>
          <cell r="T186">
            <v>119509</v>
          </cell>
          <cell r="U186">
            <v>1549</v>
          </cell>
          <cell r="W186">
            <v>44745</v>
          </cell>
          <cell r="X186">
            <v>188855</v>
          </cell>
          <cell r="Y186">
            <v>265</v>
          </cell>
        </row>
        <row r="187">
          <cell r="A187">
            <v>44746</v>
          </cell>
          <cell r="B187">
            <v>1133.77</v>
          </cell>
          <cell r="D187">
            <v>44746</v>
          </cell>
          <cell r="E187">
            <v>628.96</v>
          </cell>
          <cell r="G187">
            <v>44746</v>
          </cell>
          <cell r="H187">
            <v>928.6</v>
          </cell>
          <cell r="J187">
            <v>44746</v>
          </cell>
          <cell r="K187">
            <v>449.78</v>
          </cell>
          <cell r="M187">
            <v>44746</v>
          </cell>
          <cell r="N187">
            <v>8.99</v>
          </cell>
          <cell r="P187">
            <v>44746</v>
          </cell>
          <cell r="Q187">
            <v>10.83</v>
          </cell>
          <cell r="S187">
            <v>44746</v>
          </cell>
          <cell r="T187">
            <v>93340</v>
          </cell>
          <cell r="U187">
            <v>1615</v>
          </cell>
          <cell r="W187">
            <v>44746</v>
          </cell>
          <cell r="X187">
            <v>330522</v>
          </cell>
          <cell r="Y187">
            <v>507</v>
          </cell>
        </row>
        <row r="188">
          <cell r="A188">
            <v>44747</v>
          </cell>
          <cell r="B188">
            <v>937.21</v>
          </cell>
          <cell r="D188">
            <v>44747</v>
          </cell>
          <cell r="E188">
            <v>413.43</v>
          </cell>
          <cell r="G188">
            <v>44747</v>
          </cell>
          <cell r="H188">
            <v>976.84</v>
          </cell>
          <cell r="J188">
            <v>44747</v>
          </cell>
          <cell r="K188">
            <v>440.07</v>
          </cell>
          <cell r="M188">
            <v>44747</v>
          </cell>
          <cell r="N188">
            <v>9</v>
          </cell>
          <cell r="P188">
            <v>44747</v>
          </cell>
          <cell r="Q188">
            <v>4.58</v>
          </cell>
          <cell r="S188">
            <v>44747</v>
          </cell>
          <cell r="T188">
            <v>55824</v>
          </cell>
          <cell r="U188">
            <v>1045</v>
          </cell>
          <cell r="W188">
            <v>44747</v>
          </cell>
          <cell r="X188">
            <v>311774</v>
          </cell>
          <cell r="Y188">
            <v>475</v>
          </cell>
        </row>
        <row r="189">
          <cell r="A189">
            <v>44748</v>
          </cell>
          <cell r="B189">
            <v>59.41</v>
          </cell>
          <cell r="D189">
            <v>44748</v>
          </cell>
          <cell r="E189">
            <v>57.37</v>
          </cell>
          <cell r="G189">
            <v>44748</v>
          </cell>
          <cell r="H189">
            <v>130.63</v>
          </cell>
          <cell r="J189">
            <v>44748</v>
          </cell>
          <cell r="K189">
            <v>89.12</v>
          </cell>
          <cell r="M189">
            <v>44748</v>
          </cell>
          <cell r="N189">
            <v>2</v>
          </cell>
          <cell r="P189">
            <v>44748</v>
          </cell>
          <cell r="Q189">
            <v>0</v>
          </cell>
          <cell r="S189">
            <v>44748</v>
          </cell>
          <cell r="T189">
            <v>5133</v>
          </cell>
          <cell r="U189">
            <v>93</v>
          </cell>
          <cell r="W189">
            <v>44748</v>
          </cell>
          <cell r="X189">
            <v>47500</v>
          </cell>
          <cell r="Y189">
            <v>88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mbos casos"/>
      <sheetName val="Año 2022"/>
      <sheetName val="MK Digital-CEL-2022"/>
      <sheetName val="Inputs"/>
      <sheetName val="MK Digital-Elims-2022"/>
      <sheetName val="Total-Clínica"/>
      <sheetName val="Hoja2"/>
      <sheetName val="MK Digital-marca B-2022"/>
    </sheetNames>
    <sheetDataSet>
      <sheetData sheetId="0" refreshError="1"/>
      <sheetData sheetId="1" refreshError="1"/>
      <sheetData sheetId="2" refreshError="1">
        <row r="9">
          <cell r="J9">
            <v>12906.06</v>
          </cell>
          <cell r="K9">
            <v>27976.510000000002</v>
          </cell>
          <cell r="L9">
            <v>42205.86</v>
          </cell>
          <cell r="M9">
            <v>73430.490000000005</v>
          </cell>
        </row>
        <row r="14">
          <cell r="J14">
            <v>120</v>
          </cell>
          <cell r="K14">
            <v>311</v>
          </cell>
          <cell r="L14">
            <v>437</v>
          </cell>
          <cell r="M14">
            <v>697</v>
          </cell>
        </row>
        <row r="30">
          <cell r="J30">
            <v>113</v>
          </cell>
          <cell r="K30">
            <v>270.99999999999994</v>
          </cell>
          <cell r="L30">
            <v>295</v>
          </cell>
          <cell r="M30">
            <v>447.53000000000003</v>
          </cell>
        </row>
        <row r="35">
          <cell r="C35">
            <v>213</v>
          </cell>
          <cell r="D35">
            <v>671</v>
          </cell>
          <cell r="E35">
            <v>405</v>
          </cell>
          <cell r="F35">
            <v>284</v>
          </cell>
          <cell r="G35">
            <v>313</v>
          </cell>
          <cell r="H35">
            <v>263</v>
          </cell>
          <cell r="I35">
            <v>254</v>
          </cell>
          <cell r="J35">
            <v>0</v>
          </cell>
          <cell r="K35">
            <v>369</v>
          </cell>
          <cell r="L35">
            <v>231</v>
          </cell>
          <cell r="M35">
            <v>522</v>
          </cell>
        </row>
      </sheetData>
      <sheetData sheetId="3" refreshError="1"/>
      <sheetData sheetId="4" refreshError="1">
        <row r="9">
          <cell r="J9">
            <v>18129.940000000002</v>
          </cell>
          <cell r="K9">
            <v>36802.340000000004</v>
          </cell>
          <cell r="L9">
            <v>54056.85</v>
          </cell>
          <cell r="M9">
            <v>78036.490000000005</v>
          </cell>
        </row>
        <row r="15">
          <cell r="J15">
            <v>288</v>
          </cell>
          <cell r="K15">
            <v>476</v>
          </cell>
          <cell r="L15">
            <v>671</v>
          </cell>
          <cell r="M15">
            <v>1718</v>
          </cell>
        </row>
        <row r="33">
          <cell r="J33">
            <v>115</v>
          </cell>
          <cell r="K33">
            <v>293</v>
          </cell>
          <cell r="L33">
            <v>295</v>
          </cell>
          <cell r="M33">
            <v>658.99999999999989</v>
          </cell>
        </row>
        <row r="39">
          <cell r="C39">
            <v>252</v>
          </cell>
          <cell r="D39">
            <v>405</v>
          </cell>
          <cell r="E39">
            <v>570</v>
          </cell>
          <cell r="F39">
            <v>530</v>
          </cell>
          <cell r="G39">
            <v>652</v>
          </cell>
          <cell r="H39">
            <v>691</v>
          </cell>
          <cell r="I39">
            <v>513</v>
          </cell>
          <cell r="J39">
            <v>0</v>
          </cell>
          <cell r="K39">
            <v>591</v>
          </cell>
          <cell r="L39">
            <v>288</v>
          </cell>
          <cell r="M39">
            <v>663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mbos casos"/>
      <sheetName val="2023"/>
      <sheetName val="Año 2023 - meses"/>
      <sheetName val="Qo Q (2)"/>
      <sheetName val="Qo Q"/>
      <sheetName val="Mes a Mes"/>
      <sheetName val="Visitas clínica"/>
      <sheetName val="MK Digital-CEL-2023"/>
      <sheetName val="Inputs"/>
      <sheetName val="MK Digital-Elims-2023"/>
      <sheetName val="Total-Clínica"/>
      <sheetName val="Datos- Cliente 2022"/>
      <sheetName val="Seas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9">
          <cell r="U9">
            <v>47936.738999999994</v>
          </cell>
        </row>
        <row r="59"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</sheetData>
      <sheetData sheetId="8" refreshError="1"/>
      <sheetData sheetId="9" refreshError="1">
        <row r="9">
          <cell r="AC9">
            <v>46922.690999999992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90"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aw data"/>
      <sheetName val="dinámica"/>
      <sheetName val="conclusiones"/>
      <sheetName val="intereses"/>
      <sheetName val="barcelona"/>
      <sheetName val="madrid"/>
    </sheetNames>
    <sheetDataSet>
      <sheetData sheetId="0"/>
      <sheetData sheetId="1"/>
      <sheetData sheetId="2">
        <row r="2">
          <cell r="D2" t="str">
            <v>Porcentaje</v>
          </cell>
          <cell r="M2" t="str">
            <v>Pacientes</v>
          </cell>
        </row>
        <row r="3">
          <cell r="B3" t="str">
            <v>española</v>
          </cell>
          <cell r="D3">
            <v>0.72972972972972971</v>
          </cell>
          <cell r="M3">
            <v>0</v>
          </cell>
        </row>
        <row r="4">
          <cell r="B4" t="str">
            <v>no española</v>
          </cell>
          <cell r="D4">
            <v>0.22432432432432434</v>
          </cell>
          <cell r="M4">
            <v>0</v>
          </cell>
        </row>
        <row r="5">
          <cell r="B5" t="str">
            <v>(blank)</v>
          </cell>
          <cell r="D5">
            <v>4.5945945945945948E-2</v>
          </cell>
          <cell r="M5">
            <v>0</v>
          </cell>
        </row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1</v>
          </cell>
        </row>
        <row r="12">
          <cell r="M12">
            <v>2</v>
          </cell>
        </row>
        <row r="13">
          <cell r="M13">
            <v>1</v>
          </cell>
        </row>
        <row r="14">
          <cell r="M14">
            <v>2</v>
          </cell>
        </row>
        <row r="15">
          <cell r="M15">
            <v>9</v>
          </cell>
        </row>
        <row r="16">
          <cell r="M16">
            <v>4</v>
          </cell>
        </row>
        <row r="17">
          <cell r="M17">
            <v>1</v>
          </cell>
        </row>
        <row r="18">
          <cell r="D18" t="str">
            <v>Porcentaje</v>
          </cell>
          <cell r="M18">
            <v>1</v>
          </cell>
        </row>
        <row r="19">
          <cell r="B19" t="str">
            <v>Femenino</v>
          </cell>
          <cell r="D19">
            <v>0.63487738419618533</v>
          </cell>
          <cell r="M19">
            <v>3</v>
          </cell>
        </row>
        <row r="20">
          <cell r="B20" t="str">
            <v>Masculino</v>
          </cell>
          <cell r="D20">
            <v>0.36512261580381472</v>
          </cell>
          <cell r="M20">
            <v>1</v>
          </cell>
        </row>
        <row r="21">
          <cell r="M21">
            <v>2</v>
          </cell>
        </row>
        <row r="22">
          <cell r="M22">
            <v>4</v>
          </cell>
        </row>
        <row r="23">
          <cell r="M23">
            <v>2</v>
          </cell>
        </row>
        <row r="24">
          <cell r="M24">
            <v>8</v>
          </cell>
        </row>
        <row r="25">
          <cell r="M25">
            <v>7</v>
          </cell>
        </row>
        <row r="26">
          <cell r="M26">
            <v>9</v>
          </cell>
        </row>
        <row r="27">
          <cell r="M27">
            <v>17</v>
          </cell>
        </row>
        <row r="28">
          <cell r="M28">
            <v>15</v>
          </cell>
        </row>
        <row r="29">
          <cell r="M29">
            <v>23</v>
          </cell>
        </row>
        <row r="30">
          <cell r="M30">
            <v>19</v>
          </cell>
        </row>
        <row r="31">
          <cell r="D31" t="str">
            <v>Porcentaje</v>
          </cell>
          <cell r="M31">
            <v>23</v>
          </cell>
        </row>
        <row r="32">
          <cell r="B32" t="str">
            <v>Alicante</v>
          </cell>
          <cell r="D32">
            <v>2.9411764705882353E-2</v>
          </cell>
          <cell r="M32">
            <v>20</v>
          </cell>
        </row>
        <row r="33">
          <cell r="B33" t="str">
            <v>Andalucía</v>
          </cell>
          <cell r="D33">
            <v>0.1</v>
          </cell>
          <cell r="M33">
            <v>15</v>
          </cell>
        </row>
        <row r="34">
          <cell r="B34" t="str">
            <v>Cataluña</v>
          </cell>
          <cell r="D34">
            <v>0.44117647058823528</v>
          </cell>
          <cell r="M34">
            <v>14</v>
          </cell>
        </row>
        <row r="35">
          <cell r="B35" t="str">
            <v>Madrid</v>
          </cell>
          <cell r="D35">
            <v>0.3</v>
          </cell>
          <cell r="M35">
            <v>11</v>
          </cell>
        </row>
        <row r="36">
          <cell r="B36" t="str">
            <v>Murcia</v>
          </cell>
          <cell r="D36">
            <v>0.12941176470588237</v>
          </cell>
          <cell r="M36">
            <v>7</v>
          </cell>
        </row>
        <row r="37">
          <cell r="M37">
            <v>11</v>
          </cell>
        </row>
        <row r="38">
          <cell r="M38">
            <v>12</v>
          </cell>
        </row>
        <row r="39">
          <cell r="M39">
            <v>12</v>
          </cell>
        </row>
        <row r="40">
          <cell r="M40">
            <v>9</v>
          </cell>
        </row>
        <row r="41">
          <cell r="M41">
            <v>7</v>
          </cell>
        </row>
        <row r="42">
          <cell r="M42">
            <v>8</v>
          </cell>
        </row>
        <row r="43">
          <cell r="M43">
            <v>9</v>
          </cell>
        </row>
        <row r="44">
          <cell r="M44">
            <v>23</v>
          </cell>
        </row>
        <row r="45">
          <cell r="M45">
            <v>4</v>
          </cell>
        </row>
        <row r="46">
          <cell r="M46">
            <v>8</v>
          </cell>
        </row>
        <row r="47">
          <cell r="M47">
            <v>5</v>
          </cell>
        </row>
        <row r="48">
          <cell r="M48">
            <v>3</v>
          </cell>
        </row>
        <row r="49">
          <cell r="M49">
            <v>2</v>
          </cell>
        </row>
        <row r="50">
          <cell r="M50">
            <v>1</v>
          </cell>
        </row>
        <row r="51">
          <cell r="M51">
            <v>1</v>
          </cell>
        </row>
        <row r="52">
          <cell r="M52">
            <v>2</v>
          </cell>
        </row>
        <row r="53">
          <cell r="M53">
            <v>2</v>
          </cell>
        </row>
        <row r="54">
          <cell r="M54">
            <v>1</v>
          </cell>
        </row>
        <row r="55">
          <cell r="M55">
            <v>2</v>
          </cell>
        </row>
        <row r="56">
          <cell r="M56">
            <v>2</v>
          </cell>
        </row>
        <row r="57">
          <cell r="M57">
            <v>1</v>
          </cell>
        </row>
        <row r="58">
          <cell r="M58">
            <v>2</v>
          </cell>
        </row>
        <row r="59">
          <cell r="M59">
            <v>0</v>
          </cell>
        </row>
        <row r="60">
          <cell r="M60">
            <v>0</v>
          </cell>
        </row>
        <row r="61">
          <cell r="M61">
            <v>0</v>
          </cell>
        </row>
        <row r="62">
          <cell r="M62">
            <v>0</v>
          </cell>
        </row>
        <row r="63">
          <cell r="M63">
            <v>1</v>
          </cell>
        </row>
        <row r="64">
          <cell r="M64">
            <v>1</v>
          </cell>
        </row>
        <row r="65">
          <cell r="M65">
            <v>1</v>
          </cell>
        </row>
        <row r="66">
          <cell r="M66">
            <v>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4:Z284"/>
  <sheetViews>
    <sheetView showGridLines="0" topLeftCell="A4" workbookViewId="0">
      <selection activeCell="E8" sqref="E8"/>
    </sheetView>
  </sheetViews>
  <sheetFormatPr baseColWidth="10" defaultColWidth="11.5546875" defaultRowHeight="13.2"/>
  <cols>
    <col min="2" max="2" width="32.6640625" customWidth="1"/>
    <col min="4" max="4" width="20.109375" bestFit="1" customWidth="1"/>
    <col min="5" max="5" width="24.88671875" customWidth="1"/>
  </cols>
  <sheetData>
    <row r="4" spans="2:8" ht="13.8" thickBot="1"/>
    <row r="5" spans="2:8">
      <c r="C5" s="288" t="s">
        <v>5</v>
      </c>
      <c r="D5" s="290" t="s">
        <v>6</v>
      </c>
      <c r="E5" s="291"/>
    </row>
    <row r="6" spans="2:8" ht="13.8" thickBot="1">
      <c r="C6" s="289"/>
      <c r="D6" s="292"/>
      <c r="E6" s="293"/>
    </row>
    <row r="7" spans="2:8" ht="13.8">
      <c r="C7" s="142"/>
      <c r="D7" s="143" t="s">
        <v>42</v>
      </c>
      <c r="E7" s="143"/>
    </row>
    <row r="8" spans="2:8" ht="41.4">
      <c r="C8" s="144" t="s">
        <v>5</v>
      </c>
      <c r="D8" s="145" t="s">
        <v>43</v>
      </c>
      <c r="E8" s="146" t="s">
        <v>44</v>
      </c>
      <c r="F8" s="167"/>
      <c r="G8" s="167"/>
      <c r="H8" s="167"/>
    </row>
    <row r="9" spans="2:8">
      <c r="B9" s="1" t="s">
        <v>13</v>
      </c>
      <c r="C9" s="147">
        <v>708616.62</v>
      </c>
      <c r="D9" s="148">
        <v>534810.86199999996</v>
      </c>
      <c r="E9" s="148" t="e">
        <f>#REF!</f>
        <v>#REF!</v>
      </c>
      <c r="F9" s="168" t="e">
        <f>D9-E9</f>
        <v>#REF!</v>
      </c>
      <c r="G9" s="167"/>
      <c r="H9" s="167"/>
    </row>
    <row r="10" spans="2:8">
      <c r="B10" s="2" t="s">
        <v>14</v>
      </c>
      <c r="C10" s="149">
        <v>507705.12</v>
      </c>
      <c r="D10" s="150">
        <v>287454.15999999997</v>
      </c>
      <c r="E10" s="150" t="e">
        <f>#REF!</f>
        <v>#REF!</v>
      </c>
      <c r="F10" s="168" t="e">
        <f t="shared" ref="F10:F37" si="0">D10-E10</f>
        <v>#REF!</v>
      </c>
      <c r="G10" s="169" t="e">
        <f>F10/D10</f>
        <v>#REF!</v>
      </c>
      <c r="H10" s="167"/>
    </row>
    <row r="11" spans="2:8">
      <c r="B11" s="2" t="s">
        <v>15</v>
      </c>
      <c r="C11" s="149">
        <v>200911.5</v>
      </c>
      <c r="D11" s="150">
        <v>247356.70199999999</v>
      </c>
      <c r="E11" s="150" t="e">
        <f>#REF!</f>
        <v>#REF!</v>
      </c>
      <c r="F11" s="168" t="e">
        <f t="shared" si="0"/>
        <v>#REF!</v>
      </c>
      <c r="G11" s="169" t="e">
        <f>F11/D11</f>
        <v>#REF!</v>
      </c>
      <c r="H11" s="167"/>
    </row>
    <row r="12" spans="2:8">
      <c r="B12" s="2"/>
      <c r="C12" s="151"/>
      <c r="D12" s="152">
        <v>0</v>
      </c>
      <c r="E12" s="152" t="e">
        <f>#REF!</f>
        <v>#REF!</v>
      </c>
      <c r="F12" s="168" t="e">
        <f t="shared" si="0"/>
        <v>#REF!</v>
      </c>
      <c r="G12" s="169"/>
      <c r="H12" s="167"/>
    </row>
    <row r="13" spans="2:8">
      <c r="B13" s="2"/>
      <c r="C13" s="151"/>
      <c r="D13" s="152">
        <v>0</v>
      </c>
      <c r="E13" s="152" t="e">
        <f>#REF!</f>
        <v>#REF!</v>
      </c>
      <c r="F13" s="168" t="e">
        <f t="shared" si="0"/>
        <v>#REF!</v>
      </c>
      <c r="G13" s="169"/>
      <c r="H13" s="167"/>
    </row>
    <row r="14" spans="2:8">
      <c r="B14" s="1" t="s">
        <v>16</v>
      </c>
      <c r="C14" s="153">
        <v>8611.0600000000013</v>
      </c>
      <c r="D14" s="154">
        <v>5496.6399999999994</v>
      </c>
      <c r="E14" s="154" t="e">
        <f>#REF!</f>
        <v>#REF!</v>
      </c>
      <c r="F14" s="168" t="e">
        <f t="shared" si="0"/>
        <v>#REF!</v>
      </c>
      <c r="G14" s="169"/>
      <c r="H14" s="167"/>
    </row>
    <row r="15" spans="2:8">
      <c r="B15" s="2" t="s">
        <v>17</v>
      </c>
      <c r="C15" s="155">
        <v>6673.06</v>
      </c>
      <c r="D15" s="156">
        <v>3382.4</v>
      </c>
      <c r="E15" s="156" t="e">
        <f>#REF!</f>
        <v>#REF!</v>
      </c>
      <c r="F15" s="168" t="e">
        <f t="shared" si="0"/>
        <v>#REF!</v>
      </c>
      <c r="G15" s="169" t="e">
        <f>F15/D15</f>
        <v>#REF!</v>
      </c>
      <c r="H15" s="167"/>
    </row>
    <row r="16" spans="2:8">
      <c r="B16" s="2" t="s">
        <v>18</v>
      </c>
      <c r="C16" s="155">
        <v>1938</v>
      </c>
      <c r="D16" s="156">
        <v>2114.2400000000002</v>
      </c>
      <c r="E16" s="156" t="e">
        <f>#REF!</f>
        <v>#REF!</v>
      </c>
      <c r="F16" s="168" t="e">
        <f t="shared" si="0"/>
        <v>#REF!</v>
      </c>
      <c r="G16" s="169" t="e">
        <f>F16/D16</f>
        <v>#REF!</v>
      </c>
      <c r="H16" s="167"/>
    </row>
    <row r="17" spans="2:8">
      <c r="B17" s="1"/>
      <c r="C17" s="157"/>
      <c r="D17" s="157"/>
      <c r="E17" s="157"/>
      <c r="F17" s="168">
        <f t="shared" si="0"/>
        <v>0</v>
      </c>
      <c r="G17" s="169"/>
      <c r="H17" s="167"/>
    </row>
    <row r="18" spans="2:8">
      <c r="B18" s="1"/>
      <c r="C18" s="157"/>
      <c r="D18" s="157"/>
      <c r="E18" s="157"/>
      <c r="F18" s="168">
        <f t="shared" si="0"/>
        <v>0</v>
      </c>
      <c r="G18" s="169"/>
      <c r="H18" s="167"/>
    </row>
    <row r="19" spans="2:8">
      <c r="B19" s="1" t="s">
        <v>19</v>
      </c>
      <c r="C19" s="147">
        <v>82.291450762159343</v>
      </c>
      <c r="D19" s="148">
        <v>97.297778642952792</v>
      </c>
      <c r="E19" s="148" t="e">
        <f>#REF!</f>
        <v>#REF!</v>
      </c>
      <c r="F19" s="168" t="e">
        <f t="shared" si="0"/>
        <v>#REF!</v>
      </c>
      <c r="G19" s="169"/>
      <c r="H19" s="167"/>
    </row>
    <row r="20" spans="2:8">
      <c r="B20" s="2" t="s">
        <v>20</v>
      </c>
      <c r="C20" s="149">
        <v>76.082804590397799</v>
      </c>
      <c r="D20" s="150">
        <v>84.985264900662244</v>
      </c>
      <c r="E20" s="150" t="e">
        <f>#REF!</f>
        <v>#REF!</v>
      </c>
      <c r="F20" s="168" t="e">
        <f t="shared" si="0"/>
        <v>#REF!</v>
      </c>
      <c r="G20" s="169"/>
      <c r="H20" s="167"/>
    </row>
    <row r="21" spans="2:8">
      <c r="B21" s="2" t="s">
        <v>21</v>
      </c>
      <c r="C21" s="149">
        <v>103.66950464396285</v>
      </c>
      <c r="D21" s="150">
        <v>116.99556436355378</v>
      </c>
      <c r="E21" s="150" t="e">
        <f>#REF!</f>
        <v>#REF!</v>
      </c>
      <c r="F21" s="168" t="e">
        <f t="shared" si="0"/>
        <v>#REF!</v>
      </c>
      <c r="G21" s="169"/>
      <c r="H21" s="167"/>
    </row>
    <row r="22" spans="2:8">
      <c r="B22" s="2"/>
      <c r="C22" s="3"/>
      <c r="D22" s="3">
        <v>0</v>
      </c>
      <c r="E22" s="3" t="e">
        <f>#REF!</f>
        <v>#REF!</v>
      </c>
      <c r="F22" s="168" t="e">
        <f t="shared" si="0"/>
        <v>#REF!</v>
      </c>
      <c r="G22" s="169"/>
      <c r="H22" s="167"/>
    </row>
    <row r="23" spans="2:8">
      <c r="B23" s="2"/>
      <c r="C23" s="3"/>
      <c r="D23" s="3">
        <v>0</v>
      </c>
      <c r="E23" s="3" t="e">
        <f>#REF!</f>
        <v>#REF!</v>
      </c>
      <c r="F23" s="168" t="e">
        <f t="shared" si="0"/>
        <v>#REF!</v>
      </c>
      <c r="G23" s="169"/>
      <c r="H23" s="167"/>
    </row>
    <row r="24" spans="2:8">
      <c r="B24" s="1" t="s">
        <v>22</v>
      </c>
      <c r="C24" s="158">
        <v>0.43386063968895811</v>
      </c>
      <c r="D24" s="159">
        <v>0.61650670736263491</v>
      </c>
      <c r="E24" s="159" t="e">
        <f>#REF!</f>
        <v>#REF!</v>
      </c>
      <c r="F24" s="168" t="e">
        <f t="shared" si="0"/>
        <v>#REF!</v>
      </c>
      <c r="G24" s="169"/>
      <c r="H24" s="167"/>
    </row>
    <row r="25" spans="2:8">
      <c r="B25" s="2" t="s">
        <v>23</v>
      </c>
      <c r="C25" s="160">
        <v>0.33298067153599697</v>
      </c>
      <c r="D25" s="161">
        <v>0.57994404776602182</v>
      </c>
      <c r="E25" s="161" t="e">
        <f>#REF!</f>
        <v>#REF!</v>
      </c>
      <c r="F25" s="168" t="e">
        <f t="shared" si="0"/>
        <v>#REF!</v>
      </c>
      <c r="G25" s="169"/>
      <c r="H25" s="167"/>
    </row>
    <row r="26" spans="2:8">
      <c r="B26" s="2" t="s">
        <v>24</v>
      </c>
      <c r="C26" s="160">
        <v>0.78121775025799789</v>
      </c>
      <c r="D26" s="161">
        <v>0.67500032200410598</v>
      </c>
      <c r="E26" s="161" t="e">
        <f>E31/E16</f>
        <v>#REF!</v>
      </c>
      <c r="F26" s="168" t="e">
        <f t="shared" si="0"/>
        <v>#REF!</v>
      </c>
      <c r="G26" s="169"/>
      <c r="H26" s="167"/>
    </row>
    <row r="27" spans="2:8">
      <c r="B27" s="1"/>
      <c r="C27" s="3"/>
      <c r="D27" s="3">
        <v>0</v>
      </c>
      <c r="E27" s="3" t="e">
        <f>#REF!</f>
        <v>#REF!</v>
      </c>
      <c r="F27" s="168" t="e">
        <f t="shared" si="0"/>
        <v>#REF!</v>
      </c>
      <c r="G27" s="169"/>
      <c r="H27" s="167"/>
    </row>
    <row r="28" spans="2:8">
      <c r="B28" s="1"/>
      <c r="C28" s="3"/>
      <c r="D28" s="3">
        <v>0</v>
      </c>
      <c r="E28" s="3" t="e">
        <f>#REF!</f>
        <v>#REF!</v>
      </c>
      <c r="F28" s="168" t="e">
        <f t="shared" si="0"/>
        <v>#REF!</v>
      </c>
      <c r="G28" s="169"/>
      <c r="H28" s="167"/>
    </row>
    <row r="29" spans="2:8">
      <c r="B29" s="1" t="s">
        <v>25</v>
      </c>
      <c r="C29" s="153">
        <v>3736</v>
      </c>
      <c r="D29" s="154">
        <v>3388.715427957753</v>
      </c>
      <c r="E29" s="154" t="e">
        <f>#REF!</f>
        <v>#REF!</v>
      </c>
      <c r="F29" s="168" t="e">
        <f>D29-E29</f>
        <v>#REF!</v>
      </c>
      <c r="G29" s="169"/>
      <c r="H29" s="167"/>
    </row>
    <row r="30" spans="2:8">
      <c r="B30" s="2" t="s">
        <v>26</v>
      </c>
      <c r="C30" s="155">
        <v>2222</v>
      </c>
      <c r="D30" s="156">
        <v>1961.6027471637922</v>
      </c>
      <c r="E30" s="156" t="e">
        <f>#REF!</f>
        <v>#REF!</v>
      </c>
      <c r="F30" s="168" t="e">
        <f t="shared" si="0"/>
        <v>#REF!</v>
      </c>
      <c r="G30" s="169" t="e">
        <f>F30/D30</f>
        <v>#REF!</v>
      </c>
      <c r="H30" s="167"/>
    </row>
    <row r="31" spans="2:8">
      <c r="B31" s="2" t="s">
        <v>27</v>
      </c>
      <c r="C31" s="155">
        <v>1514</v>
      </c>
      <c r="D31" s="156">
        <v>1427.1126807939611</v>
      </c>
      <c r="E31" s="156" t="e">
        <f>#REF!</f>
        <v>#REF!</v>
      </c>
      <c r="F31" s="168" t="e">
        <f t="shared" si="0"/>
        <v>#REF!</v>
      </c>
      <c r="G31" s="169" t="e">
        <f>F31/D31</f>
        <v>#REF!</v>
      </c>
      <c r="H31" s="167" t="e">
        <f>D31*G11</f>
        <v>#REF!</v>
      </c>
    </row>
    <row r="32" spans="2:8">
      <c r="B32" s="2"/>
      <c r="C32" s="162"/>
      <c r="D32" s="163"/>
      <c r="E32" s="163"/>
      <c r="F32" s="168">
        <f t="shared" si="0"/>
        <v>0</v>
      </c>
      <c r="G32" s="169"/>
      <c r="H32" s="167"/>
    </row>
    <row r="33" spans="2:18">
      <c r="B33" s="2"/>
      <c r="C33" s="162"/>
      <c r="D33" s="162">
        <v>0</v>
      </c>
      <c r="E33" s="162" t="e">
        <f>#REF!</f>
        <v>#REF!</v>
      </c>
      <c r="F33" s="168" t="e">
        <f t="shared" si="0"/>
        <v>#REF!</v>
      </c>
      <c r="G33" s="167"/>
      <c r="H33" s="167"/>
    </row>
    <row r="34" spans="2:18">
      <c r="B34" s="1" t="s">
        <v>28</v>
      </c>
      <c r="C34" s="147">
        <v>189.67254282655247</v>
      </c>
      <c r="D34" s="164">
        <v>157.82111935032256</v>
      </c>
      <c r="E34" s="164" t="e">
        <f>#REF!</f>
        <v>#REF!</v>
      </c>
      <c r="F34" s="168" t="e">
        <f t="shared" si="0"/>
        <v>#REF!</v>
      </c>
      <c r="G34" s="167"/>
      <c r="H34" s="167"/>
    </row>
    <row r="35" spans="2:18">
      <c r="B35" s="2" t="s">
        <v>29</v>
      </c>
      <c r="C35" s="149">
        <v>228.49015301530153</v>
      </c>
      <c r="D35" s="150">
        <v>146.54045545950584</v>
      </c>
      <c r="E35" s="150" t="e">
        <f>#REF!</f>
        <v>#REF!</v>
      </c>
      <c r="F35" s="168" t="e">
        <f t="shared" si="0"/>
        <v>#REF!</v>
      </c>
      <c r="G35" s="167"/>
      <c r="H35" s="167"/>
    </row>
    <row r="36" spans="2:18">
      <c r="B36" s="2" t="s">
        <v>30</v>
      </c>
      <c r="C36" s="149">
        <v>132.70244385733156</v>
      </c>
      <c r="D36" s="150">
        <v>173.3266793357798</v>
      </c>
      <c r="E36" s="150" t="e">
        <f>#REF!</f>
        <v>#REF!</v>
      </c>
      <c r="F36" s="168" t="e">
        <f t="shared" si="0"/>
        <v>#REF!</v>
      </c>
      <c r="G36" s="167"/>
      <c r="H36" s="167"/>
    </row>
    <row r="37" spans="2:18">
      <c r="F37" s="168">
        <f t="shared" si="0"/>
        <v>0</v>
      </c>
      <c r="G37" s="167"/>
      <c r="H37" s="167"/>
    </row>
    <row r="38" spans="2:18" ht="13.8" thickBot="1">
      <c r="F38" s="167"/>
      <c r="G38" s="167"/>
      <c r="H38" s="167"/>
    </row>
    <row r="39" spans="2:18" ht="211.2" customHeight="1">
      <c r="B39" s="294" t="s">
        <v>45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6"/>
      <c r="P39" s="4"/>
      <c r="Q39" s="4"/>
      <c r="R39" s="4"/>
    </row>
    <row r="40" spans="2:18" ht="13.8">
      <c r="B40" s="5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4"/>
      <c r="P40" s="4"/>
      <c r="Q40" s="4"/>
      <c r="R40" s="4"/>
    </row>
    <row r="41" spans="2:18" ht="13.8">
      <c r="B41" s="5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4"/>
      <c r="P41" s="4"/>
      <c r="Q41" s="4"/>
      <c r="R41" s="4"/>
    </row>
    <row r="42" spans="2:18" ht="13.8">
      <c r="B42" s="5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4"/>
      <c r="P42" s="4"/>
      <c r="Q42" s="4"/>
      <c r="R42" s="4"/>
    </row>
    <row r="43" spans="2:18" ht="13.8">
      <c r="B43" s="5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4"/>
      <c r="P43" s="4"/>
      <c r="Q43" s="4"/>
      <c r="R43" s="4"/>
    </row>
    <row r="44" spans="2:18" ht="13.8">
      <c r="B44" s="5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4"/>
      <c r="P44" s="4"/>
      <c r="Q44" s="4"/>
      <c r="R44" s="4"/>
    </row>
    <row r="45" spans="2:18" ht="13.8">
      <c r="B45" s="5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4"/>
      <c r="P45" s="4"/>
      <c r="Q45" s="4"/>
      <c r="R45" s="4"/>
    </row>
    <row r="46" spans="2:18" ht="13.8">
      <c r="B46" s="5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4"/>
      <c r="P46" s="4"/>
      <c r="Q46" s="4"/>
      <c r="R46" s="4"/>
    </row>
    <row r="47" spans="2:18" ht="13.8">
      <c r="B47" s="5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4"/>
      <c r="P47" s="4"/>
      <c r="Q47" s="4"/>
      <c r="R47" s="4"/>
    </row>
    <row r="48" spans="2:18" ht="13.8">
      <c r="B48" s="5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4"/>
      <c r="P48" s="4"/>
      <c r="Q48" s="4"/>
      <c r="R48" s="4"/>
    </row>
    <row r="49" spans="2:18" ht="13.8">
      <c r="B49" s="5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4"/>
      <c r="P49" s="4"/>
      <c r="Q49" s="4"/>
      <c r="R49" s="4"/>
    </row>
    <row r="50" spans="2:18" ht="13.8">
      <c r="B50" s="5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4"/>
      <c r="P50" s="4"/>
      <c r="Q50" s="4"/>
      <c r="R50" s="4"/>
    </row>
    <row r="51" spans="2:18" ht="13.8">
      <c r="B51" s="5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4"/>
      <c r="P51" s="4"/>
      <c r="Q51" s="4"/>
      <c r="R51" s="4"/>
    </row>
    <row r="52" spans="2:18" ht="13.8">
      <c r="B52" s="5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4"/>
      <c r="P52" s="4"/>
      <c r="Q52" s="4"/>
      <c r="R52" s="4"/>
    </row>
    <row r="53" spans="2:18" ht="13.8">
      <c r="B53" s="5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4"/>
      <c r="P53" s="4"/>
      <c r="Q53" s="4"/>
      <c r="R53" s="4"/>
    </row>
    <row r="54" spans="2:18" ht="13.8">
      <c r="B54" s="5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4"/>
      <c r="P54" s="4"/>
      <c r="Q54" s="4"/>
      <c r="R54" s="4"/>
    </row>
    <row r="55" spans="2:18" ht="13.8">
      <c r="B55" s="5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4"/>
      <c r="P55" s="4"/>
      <c r="Q55" s="4"/>
      <c r="R55" s="4"/>
    </row>
    <row r="56" spans="2:18" ht="13.8">
      <c r="B56" s="5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4"/>
      <c r="P56" s="4"/>
      <c r="Q56" s="4"/>
      <c r="R56" s="4"/>
    </row>
    <row r="57" spans="2:18" ht="13.8">
      <c r="B57" s="5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4"/>
      <c r="P57" s="4"/>
      <c r="Q57" s="4"/>
      <c r="R57" s="4"/>
    </row>
    <row r="58" spans="2:18" ht="13.8">
      <c r="B58" s="5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4"/>
      <c r="P58" s="4"/>
      <c r="Q58" s="4"/>
      <c r="R58" s="4"/>
    </row>
    <row r="59" spans="2:18" ht="13.8">
      <c r="B59" s="5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4"/>
      <c r="P59" s="4"/>
      <c r="Q59" s="4"/>
      <c r="R59" s="4"/>
    </row>
    <row r="60" spans="2:18" ht="13.8">
      <c r="B60" s="5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4"/>
      <c r="P60" s="4"/>
      <c r="Q60" s="4"/>
      <c r="R60" s="4"/>
    </row>
    <row r="61" spans="2:18" ht="13.8">
      <c r="B61" s="5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4"/>
      <c r="P61" s="4"/>
      <c r="Q61" s="4"/>
      <c r="R61" s="4"/>
    </row>
    <row r="62" spans="2:18" ht="13.8">
      <c r="B62" s="5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4"/>
      <c r="P62" s="4"/>
      <c r="Q62" s="4"/>
      <c r="R62" s="4"/>
    </row>
    <row r="63" spans="2:18" ht="13.8">
      <c r="B63" s="5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4"/>
      <c r="P63" s="4"/>
      <c r="Q63" s="4"/>
      <c r="R63" s="4"/>
    </row>
    <row r="64" spans="2:18" ht="13.8">
      <c r="B64" s="5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4"/>
      <c r="P64" s="4"/>
      <c r="Q64" s="4"/>
      <c r="R64" s="4"/>
    </row>
    <row r="65" spans="1:26" ht="13.8">
      <c r="B65" s="5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4"/>
      <c r="P65" s="4"/>
      <c r="Q65" s="4"/>
      <c r="R65" s="4"/>
    </row>
    <row r="66" spans="1:26" ht="14.4" thickBot="1">
      <c r="B66" s="55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/>
      <c r="P66" s="4"/>
      <c r="Q66" s="4"/>
      <c r="R66" s="4"/>
    </row>
    <row r="67" spans="1:26" ht="13.8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26" s="62" customFormat="1" ht="15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s="62" customFormat="1" ht="15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s="62" customFormat="1" ht="15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s="62" customFormat="1" ht="15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s="62" customFormat="1" ht="15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s="62" customFormat="1" ht="15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s="62" customFormat="1" ht="15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s="62" customFormat="1" ht="15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s="62" customFormat="1" ht="15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s="62" customFormat="1" ht="15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s="62" customFormat="1" ht="15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s="62" customFormat="1" ht="15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s="62" customFormat="1" ht="15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s="62" customFormat="1" ht="15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s="62" customFormat="1" ht="15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s="62" customFormat="1" ht="15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s="62" customFormat="1" ht="15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s="62" customFormat="1" ht="15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s="62" customFormat="1" ht="15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s="62" customFormat="1" ht="15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s="62" customFormat="1" ht="15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s="62" customFormat="1" ht="15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s="62" customFormat="1" ht="15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s="62" customFormat="1" ht="15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s="62" customFormat="1" ht="15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s="62" customFormat="1" ht="15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s="62" customFormat="1" ht="15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s="62" customFormat="1" ht="15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s="62" customFormat="1" ht="15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s="62" customFormat="1" ht="15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s="62" customFormat="1" ht="15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s="62" customFormat="1" ht="15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s="62" customFormat="1" ht="15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s="62" customFormat="1" ht="15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s="62" customFormat="1" ht="15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s="62" customFormat="1" ht="15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s="62" customFormat="1" ht="15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s="62" customFormat="1" ht="15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s="62" customFormat="1" ht="15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s="62" customFormat="1" ht="15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s="62" customFormat="1" ht="15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s="62" customFormat="1" ht="15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s="62" customFormat="1" ht="15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s="62" customFormat="1" ht="15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s="62" customFormat="1" ht="15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s="62" customFormat="1" ht="15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s="62" customFormat="1" ht="15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s="62" customFormat="1" ht="15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s="62" customFormat="1" ht="15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s="62" customFormat="1" ht="15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s="62" customFormat="1" ht="15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s="62" customFormat="1" ht="15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s="62" customFormat="1" ht="15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s="62" customFormat="1" ht="15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s="62" customFormat="1" ht="15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s="62" customFormat="1" ht="15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s="62" customFormat="1" ht="15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s="62" customFormat="1" ht="15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s="62" customFormat="1" ht="15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s="62" customFormat="1" ht="15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s="62" customFormat="1" ht="15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s="62" customFormat="1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s="62" customFormat="1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s="62" customFormat="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s="62" customFormat="1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s="62" customFormat="1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s="62" customFormat="1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s="62" customFormat="1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s="62" customFormat="1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s="62" customFormat="1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s="62" customFormat="1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s="62" customFormat="1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s="62" customFormat="1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s="62" customFormat="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s="62" customFormat="1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s="62" customFormat="1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s="62" customFormat="1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s="62" customFormat="1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s="62" customFormat="1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s="62" customFormat="1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s="62" customFormat="1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s="62" customFormat="1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s="62" customFormat="1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s="62" customFormat="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s="62" customFormat="1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s="62" customFormat="1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s="62" customFormat="1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s="62" customFormat="1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s="62" customFormat="1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s="62" customFormat="1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s="62" customFormat="1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s="62" customFormat="1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s="62" customFormat="1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s="62" customFormat="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s="62" customFormat="1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s="62" customFormat="1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s="62" customFormat="1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s="62" customFormat="1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s="62" customFormat="1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s="62" customFormat="1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s="62" customFormat="1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s="62" customFormat="1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s="62" customFormat="1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s="62" customFormat="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s="62" customFormat="1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s="62" customFormat="1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s="62" customFormat="1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s="62" customFormat="1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s="62" customFormat="1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s="62" customFormat="1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s="62" customFormat="1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s="62" customFormat="1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s="62" customFormat="1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s="62" customFormat="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s="62" customFormat="1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s="62" customFormat="1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s="62" customFormat="1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s="62" customFormat="1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s="62" customFormat="1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s="62" customFormat="1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s="62" customFormat="1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s="62" customFormat="1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s="62" customFormat="1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s="62" customFormat="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s="62" customFormat="1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s="62" customFormat="1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s="62" customFormat="1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s="62" customFormat="1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s="62" customFormat="1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s="62" customFormat="1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s="62" customFormat="1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s="62" customFormat="1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s="62" customFormat="1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s="62" customFormat="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s="62" customFormat="1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s="62" customFormat="1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s="62" customFormat="1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s="62" customFormat="1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s="62" customFormat="1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s="62" customFormat="1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s="62" customFormat="1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s="62" customFormat="1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s="62" customFormat="1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s="62" customFormat="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s="62" customFormat="1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s="62" customFormat="1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s="62" customFormat="1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s="62" customFormat="1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s="62" customFormat="1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s="62" customFormat="1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s="62" customFormat="1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s="62" customFormat="1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s="62" customFormat="1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s="62" customFormat="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s="62" customFormat="1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s="62" customFormat="1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s="62" customFormat="1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s="62" customFormat="1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s="62" customFormat="1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s="62" customFormat="1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s="62" customFormat="1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s="62" customFormat="1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s="62" customFormat="1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s="62" customFormat="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s="62" customFormat="1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s="62" customFormat="1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s="62" customFormat="1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s="62" customFormat="1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s="62" customFormat="1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s="62" customFormat="1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s="62" customFormat="1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s="62" customFormat="1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s="62" customFormat="1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s="62" customFormat="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s="62" customFormat="1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s="62" customFormat="1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s="62" customFormat="1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s="62" customFormat="1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s="62" customFormat="1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s="62" customFormat="1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s="62" customFormat="1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s="62" customFormat="1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s="62" customFormat="1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s="62" customFormat="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s="62" customFormat="1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s="62" customFormat="1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s="62" customFormat="1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s="62" customFormat="1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s="62" customFormat="1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s="62" customFormat="1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s="62" customFormat="1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s="62" customFormat="1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s="62" customFormat="1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s="62" customFormat="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s="62" customFormat="1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s="62" customFormat="1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s="62" customFormat="1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s="62" customFormat="1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s="62" customFormat="1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s="62" customFormat="1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s="62" customFormat="1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s="62" customFormat="1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s="62" customFormat="1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s="62" customFormat="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s="62" customFormat="1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s="62" customFormat="1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s="62" customFormat="1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s="62" customFormat="1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s="62" customFormat="1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s="62" customFormat="1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s="62" customFormat="1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s="62" customFormat="1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s="62" customFormat="1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s="62" customFormat="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s="62" customFormat="1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s="62" customFormat="1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s="62" customFormat="1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</sheetData>
  <mergeCells count="3">
    <mergeCell ref="C5:C6"/>
    <mergeCell ref="D5:E6"/>
    <mergeCell ref="B39:O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52"/>
  <sheetViews>
    <sheetView topLeftCell="A13" workbookViewId="0">
      <selection activeCell="T34" sqref="T34"/>
    </sheetView>
  </sheetViews>
  <sheetFormatPr baseColWidth="10" defaultRowHeight="13.2"/>
  <cols>
    <col min="3" max="3" width="16.109375" bestFit="1" customWidth="1"/>
    <col min="4" max="8" width="12.5546875" bestFit="1" customWidth="1"/>
  </cols>
  <sheetData>
    <row r="2" spans="2:9">
      <c r="B2" s="284" t="s">
        <v>290</v>
      </c>
    </row>
    <row r="3" spans="2:9">
      <c r="B3" s="277"/>
      <c r="C3" s="277" t="s">
        <v>275</v>
      </c>
      <c r="D3" s="277" t="s">
        <v>276</v>
      </c>
      <c r="E3" s="277" t="s">
        <v>277</v>
      </c>
      <c r="F3" s="277" t="s">
        <v>278</v>
      </c>
      <c r="G3" s="277" t="s">
        <v>279</v>
      </c>
      <c r="H3" s="277" t="s">
        <v>280</v>
      </c>
      <c r="I3" s="278"/>
    </row>
    <row r="4" spans="2:9">
      <c r="B4" s="277" t="s">
        <v>281</v>
      </c>
      <c r="C4" s="277">
        <v>111</v>
      </c>
      <c r="D4" s="277">
        <v>55</v>
      </c>
      <c r="E4" s="277">
        <v>131</v>
      </c>
      <c r="F4" s="277">
        <v>209</v>
      </c>
      <c r="G4" s="277">
        <v>250</v>
      </c>
      <c r="H4" s="277">
        <v>184</v>
      </c>
      <c r="I4" s="278"/>
    </row>
    <row r="5" spans="2:9">
      <c r="B5" s="277" t="s">
        <v>139</v>
      </c>
      <c r="C5" s="277">
        <v>95</v>
      </c>
      <c r="D5" s="277">
        <v>19</v>
      </c>
      <c r="E5" s="277">
        <v>45</v>
      </c>
      <c r="F5" s="277">
        <v>26</v>
      </c>
      <c r="G5" s="277">
        <v>98</v>
      </c>
      <c r="H5" s="277">
        <v>119</v>
      </c>
      <c r="I5" s="278"/>
    </row>
    <row r="6" spans="2:9">
      <c r="B6" s="277" t="s">
        <v>143</v>
      </c>
      <c r="C6" s="277">
        <v>109</v>
      </c>
      <c r="D6" s="277">
        <v>26</v>
      </c>
      <c r="E6" s="277">
        <v>34</v>
      </c>
      <c r="F6" s="277">
        <v>42</v>
      </c>
      <c r="G6" s="277">
        <v>142</v>
      </c>
      <c r="H6" s="277">
        <v>52</v>
      </c>
      <c r="I6" s="278"/>
    </row>
    <row r="7" spans="2:9">
      <c r="B7" s="277" t="s">
        <v>282</v>
      </c>
      <c r="C7" s="277">
        <v>56</v>
      </c>
      <c r="D7" s="277">
        <v>3</v>
      </c>
      <c r="E7" s="277">
        <v>29</v>
      </c>
      <c r="F7" s="277">
        <v>38</v>
      </c>
      <c r="G7" s="277">
        <v>71</v>
      </c>
      <c r="H7" s="277">
        <v>96</v>
      </c>
      <c r="I7" s="278"/>
    </row>
    <row r="8" spans="2:9">
      <c r="B8" s="277" t="s">
        <v>283</v>
      </c>
      <c r="C8" s="277">
        <v>173</v>
      </c>
      <c r="D8" s="277">
        <v>100</v>
      </c>
      <c r="E8" s="277">
        <v>219</v>
      </c>
      <c r="F8" s="277">
        <v>211</v>
      </c>
      <c r="G8" s="277">
        <v>753</v>
      </c>
      <c r="H8" s="277">
        <v>189</v>
      </c>
      <c r="I8" s="278"/>
    </row>
    <row r="9" spans="2:9">
      <c r="B9" s="277" t="s">
        <v>284</v>
      </c>
      <c r="C9" s="277">
        <v>110</v>
      </c>
      <c r="D9" s="277">
        <v>55</v>
      </c>
      <c r="E9" s="277">
        <v>108</v>
      </c>
      <c r="F9" s="277">
        <v>96</v>
      </c>
      <c r="G9" s="277">
        <v>292</v>
      </c>
      <c r="H9" s="277">
        <v>110</v>
      </c>
      <c r="I9" s="278"/>
    </row>
    <row r="10" spans="2:9">
      <c r="B10" s="277" t="s">
        <v>285</v>
      </c>
      <c r="C10" s="277">
        <v>33</v>
      </c>
      <c r="D10" s="277">
        <v>10</v>
      </c>
      <c r="E10" s="277">
        <v>27</v>
      </c>
      <c r="F10" s="277">
        <v>24</v>
      </c>
      <c r="G10" s="277">
        <v>75</v>
      </c>
      <c r="H10" s="277">
        <v>31</v>
      </c>
      <c r="I10" s="278"/>
    </row>
    <row r="11" spans="2:9">
      <c r="B11" s="277" t="s">
        <v>286</v>
      </c>
      <c r="C11" s="277">
        <v>39</v>
      </c>
      <c r="D11" s="277">
        <v>2</v>
      </c>
      <c r="E11" s="277">
        <v>8</v>
      </c>
      <c r="F11" s="277">
        <v>12</v>
      </c>
      <c r="G11" s="277">
        <v>38</v>
      </c>
      <c r="H11" s="277">
        <v>13</v>
      </c>
      <c r="I11" s="279"/>
    </row>
    <row r="12" spans="2:9">
      <c r="B12" s="277" t="s">
        <v>287</v>
      </c>
      <c r="C12" s="277"/>
      <c r="D12" s="277"/>
      <c r="E12" s="277">
        <v>2</v>
      </c>
      <c r="F12" s="277">
        <v>3</v>
      </c>
      <c r="G12" s="277">
        <v>298</v>
      </c>
      <c r="H12" s="277">
        <v>36</v>
      </c>
      <c r="I12" s="278"/>
    </row>
    <row r="13" spans="2:9">
      <c r="B13" s="280" t="s">
        <v>133</v>
      </c>
      <c r="C13" s="281">
        <f>SUM(C4:C12)</f>
        <v>726</v>
      </c>
      <c r="D13" s="281">
        <f t="shared" ref="D13:H13" si="0">SUM(D4:D12)</f>
        <v>270</v>
      </c>
      <c r="E13" s="281">
        <f t="shared" si="0"/>
        <v>603</v>
      </c>
      <c r="F13" s="281">
        <f t="shared" si="0"/>
        <v>661</v>
      </c>
      <c r="G13" s="281">
        <f t="shared" si="0"/>
        <v>2017</v>
      </c>
      <c r="H13" s="281">
        <f t="shared" si="0"/>
        <v>830</v>
      </c>
      <c r="I13" s="281">
        <f>SUM(C13:H13)</f>
        <v>5107</v>
      </c>
    </row>
    <row r="14" spans="2:9">
      <c r="B14" s="279" t="s">
        <v>288</v>
      </c>
      <c r="C14" s="282">
        <v>805</v>
      </c>
      <c r="D14">
        <v>487</v>
      </c>
      <c r="E14">
        <v>789</v>
      </c>
      <c r="F14">
        <v>1108</v>
      </c>
      <c r="G14">
        <v>2413</v>
      </c>
      <c r="H14">
        <v>996</v>
      </c>
      <c r="I14" s="281">
        <f>SUM(C14:H14)</f>
        <v>6598</v>
      </c>
    </row>
    <row r="15" spans="2:9">
      <c r="B15" s="279" t="s">
        <v>289</v>
      </c>
      <c r="C15" s="283">
        <f>(C13-C14)/C14</f>
        <v>-9.8136645962732916E-2</v>
      </c>
      <c r="D15" s="283">
        <f t="shared" ref="D15:F15" si="1">(D13-D14)/D14</f>
        <v>-0.44558521560574949</v>
      </c>
      <c r="E15" s="283">
        <f t="shared" si="1"/>
        <v>-0.23574144486692014</v>
      </c>
      <c r="F15" s="283">
        <f t="shared" si="1"/>
        <v>-0.40342960288808666</v>
      </c>
      <c r="G15" s="283">
        <f>(G13-G14)/G14</f>
        <v>-0.1641110650642354</v>
      </c>
      <c r="H15" s="283">
        <f>(H13-H14)/H14</f>
        <v>-0.16666666666666666</v>
      </c>
      <c r="I15" s="283">
        <f>(I13-I14)/I14</f>
        <v>-0.225977568960291</v>
      </c>
    </row>
    <row r="21" spans="2:21">
      <c r="B21" s="277"/>
      <c r="C21" s="277" t="s">
        <v>275</v>
      </c>
      <c r="D21" s="277" t="s">
        <v>276</v>
      </c>
      <c r="E21" s="277" t="s">
        <v>277</v>
      </c>
      <c r="F21" s="277" t="s">
        <v>278</v>
      </c>
      <c r="G21" s="277" t="s">
        <v>279</v>
      </c>
      <c r="H21" s="277" t="s">
        <v>280</v>
      </c>
      <c r="I21" s="277" t="s">
        <v>275</v>
      </c>
      <c r="J21" s="277" t="s">
        <v>276</v>
      </c>
      <c r="K21" s="277" t="s">
        <v>277</v>
      </c>
      <c r="L21" s="277" t="s">
        <v>278</v>
      </c>
      <c r="M21" s="277" t="s">
        <v>279</v>
      </c>
      <c r="N21" s="277" t="s">
        <v>280</v>
      </c>
      <c r="P21" s="277" t="s">
        <v>275</v>
      </c>
      <c r="Q21" s="277" t="s">
        <v>276</v>
      </c>
      <c r="R21" s="277" t="s">
        <v>277</v>
      </c>
      <c r="S21" s="277" t="s">
        <v>278</v>
      </c>
      <c r="T21" s="277" t="s">
        <v>279</v>
      </c>
      <c r="U21" s="277" t="s">
        <v>280</v>
      </c>
    </row>
    <row r="22" spans="2:21">
      <c r="B22" s="277" t="s">
        <v>281</v>
      </c>
      <c r="C22" s="277">
        <v>111</v>
      </c>
      <c r="D22" s="277">
        <v>55</v>
      </c>
      <c r="E22" s="277">
        <v>131</v>
      </c>
      <c r="F22" s="277">
        <v>209</v>
      </c>
      <c r="G22" s="277">
        <v>250</v>
      </c>
      <c r="H22" s="277">
        <v>184</v>
      </c>
      <c r="I22" s="278"/>
    </row>
    <row r="23" spans="2:21">
      <c r="B23" s="277" t="s">
        <v>139</v>
      </c>
      <c r="C23" s="277">
        <v>95</v>
      </c>
      <c r="D23" s="277">
        <v>19</v>
      </c>
      <c r="E23" s="277">
        <v>45</v>
      </c>
      <c r="F23" s="277">
        <v>26</v>
      </c>
      <c r="G23" s="277">
        <v>98</v>
      </c>
      <c r="H23" s="277">
        <v>119</v>
      </c>
      <c r="I23" s="278"/>
    </row>
    <row r="24" spans="2:21">
      <c r="B24" s="277" t="s">
        <v>143</v>
      </c>
      <c r="C24" s="277">
        <v>109</v>
      </c>
      <c r="D24" s="277">
        <v>26</v>
      </c>
      <c r="E24" s="277">
        <v>34</v>
      </c>
      <c r="F24" s="277">
        <v>42</v>
      </c>
      <c r="G24" s="277">
        <v>142</v>
      </c>
      <c r="H24" s="277">
        <v>52</v>
      </c>
      <c r="I24" s="278"/>
    </row>
    <row r="25" spans="2:21">
      <c r="B25" s="277" t="s">
        <v>282</v>
      </c>
      <c r="C25" s="277">
        <v>56</v>
      </c>
      <c r="D25" s="277">
        <v>3</v>
      </c>
      <c r="E25" s="277">
        <v>29</v>
      </c>
      <c r="F25" s="277">
        <v>38</v>
      </c>
      <c r="G25" s="277">
        <v>71</v>
      </c>
      <c r="H25" s="277">
        <v>96</v>
      </c>
      <c r="I25" s="278"/>
    </row>
    <row r="26" spans="2:21">
      <c r="B26" s="277" t="s">
        <v>283</v>
      </c>
      <c r="C26" s="277">
        <v>173</v>
      </c>
      <c r="D26" s="277">
        <v>100</v>
      </c>
      <c r="E26" s="277">
        <v>219</v>
      </c>
      <c r="F26" s="277">
        <v>211</v>
      </c>
      <c r="G26" s="277">
        <v>753</v>
      </c>
      <c r="H26" s="277">
        <v>189</v>
      </c>
      <c r="I26" s="278">
        <f>C26/(C26+C27+C28+C29)</f>
        <v>0.48732394366197185</v>
      </c>
      <c r="J26" s="278">
        <f>D26/(D26+D27+D28)</f>
        <v>0.60606060606060608</v>
      </c>
      <c r="K26" s="278">
        <f t="shared" ref="K26:N26" si="2">E26/(E26+E27+E28)</f>
        <v>0.61864406779661019</v>
      </c>
      <c r="L26" s="278">
        <f t="shared" si="2"/>
        <v>0.63746223564954685</v>
      </c>
      <c r="M26" s="278">
        <f t="shared" si="2"/>
        <v>0.67232142857142863</v>
      </c>
      <c r="N26" s="278">
        <f t="shared" si="2"/>
        <v>0.57272727272727275</v>
      </c>
      <c r="P26">
        <f>$C$34*I26</f>
        <v>38.498591549295774</v>
      </c>
      <c r="Q26">
        <f t="shared" ref="Q26:U29" si="3">$C$34*J26</f>
        <v>47.878787878787882</v>
      </c>
      <c r="R26">
        <f t="shared" si="3"/>
        <v>48.872881355932208</v>
      </c>
      <c r="S26">
        <f t="shared" si="3"/>
        <v>50.359516616314203</v>
      </c>
      <c r="T26">
        <f t="shared" si="3"/>
        <v>53.113392857142863</v>
      </c>
      <c r="U26">
        <f t="shared" si="3"/>
        <v>45.24545454545455</v>
      </c>
    </row>
    <row r="27" spans="2:21">
      <c r="B27" s="277" t="s">
        <v>284</v>
      </c>
      <c r="C27" s="277">
        <v>110</v>
      </c>
      <c r="D27" s="277">
        <v>55</v>
      </c>
      <c r="E27" s="277">
        <v>108</v>
      </c>
      <c r="F27" s="277">
        <v>96</v>
      </c>
      <c r="G27" s="277">
        <v>292</v>
      </c>
      <c r="H27" s="277">
        <v>110</v>
      </c>
      <c r="I27" s="286">
        <f>C27/(C26+C27+C28+C29)</f>
        <v>0.30985915492957744</v>
      </c>
      <c r="J27" s="286">
        <f>D27/(D26+D27+D28)</f>
        <v>0.33333333333333331</v>
      </c>
      <c r="K27" s="286">
        <f t="shared" ref="K27:N27" si="4">E27/(E26+E27+E28)</f>
        <v>0.30508474576271188</v>
      </c>
      <c r="L27" s="286">
        <f t="shared" si="4"/>
        <v>0.29003021148036257</v>
      </c>
      <c r="M27" s="286">
        <f t="shared" si="4"/>
        <v>0.26071428571428573</v>
      </c>
      <c r="N27" s="286">
        <f t="shared" si="4"/>
        <v>0.33333333333333331</v>
      </c>
      <c r="P27">
        <f t="shared" ref="P27:P29" si="5">$C$34*I27</f>
        <v>24.478873239436616</v>
      </c>
      <c r="Q27">
        <f t="shared" si="3"/>
        <v>26.333333333333332</v>
      </c>
      <c r="R27">
        <f t="shared" si="3"/>
        <v>24.101694915254239</v>
      </c>
      <c r="S27">
        <f t="shared" si="3"/>
        <v>22.912386706948642</v>
      </c>
      <c r="T27">
        <f t="shared" si="3"/>
        <v>20.596428571428572</v>
      </c>
      <c r="U27">
        <f t="shared" si="3"/>
        <v>26.333333333333332</v>
      </c>
    </row>
    <row r="28" spans="2:21">
      <c r="B28" s="277" t="s">
        <v>285</v>
      </c>
      <c r="C28" s="277">
        <v>33</v>
      </c>
      <c r="D28" s="277">
        <v>10</v>
      </c>
      <c r="E28" s="277">
        <v>27</v>
      </c>
      <c r="F28" s="277">
        <v>24</v>
      </c>
      <c r="G28" s="277">
        <v>75</v>
      </c>
      <c r="H28" s="277">
        <v>31</v>
      </c>
      <c r="I28" s="278">
        <f>C28/(C28+C29+C26+C27)</f>
        <v>9.295774647887324E-2</v>
      </c>
      <c r="J28" s="278">
        <f>D28/(D28+D29+D26)</f>
        <v>8.9285714285714288E-2</v>
      </c>
      <c r="K28" s="278">
        <f t="shared" ref="K28:N28" si="6">E28/(E28+E29+E26)</f>
        <v>0.1062992125984252</v>
      </c>
      <c r="L28" s="278">
        <f t="shared" si="6"/>
        <v>9.7165991902834009E-2</v>
      </c>
      <c r="M28" s="278">
        <f t="shared" si="6"/>
        <v>8.6605080831408776E-2</v>
      </c>
      <c r="N28" s="278">
        <f t="shared" si="6"/>
        <v>0.13304721030042918</v>
      </c>
      <c r="P28">
        <f t="shared" si="5"/>
        <v>7.3436619718309863</v>
      </c>
      <c r="Q28">
        <f t="shared" si="3"/>
        <v>7.0535714285714288</v>
      </c>
      <c r="R28">
        <f t="shared" si="3"/>
        <v>8.3976377952755907</v>
      </c>
      <c r="S28">
        <f t="shared" si="3"/>
        <v>7.6761133603238871</v>
      </c>
      <c r="T28">
        <f t="shared" si="3"/>
        <v>6.8418013856812934</v>
      </c>
      <c r="U28">
        <f t="shared" si="3"/>
        <v>10.510729613733906</v>
      </c>
    </row>
    <row r="29" spans="2:21">
      <c r="B29" s="277" t="s">
        <v>286</v>
      </c>
      <c r="C29" s="277">
        <v>39</v>
      </c>
      <c r="D29" s="277">
        <v>2</v>
      </c>
      <c r="E29" s="277">
        <v>8</v>
      </c>
      <c r="F29" s="277">
        <v>12</v>
      </c>
      <c r="G29" s="277">
        <v>38</v>
      </c>
      <c r="H29" s="277">
        <v>13</v>
      </c>
      <c r="I29" s="278">
        <f>C29/(C29+C30+C27+C28)</f>
        <v>0.21428571428571427</v>
      </c>
      <c r="J29" s="278">
        <f>D29/(D29+D30+D27)</f>
        <v>3.5087719298245612E-2</v>
      </c>
      <c r="K29" s="278">
        <f t="shared" ref="K29:N29" si="7">E29/(E29+E30+E27)</f>
        <v>6.7796610169491525E-2</v>
      </c>
      <c r="L29" s="278">
        <f t="shared" si="7"/>
        <v>0.10810810810810811</v>
      </c>
      <c r="M29" s="278">
        <f t="shared" si="7"/>
        <v>6.0509554140127389E-2</v>
      </c>
      <c r="N29" s="278">
        <f t="shared" si="7"/>
        <v>8.1761006289308172E-2</v>
      </c>
      <c r="P29">
        <f t="shared" si="5"/>
        <v>16.928571428571427</v>
      </c>
      <c r="Q29">
        <f t="shared" si="3"/>
        <v>2.7719298245614032</v>
      </c>
      <c r="R29">
        <f t="shared" si="3"/>
        <v>5.3559322033898304</v>
      </c>
      <c r="S29">
        <f t="shared" si="3"/>
        <v>8.5405405405405403</v>
      </c>
      <c r="T29">
        <f t="shared" si="3"/>
        <v>4.7802547770700636</v>
      </c>
      <c r="U29">
        <f t="shared" si="3"/>
        <v>6.4591194968553456</v>
      </c>
    </row>
    <row r="30" spans="2:21">
      <c r="B30" s="277" t="s">
        <v>287</v>
      </c>
      <c r="C30" s="277"/>
      <c r="D30" s="277"/>
      <c r="E30" s="277">
        <v>2</v>
      </c>
      <c r="F30" s="277">
        <v>3</v>
      </c>
      <c r="G30" s="277">
        <v>298</v>
      </c>
      <c r="H30" s="277">
        <v>36</v>
      </c>
      <c r="I30" s="278"/>
    </row>
    <row r="31" spans="2:21">
      <c r="B31" s="280" t="s">
        <v>133</v>
      </c>
      <c r="C31" s="281">
        <f>SUM(C22:C30)</f>
        <v>726</v>
      </c>
      <c r="D31" s="281">
        <f t="shared" ref="D31:H31" si="8">SUM(D22:D30)</f>
        <v>270</v>
      </c>
      <c r="E31" s="281">
        <f t="shared" si="8"/>
        <v>603</v>
      </c>
      <c r="F31" s="281">
        <f t="shared" si="8"/>
        <v>661</v>
      </c>
      <c r="G31" s="281">
        <f t="shared" si="8"/>
        <v>2017</v>
      </c>
      <c r="H31" s="281">
        <f t="shared" si="8"/>
        <v>830</v>
      </c>
      <c r="I31" s="281">
        <f>SUM(C31:H31)</f>
        <v>5107</v>
      </c>
    </row>
    <row r="32" spans="2:21">
      <c r="B32" s="279" t="s">
        <v>288</v>
      </c>
      <c r="C32" s="282">
        <v>805</v>
      </c>
      <c r="D32">
        <v>487</v>
      </c>
      <c r="E32">
        <v>789</v>
      </c>
      <c r="F32">
        <v>1108</v>
      </c>
      <c r="G32">
        <v>2413</v>
      </c>
      <c r="H32">
        <v>996</v>
      </c>
      <c r="I32" s="281">
        <f>SUM(C32:H32)</f>
        <v>6598</v>
      </c>
    </row>
    <row r="33" spans="2:21">
      <c r="B33" s="279" t="s">
        <v>289</v>
      </c>
      <c r="C33" s="283">
        <f>(C31-C32)/C32</f>
        <v>-9.8136645962732916E-2</v>
      </c>
      <c r="D33" s="283">
        <f t="shared" ref="D33:F33" si="9">(D31-D32)/D32</f>
        <v>-0.44558521560574949</v>
      </c>
      <c r="E33" s="283">
        <f t="shared" si="9"/>
        <v>-0.23574144486692014</v>
      </c>
      <c r="F33" s="283">
        <f t="shared" si="9"/>
        <v>-0.40342960288808666</v>
      </c>
      <c r="G33" s="283">
        <f>(G31-G32)/G32</f>
        <v>-0.1641110650642354</v>
      </c>
      <c r="H33" s="283">
        <f>(H31-H32)/H32</f>
        <v>-0.16666666666666666</v>
      </c>
      <c r="I33" s="283">
        <f>(I31-I32)/I32</f>
        <v>-0.225977568960291</v>
      </c>
      <c r="P33" s="277" t="s">
        <v>275</v>
      </c>
      <c r="Q33" s="277" t="s">
        <v>276</v>
      </c>
      <c r="R33" s="277" t="s">
        <v>277</v>
      </c>
      <c r="S33" s="277" t="s">
        <v>278</v>
      </c>
      <c r="T33" s="277" t="s">
        <v>279</v>
      </c>
      <c r="U33" s="277" t="s">
        <v>280</v>
      </c>
    </row>
    <row r="34" spans="2:21">
      <c r="B34" s="285" t="s">
        <v>289</v>
      </c>
      <c r="C34">
        <f>C32-C31</f>
        <v>79</v>
      </c>
      <c r="D34">
        <f t="shared" ref="D34:H34" si="10">D32-D31</f>
        <v>217</v>
      </c>
      <c r="E34">
        <f t="shared" si="10"/>
        <v>186</v>
      </c>
      <c r="F34">
        <f t="shared" si="10"/>
        <v>447</v>
      </c>
      <c r="G34">
        <f t="shared" si="10"/>
        <v>396</v>
      </c>
      <c r="H34">
        <f t="shared" si="10"/>
        <v>166</v>
      </c>
      <c r="P34">
        <f>C26+P26</f>
        <v>211.49859154929578</v>
      </c>
      <c r="Q34">
        <f t="shared" ref="Q34:U34" si="11">D26+Q26</f>
        <v>147.87878787878788</v>
      </c>
      <c r="R34">
        <f t="shared" si="11"/>
        <v>267.87288135593224</v>
      </c>
      <c r="S34">
        <f t="shared" si="11"/>
        <v>261.35951661631418</v>
      </c>
      <c r="T34">
        <f t="shared" si="11"/>
        <v>806.11339285714291</v>
      </c>
      <c r="U34">
        <f t="shared" si="11"/>
        <v>234.24545454545455</v>
      </c>
    </row>
    <row r="35" spans="2:21">
      <c r="C35">
        <f>C34/7</f>
        <v>11.285714285714286</v>
      </c>
      <c r="D35">
        <f t="shared" ref="D35:H35" si="12">D34/7</f>
        <v>31</v>
      </c>
      <c r="E35">
        <f t="shared" si="12"/>
        <v>26.571428571428573</v>
      </c>
      <c r="F35">
        <f t="shared" si="12"/>
        <v>63.857142857142854</v>
      </c>
      <c r="G35">
        <f t="shared" si="12"/>
        <v>56.571428571428569</v>
      </c>
      <c r="H35">
        <f t="shared" si="12"/>
        <v>23.714285714285715</v>
      </c>
      <c r="P35">
        <f t="shared" ref="P35:P37" si="13">C27+P27</f>
        <v>134.47887323943661</v>
      </c>
      <c r="Q35">
        <f t="shared" ref="Q35:Q37" si="14">D27+Q27</f>
        <v>81.333333333333329</v>
      </c>
      <c r="R35">
        <f t="shared" ref="R35:R37" si="15">E27+R27</f>
        <v>132.10169491525423</v>
      </c>
      <c r="S35">
        <f t="shared" ref="S35:S37" si="16">F27+S27</f>
        <v>118.91238670694864</v>
      </c>
      <c r="T35">
        <f t="shared" ref="T35:T37" si="17">G27+T27</f>
        <v>312.59642857142859</v>
      </c>
      <c r="U35">
        <f t="shared" ref="U35:U37" si="18">H27+U27</f>
        <v>136.33333333333334</v>
      </c>
    </row>
    <row r="36" spans="2:21">
      <c r="P36">
        <f t="shared" si="13"/>
        <v>40.343661971830983</v>
      </c>
      <c r="Q36">
        <f t="shared" si="14"/>
        <v>17.053571428571431</v>
      </c>
      <c r="R36">
        <f t="shared" si="15"/>
        <v>35.397637795275593</v>
      </c>
      <c r="S36">
        <f t="shared" si="16"/>
        <v>31.676113360323889</v>
      </c>
      <c r="T36">
        <f t="shared" si="17"/>
        <v>81.841801385681293</v>
      </c>
      <c r="U36">
        <f t="shared" si="18"/>
        <v>41.510729613733908</v>
      </c>
    </row>
    <row r="37" spans="2:21">
      <c r="P37">
        <f t="shared" si="13"/>
        <v>55.928571428571431</v>
      </c>
      <c r="Q37">
        <f t="shared" si="14"/>
        <v>4.7719298245614032</v>
      </c>
      <c r="R37">
        <f t="shared" si="15"/>
        <v>13.35593220338983</v>
      </c>
      <c r="S37">
        <f t="shared" si="16"/>
        <v>20.54054054054054</v>
      </c>
      <c r="T37">
        <f t="shared" si="17"/>
        <v>42.780254777070063</v>
      </c>
      <c r="U37">
        <f t="shared" si="18"/>
        <v>19.459119496855344</v>
      </c>
    </row>
    <row r="39" spans="2:21">
      <c r="B39" s="277"/>
      <c r="C39" s="277" t="s">
        <v>275</v>
      </c>
      <c r="D39" s="277" t="s">
        <v>276</v>
      </c>
      <c r="E39" s="277" t="s">
        <v>277</v>
      </c>
      <c r="F39" s="277" t="s">
        <v>278</v>
      </c>
      <c r="G39" s="277" t="s">
        <v>279</v>
      </c>
      <c r="H39" s="277" t="s">
        <v>280</v>
      </c>
    </row>
    <row r="40" spans="2:21">
      <c r="B40" s="277" t="s">
        <v>281</v>
      </c>
      <c r="C40" s="277">
        <v>111</v>
      </c>
      <c r="D40" s="277">
        <v>55</v>
      </c>
      <c r="E40" s="277">
        <v>131</v>
      </c>
      <c r="F40" s="277">
        <v>209</v>
      </c>
      <c r="G40" s="277">
        <v>250</v>
      </c>
      <c r="H40" s="277">
        <v>184</v>
      </c>
    </row>
    <row r="41" spans="2:21">
      <c r="B41" s="277" t="s">
        <v>139</v>
      </c>
      <c r="C41" s="277">
        <v>95</v>
      </c>
      <c r="D41" s="277">
        <v>19</v>
      </c>
      <c r="E41" s="277">
        <v>45</v>
      </c>
      <c r="F41" s="277">
        <v>26</v>
      </c>
      <c r="G41" s="277">
        <v>98</v>
      </c>
      <c r="H41" s="277">
        <v>119</v>
      </c>
    </row>
    <row r="42" spans="2:21">
      <c r="B42" s="277" t="s">
        <v>143</v>
      </c>
      <c r="C42" s="277">
        <v>109</v>
      </c>
      <c r="D42" s="277">
        <v>26</v>
      </c>
      <c r="E42" s="277">
        <v>34</v>
      </c>
      <c r="F42" s="277">
        <v>42</v>
      </c>
      <c r="G42" s="277">
        <v>142</v>
      </c>
      <c r="H42" s="277">
        <v>52</v>
      </c>
    </row>
    <row r="43" spans="2:21">
      <c r="B43" s="277" t="s">
        <v>282</v>
      </c>
      <c r="C43" s="277">
        <v>56</v>
      </c>
      <c r="D43" s="277">
        <v>3</v>
      </c>
      <c r="E43" s="277">
        <v>29</v>
      </c>
      <c r="F43" s="277">
        <v>38</v>
      </c>
      <c r="G43" s="277">
        <v>71</v>
      </c>
      <c r="H43" s="277">
        <v>96</v>
      </c>
    </row>
    <row r="44" spans="2:21">
      <c r="B44" s="277" t="s">
        <v>283</v>
      </c>
      <c r="C44" s="287">
        <v>211.49859154929578</v>
      </c>
      <c r="D44" s="287">
        <v>147.87878787878788</v>
      </c>
      <c r="E44" s="287">
        <v>267.87288135593224</v>
      </c>
      <c r="F44" s="287">
        <v>261.35951661631418</v>
      </c>
      <c r="G44" s="287">
        <v>806.11339285714291</v>
      </c>
      <c r="H44" s="287">
        <v>234.24545454545455</v>
      </c>
    </row>
    <row r="45" spans="2:21">
      <c r="B45" s="277" t="s">
        <v>284</v>
      </c>
      <c r="C45" s="287">
        <v>134.47887323943661</v>
      </c>
      <c r="D45" s="287">
        <v>81.333333333333329</v>
      </c>
      <c r="E45" s="287">
        <v>132.10169491525423</v>
      </c>
      <c r="F45" s="287">
        <v>118.91238670694864</v>
      </c>
      <c r="G45" s="287">
        <v>312.59642857142859</v>
      </c>
      <c r="H45" s="287">
        <v>136.33333333333334</v>
      </c>
    </row>
    <row r="46" spans="2:21">
      <c r="B46" s="277" t="s">
        <v>285</v>
      </c>
      <c r="C46" s="287">
        <v>38.343661971830997</v>
      </c>
      <c r="D46" s="287">
        <v>17.053571428571431</v>
      </c>
      <c r="E46" s="287">
        <v>35.397637795275593</v>
      </c>
      <c r="F46" s="287">
        <v>31.676113360323889</v>
      </c>
      <c r="G46" s="287">
        <v>81.841801385681293</v>
      </c>
      <c r="H46" s="287">
        <v>41.510729613733908</v>
      </c>
    </row>
    <row r="47" spans="2:21">
      <c r="B47" s="277" t="s">
        <v>286</v>
      </c>
      <c r="C47" s="287">
        <v>49.928571428571402</v>
      </c>
      <c r="D47" s="287">
        <v>4.7719298245614032</v>
      </c>
      <c r="E47" s="287">
        <v>13.35593220338983</v>
      </c>
      <c r="F47" s="287">
        <v>20.54054054054054</v>
      </c>
      <c r="G47" s="287">
        <v>42.780254777070063</v>
      </c>
      <c r="H47" s="287">
        <v>19.459119496855344</v>
      </c>
    </row>
    <row r="48" spans="2:21">
      <c r="B48" s="277" t="s">
        <v>287</v>
      </c>
      <c r="C48" s="277"/>
      <c r="D48" s="277"/>
      <c r="E48" s="277"/>
      <c r="F48" s="277"/>
      <c r="G48" s="277"/>
      <c r="H48" s="277"/>
    </row>
    <row r="49" spans="2:8">
      <c r="B49" s="280" t="s">
        <v>133</v>
      </c>
      <c r="C49" s="281">
        <f>SUM(C40:C48)</f>
        <v>805.24969818913473</v>
      </c>
      <c r="D49" s="281">
        <f t="shared" ref="D49:H49" si="19">SUM(D40:D48)</f>
        <v>354.03762246525406</v>
      </c>
      <c r="E49" s="281">
        <f t="shared" si="19"/>
        <v>687.72814626985189</v>
      </c>
      <c r="F49" s="281">
        <f t="shared" si="19"/>
        <v>747.48855722412725</v>
      </c>
      <c r="G49" s="281">
        <f t="shared" si="19"/>
        <v>1804.3318775913228</v>
      </c>
      <c r="H49" s="281">
        <f t="shared" si="19"/>
        <v>882.5486369893772</v>
      </c>
    </row>
    <row r="50" spans="2:8">
      <c r="B50" s="279" t="s">
        <v>288</v>
      </c>
      <c r="C50" s="282">
        <v>805</v>
      </c>
      <c r="D50">
        <v>487</v>
      </c>
      <c r="E50">
        <v>789</v>
      </c>
      <c r="F50">
        <v>1108</v>
      </c>
      <c r="G50">
        <v>2413</v>
      </c>
      <c r="H50">
        <v>996</v>
      </c>
    </row>
    <row r="51" spans="2:8">
      <c r="B51" s="279" t="s">
        <v>289</v>
      </c>
      <c r="C51" s="283">
        <f>(C49-C50)/C50</f>
        <v>3.1018408588165614E-4</v>
      </c>
      <c r="D51" s="283">
        <f>(D49-D50)/D50</f>
        <v>-0.27302336249434483</v>
      </c>
      <c r="E51" s="283">
        <f t="shared" ref="E51:F51" si="20">(E49-E50)/E50</f>
        <v>-0.12835469420804577</v>
      </c>
      <c r="F51" s="283">
        <f t="shared" si="20"/>
        <v>-0.32537133824537251</v>
      </c>
      <c r="G51" s="283">
        <f>(G49-G50)/G50</f>
        <v>-0.2522453884826677</v>
      </c>
      <c r="H51" s="283">
        <f>(H49-H50)/H50</f>
        <v>-0.11390699097452088</v>
      </c>
    </row>
    <row r="52" spans="2:8">
      <c r="B52" s="285" t="s">
        <v>289</v>
      </c>
      <c r="C52">
        <f>C50-C49</f>
        <v>-0.24969818913473318</v>
      </c>
      <c r="D52">
        <f t="shared" ref="D52:H52" si="21">D50-D49</f>
        <v>132.96237753474594</v>
      </c>
      <c r="E52">
        <f t="shared" si="21"/>
        <v>101.27185373014811</v>
      </c>
      <c r="F52">
        <f t="shared" si="21"/>
        <v>360.51144277587275</v>
      </c>
      <c r="G52">
        <f t="shared" si="21"/>
        <v>608.66812240867716</v>
      </c>
      <c r="H52">
        <f t="shared" si="21"/>
        <v>113.4513630106228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70C0"/>
    <outlinePr summaryBelow="0" summaryRight="0"/>
  </sheetPr>
  <dimension ref="B1:AR770"/>
  <sheetViews>
    <sheetView showGridLines="0" zoomScale="73" zoomScaleNormal="73" workbookViewId="0">
      <selection activeCell="B1" sqref="B1:B1048576"/>
    </sheetView>
  </sheetViews>
  <sheetFormatPr baseColWidth="10" defaultColWidth="12.6640625" defaultRowHeight="15" customHeight="1"/>
  <cols>
    <col min="1" max="1" width="12.6640625" style="62"/>
    <col min="2" max="2" width="35" style="62" bestFit="1" customWidth="1"/>
    <col min="3" max="8" width="12.6640625" style="62" hidden="1" customWidth="1"/>
    <col min="9" max="9" width="14.5546875" style="62" hidden="1" customWidth="1"/>
    <col min="10" max="14" width="12.6640625" style="62" hidden="1" customWidth="1"/>
    <col min="15" max="15" width="3.44140625" style="62" hidden="1" customWidth="1"/>
    <col min="16" max="16" width="11.5546875" style="62" hidden="1" customWidth="1"/>
    <col min="17" max="17" width="12.6640625" style="62" hidden="1" customWidth="1"/>
    <col min="18" max="18" width="13" style="62" hidden="1" customWidth="1"/>
    <col min="19" max="19" width="5.109375" style="62" customWidth="1"/>
    <col min="20" max="25" width="12.6640625" style="62"/>
    <col min="26" max="26" width="14.5546875" style="62" bestFit="1" customWidth="1"/>
    <col min="27" max="27" width="12.6640625" style="62"/>
    <col min="28" max="28" width="13.5546875" style="62" customWidth="1"/>
    <col min="29" max="16384" width="12.6640625" style="62"/>
  </cols>
  <sheetData>
    <row r="1" spans="2:44" ht="15.75" customHeight="1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/>
      <c r="AK1" s="61"/>
      <c r="AL1" s="61"/>
      <c r="AM1" s="61"/>
      <c r="AN1" s="61"/>
      <c r="AO1" s="61"/>
      <c r="AP1" s="61"/>
      <c r="AQ1" s="61"/>
      <c r="AR1" s="61"/>
    </row>
    <row r="2" spans="2:44" ht="15.75" customHeight="1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1"/>
      <c r="AK2" s="61"/>
      <c r="AL2" s="61"/>
      <c r="AM2" s="61"/>
      <c r="AN2" s="61"/>
      <c r="AO2" s="61"/>
      <c r="AP2" s="61"/>
      <c r="AQ2" s="61"/>
      <c r="AR2" s="61"/>
    </row>
    <row r="3" spans="2:44" ht="24" customHeight="1">
      <c r="B3" s="63" t="s">
        <v>291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1"/>
      <c r="AK3" s="61"/>
      <c r="AL3" s="61"/>
      <c r="AM3" s="61"/>
      <c r="AN3" s="61"/>
      <c r="AO3" s="61"/>
      <c r="AP3" s="61"/>
      <c r="AQ3" s="61"/>
      <c r="AR3" s="61"/>
    </row>
    <row r="4" spans="2:44" ht="30" customHeight="1">
      <c r="B4" s="63"/>
      <c r="C4" s="182"/>
      <c r="D4" s="183"/>
      <c r="E4" s="183"/>
      <c r="F4" s="183"/>
      <c r="G4" s="183"/>
      <c r="H4" s="183"/>
      <c r="I4" s="185">
        <v>2022</v>
      </c>
      <c r="J4" s="183"/>
      <c r="K4" s="183"/>
      <c r="L4" s="183"/>
      <c r="M4" s="183"/>
      <c r="N4" s="184"/>
      <c r="O4" s="194"/>
      <c r="P4" s="64"/>
      <c r="Q4" s="64"/>
      <c r="R4" s="64"/>
      <c r="S4" s="63"/>
      <c r="T4" s="182"/>
      <c r="U4" s="183"/>
      <c r="V4" s="183"/>
      <c r="W4" s="183"/>
      <c r="X4" s="183"/>
      <c r="Y4" s="183"/>
      <c r="Z4" s="185">
        <v>2023</v>
      </c>
      <c r="AA4" s="183"/>
      <c r="AB4" s="183"/>
      <c r="AC4" s="183"/>
      <c r="AD4" s="183"/>
      <c r="AE4" s="184"/>
      <c r="AF4" s="64"/>
      <c r="AG4" s="64"/>
      <c r="AH4" s="64"/>
      <c r="AI4" s="64"/>
      <c r="AJ4" s="61"/>
      <c r="AK4" s="61"/>
      <c r="AL4" s="61"/>
      <c r="AM4" s="61"/>
      <c r="AN4" s="61"/>
      <c r="AO4" s="61"/>
      <c r="AP4" s="61"/>
      <c r="AQ4" s="61"/>
      <c r="AR4" s="61"/>
    </row>
    <row r="5" spans="2:44" ht="15.75" customHeight="1">
      <c r="B5" s="297" t="s">
        <v>2</v>
      </c>
      <c r="C5" s="304" t="s">
        <v>3</v>
      </c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194"/>
      <c r="P5" s="303" t="s">
        <v>5</v>
      </c>
      <c r="Q5" s="303" t="s">
        <v>6</v>
      </c>
      <c r="R5" s="303" t="s">
        <v>7</v>
      </c>
      <c r="S5" s="60"/>
      <c r="T5" s="304" t="s">
        <v>4</v>
      </c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65"/>
      <c r="AG5" s="303" t="s">
        <v>5</v>
      </c>
      <c r="AH5" s="303" t="s">
        <v>6</v>
      </c>
      <c r="AI5" s="303" t="s">
        <v>7</v>
      </c>
      <c r="AJ5" s="61"/>
      <c r="AK5" s="61"/>
      <c r="AL5" s="61"/>
      <c r="AM5" s="61"/>
      <c r="AN5" s="61"/>
      <c r="AO5" s="61"/>
      <c r="AP5" s="61"/>
      <c r="AQ5" s="61"/>
      <c r="AR5" s="61"/>
    </row>
    <row r="6" spans="2:44" ht="15.75" customHeight="1">
      <c r="B6" s="298"/>
      <c r="C6" s="66" t="s">
        <v>8</v>
      </c>
      <c r="D6" s="67">
        <v>44614</v>
      </c>
      <c r="E6" s="67">
        <v>44642</v>
      </c>
      <c r="F6" s="66" t="s">
        <v>9</v>
      </c>
      <c r="G6" s="67">
        <v>44703</v>
      </c>
      <c r="H6" s="67">
        <v>44734</v>
      </c>
      <c r="I6" s="11">
        <v>44743</v>
      </c>
      <c r="J6" s="67" t="s">
        <v>10</v>
      </c>
      <c r="K6" s="67" t="s">
        <v>11</v>
      </c>
      <c r="L6" s="11">
        <v>44835</v>
      </c>
      <c r="M6" s="67">
        <v>44887</v>
      </c>
      <c r="N6" s="67" t="s">
        <v>12</v>
      </c>
      <c r="O6" s="194"/>
      <c r="P6" s="298"/>
      <c r="Q6" s="298"/>
      <c r="R6" s="298"/>
      <c r="S6" s="186"/>
      <c r="T6" s="190" t="s">
        <v>111</v>
      </c>
      <c r="U6" s="191">
        <v>44980</v>
      </c>
      <c r="V6" s="191">
        <v>45008</v>
      </c>
      <c r="W6" s="190" t="s">
        <v>112</v>
      </c>
      <c r="X6" s="191">
        <v>45069</v>
      </c>
      <c r="Y6" s="191">
        <v>45100</v>
      </c>
      <c r="Z6" s="192">
        <v>45108</v>
      </c>
      <c r="AA6" s="191" t="s">
        <v>113</v>
      </c>
      <c r="AB6" s="191">
        <v>45170</v>
      </c>
      <c r="AC6" s="192">
        <v>45200</v>
      </c>
      <c r="AD6" s="191">
        <v>45253</v>
      </c>
      <c r="AE6" s="191" t="s">
        <v>114</v>
      </c>
      <c r="AF6" s="65"/>
      <c r="AG6" s="298"/>
      <c r="AH6" s="298"/>
      <c r="AI6" s="298"/>
      <c r="AJ6" s="61"/>
      <c r="AK6" s="61"/>
      <c r="AL6" s="61"/>
      <c r="AM6" s="61"/>
      <c r="AN6" s="61"/>
      <c r="AO6" s="61"/>
      <c r="AP6" s="61"/>
      <c r="AQ6" s="61"/>
      <c r="AR6" s="61"/>
    </row>
    <row r="7" spans="2:44" ht="15.75" customHeight="1">
      <c r="B7" s="68"/>
      <c r="C7" s="69"/>
      <c r="D7" s="69"/>
      <c r="E7" s="69"/>
      <c r="F7" s="70">
        <f>AVERAGE(F10:H10)</f>
        <v>103514.11</v>
      </c>
      <c r="G7" s="69"/>
      <c r="H7" s="69"/>
      <c r="I7" s="71">
        <v>0.7</v>
      </c>
      <c r="J7" s="72">
        <v>0.4</v>
      </c>
      <c r="K7" s="71">
        <v>1.3</v>
      </c>
      <c r="L7" s="71">
        <v>1.5</v>
      </c>
      <c r="M7" s="71">
        <v>2</v>
      </c>
      <c r="N7" s="71">
        <v>1.6</v>
      </c>
      <c r="O7" s="194"/>
      <c r="P7" s="73"/>
      <c r="Q7" s="73"/>
      <c r="R7" s="69"/>
      <c r="S7" s="68"/>
      <c r="T7" s="210"/>
      <c r="U7" s="210"/>
      <c r="V7" s="210"/>
      <c r="W7" s="210"/>
      <c r="X7" s="210"/>
      <c r="Y7" s="210"/>
      <c r="Z7" s="210"/>
      <c r="AA7" s="210"/>
      <c r="AB7" s="71">
        <v>1.3</v>
      </c>
      <c r="AC7" s="71">
        <v>1.5</v>
      </c>
      <c r="AD7" s="71">
        <v>2</v>
      </c>
      <c r="AE7" s="71">
        <v>1.6</v>
      </c>
      <c r="AF7" s="73"/>
      <c r="AG7" s="73"/>
      <c r="AH7" s="73"/>
      <c r="AI7" s="69"/>
      <c r="AJ7" s="61"/>
      <c r="AK7" s="61"/>
      <c r="AL7" s="61"/>
      <c r="AM7" s="61"/>
      <c r="AN7" s="61"/>
      <c r="AO7" s="61"/>
      <c r="AP7" s="61"/>
      <c r="AQ7" s="61"/>
      <c r="AR7" s="61"/>
    </row>
    <row r="8" spans="2:44" ht="15.75" customHeight="1">
      <c r="B8" s="68"/>
      <c r="C8" s="69"/>
      <c r="D8" s="69"/>
      <c r="E8" s="69"/>
      <c r="F8" s="70">
        <f>AVERAGE(F11:H11)</f>
        <v>45876.49</v>
      </c>
      <c r="G8" s="69"/>
      <c r="H8" s="69"/>
      <c r="I8" s="71">
        <v>0.6</v>
      </c>
      <c r="J8" s="72">
        <v>0.4</v>
      </c>
      <c r="K8" s="71">
        <v>0.8</v>
      </c>
      <c r="L8" s="71">
        <v>1</v>
      </c>
      <c r="M8" s="71">
        <v>1.3</v>
      </c>
      <c r="N8" s="71">
        <v>0.9</v>
      </c>
      <c r="O8" s="194"/>
      <c r="P8" s="73"/>
      <c r="Q8" s="73"/>
      <c r="R8" s="69"/>
      <c r="S8" s="68"/>
      <c r="T8" s="210"/>
      <c r="U8" s="210"/>
      <c r="V8" s="210"/>
      <c r="W8" s="210"/>
      <c r="X8" s="210"/>
      <c r="Y8" s="210"/>
      <c r="Z8" s="210"/>
      <c r="AA8" s="210"/>
      <c r="AB8" s="71">
        <v>0.8</v>
      </c>
      <c r="AC8" s="71">
        <v>1</v>
      </c>
      <c r="AD8" s="71">
        <v>1.3</v>
      </c>
      <c r="AE8" s="71">
        <v>0.9</v>
      </c>
      <c r="AF8" s="73"/>
      <c r="AG8" s="73"/>
      <c r="AH8" s="73"/>
      <c r="AI8" s="69"/>
      <c r="AJ8" s="61"/>
      <c r="AK8" s="61"/>
      <c r="AL8" s="61"/>
      <c r="AM8" s="61"/>
      <c r="AN8" s="61"/>
      <c r="AO8" s="61"/>
      <c r="AP8" s="61"/>
      <c r="AQ8" s="61"/>
      <c r="AR8" s="61"/>
    </row>
    <row r="9" spans="2:44" ht="15.75" customHeight="1">
      <c r="B9" s="74" t="s">
        <v>13</v>
      </c>
      <c r="C9" s="75">
        <f t="shared" ref="C9:H9" si="0">SUM(C10:C11)</f>
        <v>37178.86</v>
      </c>
      <c r="D9" s="75">
        <f t="shared" si="0"/>
        <v>77265.919999999998</v>
      </c>
      <c r="E9" s="75">
        <f t="shared" si="0"/>
        <v>146000.03999999998</v>
      </c>
      <c r="F9" s="75">
        <f t="shared" si="0"/>
        <v>129189.01999999999</v>
      </c>
      <c r="G9" s="75">
        <f t="shared" si="0"/>
        <v>177943.18</v>
      </c>
      <c r="H9" s="75">
        <f t="shared" si="0"/>
        <v>141039.6</v>
      </c>
      <c r="I9" s="75">
        <v>62506.36</v>
      </c>
      <c r="J9" s="75">
        <f>SUM(J10:J11)</f>
        <v>31036</v>
      </c>
      <c r="K9" s="75">
        <f t="shared" ref="K9:N9" si="1">SUM(K10:K11)</f>
        <v>64778.850000000006</v>
      </c>
      <c r="L9" s="75">
        <f t="shared" si="1"/>
        <v>96262.709999999992</v>
      </c>
      <c r="M9" s="75">
        <f t="shared" si="1"/>
        <v>151466.98000000001</v>
      </c>
      <c r="N9" s="75">
        <f t="shared" si="1"/>
        <v>94404.98</v>
      </c>
      <c r="O9" s="194"/>
      <c r="P9" s="75">
        <f>SUM(C9:H9)</f>
        <v>708616.62</v>
      </c>
      <c r="Q9" s="76">
        <f>SUM(I9:N9)</f>
        <v>500455.88</v>
      </c>
      <c r="R9" s="78">
        <f>SUM(C9:N9)</f>
        <v>1209072.5</v>
      </c>
      <c r="S9" s="74"/>
      <c r="T9" s="76">
        <f>SUM(T10:T11)</f>
        <v>91702.116500000004</v>
      </c>
      <c r="U9" s="76">
        <f t="shared" ref="U9:AE9" si="2">SUM(U10:U11)</f>
        <v>82683.977499999994</v>
      </c>
      <c r="V9" s="76">
        <f t="shared" si="2"/>
        <v>87419.677499999991</v>
      </c>
      <c r="W9" s="76">
        <f t="shared" si="2"/>
        <v>96445.677499999991</v>
      </c>
      <c r="X9" s="76">
        <f t="shared" si="2"/>
        <v>107622.67749999999</v>
      </c>
      <c r="Y9" s="76">
        <f t="shared" si="2"/>
        <v>112345.67749999999</v>
      </c>
      <c r="Z9" s="76">
        <f t="shared" si="2"/>
        <v>99445.677499999991</v>
      </c>
      <c r="AA9" s="76">
        <f t="shared" si="2"/>
        <v>44691.4</v>
      </c>
      <c r="AB9" s="76">
        <f t="shared" si="2"/>
        <v>103445.67749999999</v>
      </c>
      <c r="AC9" s="76">
        <f t="shared" si="2"/>
        <v>139751.664625</v>
      </c>
      <c r="AD9" s="76">
        <f t="shared" si="2"/>
        <v>191014.74724375003</v>
      </c>
      <c r="AE9" s="76">
        <f t="shared" si="2"/>
        <v>159279.93654125</v>
      </c>
      <c r="AF9" s="77"/>
      <c r="AG9" s="75">
        <f>SUM(T9:Y9)</f>
        <v>578219.804</v>
      </c>
      <c r="AH9" s="76">
        <f>SUM(Z9:AE9)</f>
        <v>737629.10340999998</v>
      </c>
      <c r="AI9" s="78">
        <f>SUM(T9:AE9)</f>
        <v>1315848.90741</v>
      </c>
      <c r="AJ9" s="61"/>
      <c r="AK9" s="61"/>
      <c r="AL9" s="61"/>
      <c r="AM9" s="61"/>
      <c r="AN9" s="61"/>
      <c r="AO9" s="61"/>
      <c r="AP9" s="61"/>
      <c r="AQ9" s="61"/>
      <c r="AR9" s="61"/>
    </row>
    <row r="10" spans="2:44" ht="15.75" customHeight="1">
      <c r="B10" s="79" t="s">
        <v>292</v>
      </c>
      <c r="C10" s="80">
        <v>26645.59</v>
      </c>
      <c r="D10" s="80">
        <v>59761.94</v>
      </c>
      <c r="E10" s="80">
        <v>110755.26</v>
      </c>
      <c r="F10" s="80">
        <v>85349.39</v>
      </c>
      <c r="G10" s="80">
        <v>118453.17</v>
      </c>
      <c r="H10" s="80">
        <v>106739.77</v>
      </c>
      <c r="I10" s="80">
        <v>35356.81</v>
      </c>
      <c r="J10" s="80">
        <f>'[3]MK Digital-Elims-2022'!J9</f>
        <v>18129.940000000002</v>
      </c>
      <c r="K10" s="80">
        <f>'[3]MK Digital-Elims-2022'!K9</f>
        <v>36802.340000000004</v>
      </c>
      <c r="L10" s="80">
        <f>'[3]MK Digital-Elims-2022'!L9</f>
        <v>54056.85</v>
      </c>
      <c r="M10" s="80">
        <f>'[3]MK Digital-Elims-2022'!M9</f>
        <v>78036.490000000005</v>
      </c>
      <c r="N10" s="80">
        <f>'MK -Elims-2023- 1r scenario'!O9</f>
        <v>44149.69</v>
      </c>
      <c r="O10" s="194"/>
      <c r="P10" s="80">
        <f>SUM(C10:H10)</f>
        <v>507705.12</v>
      </c>
      <c r="Q10" s="81">
        <f>SUM(I10:N10)</f>
        <v>266532.12</v>
      </c>
      <c r="R10" s="83">
        <f>SUM(C10:N10)</f>
        <v>774237.23999999976</v>
      </c>
      <c r="S10" s="79"/>
      <c r="T10" s="81">
        <f>'MK-Elims-2023- 2o Scenario'!U9</f>
        <v>43765.377500000002</v>
      </c>
      <c r="U10" s="81">
        <f>'MK-Elims-2023- 2o Scenario'!V9</f>
        <v>40760.990999999995</v>
      </c>
      <c r="V10" s="81">
        <f>'MK-Elims-2023- 2o Scenario'!W9</f>
        <v>43196.690999999992</v>
      </c>
      <c r="W10" s="81">
        <f>'MK-Elims-2023- 2o Scenario'!X9</f>
        <v>49922.690999999992</v>
      </c>
      <c r="X10" s="81">
        <f>'MK-Elims-2023- 2o Scenario'!Y9</f>
        <v>57649.690999999992</v>
      </c>
      <c r="Y10" s="81">
        <f>'MK-Elims-2023- 2o Scenario'!Z9</f>
        <v>63522.690999999992</v>
      </c>
      <c r="Z10" s="81">
        <f>'MK-Elims-2023- 2o Scenario'!AA9</f>
        <v>56922.690999999992</v>
      </c>
      <c r="AA10" s="81">
        <f>'MK-Elims-2023- 2o Scenario'!AB9</f>
        <v>29849.431</v>
      </c>
      <c r="AB10" s="81">
        <f>'MK-Elims-2023- 2o Scenario'!AC9</f>
        <v>60922.690999999992</v>
      </c>
      <c r="AC10" s="81">
        <f>'MK-Elims-2023- 2o Scenario'!AD9</f>
        <v>82345.632849999995</v>
      </c>
      <c r="AD10" s="81">
        <f>'MK-Elims-2023- 2o Scenario'!AE9</f>
        <v>113516.6043475</v>
      </c>
      <c r="AE10" s="81">
        <f>'MK-Elims-2023- 2o Scenario'!AF9</f>
        <v>93263</v>
      </c>
      <c r="AF10" s="82"/>
      <c r="AG10" s="80">
        <f>SUM(T10:Y10)</f>
        <v>298818.13249999995</v>
      </c>
      <c r="AH10" s="81">
        <f>SUM(Z10:AE10)</f>
        <v>436820.05019749998</v>
      </c>
      <c r="AI10" s="83">
        <f>SUM(T10:AE10)</f>
        <v>735638.18269749987</v>
      </c>
      <c r="AJ10" s="61"/>
      <c r="AK10" s="61"/>
      <c r="AL10" s="61"/>
      <c r="AM10" s="61"/>
      <c r="AN10" s="61"/>
      <c r="AO10" s="61"/>
      <c r="AP10" s="61"/>
      <c r="AQ10" s="61"/>
      <c r="AR10" s="61"/>
    </row>
    <row r="11" spans="2:44" ht="15.75" customHeight="1">
      <c r="B11" s="79" t="s">
        <v>293</v>
      </c>
      <c r="C11" s="80">
        <v>10533.27</v>
      </c>
      <c r="D11" s="80">
        <v>17503.98</v>
      </c>
      <c r="E11" s="80">
        <v>35244.78</v>
      </c>
      <c r="F11" s="80">
        <v>43839.63</v>
      </c>
      <c r="G11" s="80">
        <v>59490.01</v>
      </c>
      <c r="H11" s="80">
        <v>34299.83</v>
      </c>
      <c r="I11" s="80">
        <v>27149.55</v>
      </c>
      <c r="J11" s="80">
        <f>'[3]MK Digital-CEL-2022'!J9</f>
        <v>12906.06</v>
      </c>
      <c r="K11" s="80">
        <f>'[3]MK Digital-CEL-2022'!K9</f>
        <v>27976.510000000002</v>
      </c>
      <c r="L11" s="80">
        <f>'[3]MK Digital-CEL-2022'!L9</f>
        <v>42205.86</v>
      </c>
      <c r="M11" s="80">
        <f>'[3]MK Digital-CEL-2022'!M9</f>
        <v>73430.490000000005</v>
      </c>
      <c r="N11" s="80">
        <f>'MK -CEL-2023- 1r Scenario'!O9</f>
        <v>50255.289999999994</v>
      </c>
      <c r="O11" s="194"/>
      <c r="P11" s="80">
        <f>SUM(C11:H11)</f>
        <v>200911.5</v>
      </c>
      <c r="Q11" s="81">
        <f>SUM(I11:N11)</f>
        <v>233923.76</v>
      </c>
      <c r="R11" s="83">
        <f>SUM(C11:N11)</f>
        <v>434835.25999999995</v>
      </c>
      <c r="S11" s="79"/>
      <c r="T11" s="81">
        <f>'MK -CEL-2023- 1r Scenario'!U9</f>
        <v>47936.738999999994</v>
      </c>
      <c r="U11" s="81">
        <f>'MK -CEL-2023- 1r Scenario'!V9</f>
        <v>41922.986499999999</v>
      </c>
      <c r="V11" s="81">
        <f>'MK -CEL-2023- 1r Scenario'!W9</f>
        <v>44222.986499999999</v>
      </c>
      <c r="W11" s="81">
        <f>'MK -CEL-2023- 1r Scenario'!X9</f>
        <v>46522.986499999999</v>
      </c>
      <c r="X11" s="81">
        <f>'MK -CEL-2023- 1r Scenario'!Y9</f>
        <v>49972.986499999999</v>
      </c>
      <c r="Y11" s="81">
        <f>'MK -CEL-2023- 1r Scenario'!Z9</f>
        <v>48822.986499999999</v>
      </c>
      <c r="Z11" s="81">
        <f>'MK -CEL-2023- 1r Scenario'!AA9</f>
        <v>42522.986499999999</v>
      </c>
      <c r="AA11" s="81">
        <f>'MK -CEL-2023- 1r Scenario'!AB9</f>
        <v>14841.968999999999</v>
      </c>
      <c r="AB11" s="81">
        <f>'MK -CEL-2023- 1r Scenario'!AC9</f>
        <v>42522.986499999999</v>
      </c>
      <c r="AC11" s="81">
        <f>'MK -CEL-2023- 1r Scenario'!AD9</f>
        <v>57406.031775000003</v>
      </c>
      <c r="AD11" s="81">
        <f>'MK -CEL-2023- 1r Scenario'!AE9</f>
        <v>77498.142896250007</v>
      </c>
      <c r="AE11" s="81">
        <f>'MK -CEL-2023- 1r Scenario'!AF9</f>
        <v>66016.936541250005</v>
      </c>
      <c r="AF11" s="82"/>
      <c r="AG11" s="80">
        <f>SUM(T11:Y11)</f>
        <v>279401.6715</v>
      </c>
      <c r="AH11" s="81">
        <f>SUM(Z11:AE11)</f>
        <v>300809.0532125</v>
      </c>
      <c r="AI11" s="83">
        <f>SUM(T11:AE11)</f>
        <v>580210.7247125</v>
      </c>
      <c r="AJ11" s="61"/>
      <c r="AK11" s="61"/>
      <c r="AL11" s="61"/>
      <c r="AM11" s="61"/>
      <c r="AN11" s="61"/>
      <c r="AO11" s="61"/>
      <c r="AP11" s="61"/>
      <c r="AQ11" s="61"/>
      <c r="AR11" s="61"/>
    </row>
    <row r="12" spans="2:44" ht="15.75" customHeight="1">
      <c r="B12" s="79"/>
      <c r="C12" s="84"/>
      <c r="D12" s="84"/>
      <c r="E12" s="84"/>
      <c r="F12" s="85">
        <f>AVERAGE(F15:H15)</f>
        <v>896.39</v>
      </c>
      <c r="G12" s="84"/>
      <c r="H12" s="84"/>
      <c r="I12" s="84">
        <v>0.7</v>
      </c>
      <c r="J12" s="84">
        <v>0.55000000000000004</v>
      </c>
      <c r="K12" s="84">
        <v>1.25</v>
      </c>
      <c r="L12" s="84">
        <v>1.4</v>
      </c>
      <c r="M12" s="84">
        <v>1.8</v>
      </c>
      <c r="N12" s="86"/>
      <c r="O12" s="194"/>
      <c r="P12" s="84"/>
      <c r="Q12" s="84"/>
      <c r="R12" s="84"/>
      <c r="S12" s="79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4"/>
      <c r="AG12" s="84"/>
      <c r="AH12" s="84"/>
      <c r="AI12" s="84"/>
      <c r="AJ12" s="87"/>
      <c r="AK12" s="61"/>
      <c r="AL12" s="61"/>
      <c r="AM12" s="61"/>
      <c r="AN12" s="61"/>
      <c r="AO12" s="61"/>
      <c r="AP12" s="61"/>
      <c r="AQ12" s="61"/>
      <c r="AR12" s="61"/>
    </row>
    <row r="13" spans="2:44" ht="15.75" customHeight="1">
      <c r="B13" s="79"/>
      <c r="C13" s="200"/>
      <c r="D13" s="200"/>
      <c r="E13" s="200"/>
      <c r="F13" s="201"/>
      <c r="G13" s="200"/>
      <c r="H13" s="200"/>
      <c r="I13" s="200"/>
      <c r="J13" s="200"/>
      <c r="K13" s="200"/>
      <c r="L13" s="200"/>
      <c r="M13" s="200"/>
      <c r="N13" s="84"/>
      <c r="O13" s="194"/>
      <c r="P13" s="84"/>
      <c r="Q13" s="84"/>
      <c r="R13" s="84"/>
      <c r="S13" s="79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7"/>
      <c r="AK13" s="61"/>
      <c r="AL13" s="61"/>
      <c r="AM13" s="61"/>
      <c r="AN13" s="61"/>
      <c r="AO13" s="61"/>
      <c r="AP13" s="61"/>
      <c r="AQ13" s="61"/>
      <c r="AR13" s="61"/>
    </row>
    <row r="14" spans="2:44" ht="15.75" customHeight="1">
      <c r="B14" s="74" t="s">
        <v>104</v>
      </c>
      <c r="C14" s="88">
        <f t="shared" ref="C14:H14" si="3">SUM(C15:C16)</f>
        <v>627.5</v>
      </c>
      <c r="D14" s="88">
        <f t="shared" si="3"/>
        <v>1201.78</v>
      </c>
      <c r="E14" s="88">
        <f t="shared" si="3"/>
        <v>2856.61</v>
      </c>
      <c r="F14" s="88">
        <f t="shared" si="3"/>
        <v>1500.42</v>
      </c>
      <c r="G14" s="88">
        <f t="shared" si="3"/>
        <v>1091.75</v>
      </c>
      <c r="H14" s="88">
        <f t="shared" si="3"/>
        <v>1333</v>
      </c>
      <c r="I14" s="88">
        <v>803</v>
      </c>
      <c r="J14" s="88">
        <f t="shared" ref="J14:N14" si="4">SUM(J15:J16)</f>
        <v>408</v>
      </c>
      <c r="K14" s="88">
        <f t="shared" si="4"/>
        <v>787</v>
      </c>
      <c r="L14" s="88">
        <f t="shared" si="4"/>
        <v>1108</v>
      </c>
      <c r="M14" s="88">
        <f t="shared" si="4"/>
        <v>2415</v>
      </c>
      <c r="N14" s="88">
        <f t="shared" si="4"/>
        <v>996</v>
      </c>
      <c r="O14" s="194"/>
      <c r="P14" s="88">
        <f>SUM(C14:H14)</f>
        <v>8611.0600000000013</v>
      </c>
      <c r="Q14" s="89">
        <f>SUM(I14:N14)</f>
        <v>6517</v>
      </c>
      <c r="R14" s="90">
        <f>SUM(C14:N14)</f>
        <v>15128.060000000001</v>
      </c>
      <c r="S14" s="74"/>
      <c r="T14" s="89">
        <f>SUM(T15:T16)</f>
        <v>1092.396064781746</v>
      </c>
      <c r="U14" s="89">
        <f t="shared" ref="U14:AE14" si="5">SUM(U15:U16)</f>
        <v>832.28847027863776</v>
      </c>
      <c r="V14" s="89">
        <f t="shared" si="5"/>
        <v>911.48864365325062</v>
      </c>
      <c r="W14" s="89">
        <f t="shared" si="5"/>
        <v>931.62967552631574</v>
      </c>
      <c r="X14" s="89">
        <f t="shared" si="5"/>
        <v>1047.4665176315789</v>
      </c>
      <c r="Y14" s="89">
        <f t="shared" si="5"/>
        <v>1157.521009356725</v>
      </c>
      <c r="Z14" s="89">
        <f t="shared" si="5"/>
        <v>1059.9771497076022</v>
      </c>
      <c r="AA14" s="89">
        <f t="shared" si="5"/>
        <v>723.25982285714281</v>
      </c>
      <c r="AB14" s="89">
        <f t="shared" si="5"/>
        <v>1353.8060999999998</v>
      </c>
      <c r="AC14" s="89">
        <f t="shared" si="5"/>
        <v>1723.0180578125</v>
      </c>
      <c r="AD14" s="89">
        <f t="shared" si="5"/>
        <v>3403.7018637166666</v>
      </c>
      <c r="AE14" s="89">
        <f t="shared" si="5"/>
        <v>1769.7770726805556</v>
      </c>
      <c r="AF14" s="79"/>
      <c r="AG14" s="88">
        <f>SUM(T14:Y14)</f>
        <v>5972.7903812282539</v>
      </c>
      <c r="AH14" s="89">
        <f>SUM(Z14:AE14)</f>
        <v>10033.540066774467</v>
      </c>
      <c r="AI14" s="90">
        <f>SUM(T14:AE14)</f>
        <v>16006.33044800272</v>
      </c>
      <c r="AJ14" s="61"/>
      <c r="AK14" s="61"/>
      <c r="AL14" s="61"/>
      <c r="AM14" s="61"/>
      <c r="AN14" s="61"/>
      <c r="AO14" s="61"/>
      <c r="AP14" s="61"/>
      <c r="AQ14" s="61"/>
      <c r="AR14" s="61"/>
    </row>
    <row r="15" spans="2:44" ht="15.75" customHeight="1">
      <c r="B15" s="79" t="s">
        <v>294</v>
      </c>
      <c r="C15" s="91">
        <f>[2]Producto!B13</f>
        <v>480.5</v>
      </c>
      <c r="D15" s="91">
        <f>[2]Producto!C13</f>
        <v>1016.78</v>
      </c>
      <c r="E15" s="91">
        <f>[2]Producto!D13</f>
        <v>2486.61</v>
      </c>
      <c r="F15" s="91">
        <f>[2]Producto!E13</f>
        <v>1082.42</v>
      </c>
      <c r="G15" s="91">
        <f>[2]Producto!F13</f>
        <v>803.75</v>
      </c>
      <c r="H15" s="91">
        <v>803</v>
      </c>
      <c r="I15" s="91">
        <v>483</v>
      </c>
      <c r="J15" s="91">
        <f>'[3]MK Digital-Elims-2022'!J15</f>
        <v>288</v>
      </c>
      <c r="K15" s="91">
        <f>'[3]MK Digital-Elims-2022'!K15</f>
        <v>476</v>
      </c>
      <c r="L15" s="91">
        <f>'[3]MK Digital-Elims-2022'!L15</f>
        <v>671</v>
      </c>
      <c r="M15" s="91">
        <f>'[3]MK Digital-Elims-2022'!M15</f>
        <v>1718</v>
      </c>
      <c r="N15" s="91">
        <f>'MK -Elims-2023- 1r scenario'!O14</f>
        <v>410</v>
      </c>
      <c r="O15" s="194"/>
      <c r="P15" s="91">
        <f>SUM(C15:H15)</f>
        <v>6673.06</v>
      </c>
      <c r="Q15" s="92">
        <f>SUM(I15:N15)</f>
        <v>4046</v>
      </c>
      <c r="R15" s="94">
        <f>SUM(C15:N15)</f>
        <v>10719.060000000001</v>
      </c>
      <c r="S15" s="79"/>
      <c r="T15" s="92">
        <f>'MK-Elims-2023- 2o Scenario'!U14</f>
        <v>547.06721875000005</v>
      </c>
      <c r="U15" s="92">
        <f>'MK-Elims-2023- 2o Scenario'!V14</f>
        <v>453.20671764705878</v>
      </c>
      <c r="V15" s="92">
        <f>'MK-Elims-2023- 2o Scenario'!W14</f>
        <v>508.19636470588227</v>
      </c>
      <c r="W15" s="92">
        <f>'MK-Elims-2023- 2o Scenario'!X14</f>
        <v>525.50201052631576</v>
      </c>
      <c r="X15" s="92">
        <f>'MK-Elims-2023- 2o Scenario'!Y14</f>
        <v>606.8388526315789</v>
      </c>
      <c r="Y15" s="92">
        <f>'MK-Elims-2023- 2o Scenario'!Z14</f>
        <v>705.80767777777771</v>
      </c>
      <c r="Z15" s="92">
        <f>'MK-Elims-2023- 2o Scenario'!AA14</f>
        <v>632.47434444444434</v>
      </c>
      <c r="AA15" s="92">
        <f>'MK-Elims-2023- 2o Scenario'!AB14</f>
        <v>426.42044285714286</v>
      </c>
      <c r="AB15" s="92">
        <f>'MK-Elims-2023- 2o Scenario'!AC14</f>
        <v>812.30254666666656</v>
      </c>
      <c r="AC15" s="92">
        <f>'MK-Elims-2023- 2o Scenario'!AD14</f>
        <v>1029.320410625</v>
      </c>
      <c r="AD15" s="92">
        <f>'MK-Elims-2023- 2o Scenario'!AE14</f>
        <v>1891.9434057916667</v>
      </c>
      <c r="AE15" s="92">
        <f>'MK-Elims-2023- 2o Scenario'!AF14</f>
        <v>1036.2555555555555</v>
      </c>
      <c r="AF15" s="93"/>
      <c r="AG15" s="91">
        <f>SUM(T15:Y15)</f>
        <v>3346.6188420386134</v>
      </c>
      <c r="AH15" s="92">
        <f>SUM(Z15:AE15)</f>
        <v>5828.7167059404765</v>
      </c>
      <c r="AI15" s="94">
        <f>SUM(T15:AE15)</f>
        <v>9175.335547979088</v>
      </c>
      <c r="AJ15" s="61"/>
      <c r="AK15" s="61"/>
      <c r="AL15" s="61"/>
      <c r="AM15" s="61"/>
      <c r="AN15" s="61"/>
      <c r="AO15" s="61"/>
      <c r="AP15" s="61"/>
      <c r="AQ15" s="61"/>
      <c r="AR15" s="61"/>
    </row>
    <row r="16" spans="2:44" ht="15.75" customHeight="1">
      <c r="B16" s="79" t="s">
        <v>295</v>
      </c>
      <c r="C16" s="91">
        <f>[2]Producto!J13</f>
        <v>147</v>
      </c>
      <c r="D16" s="91">
        <f>[2]Producto!K13</f>
        <v>185</v>
      </c>
      <c r="E16" s="91">
        <f>[2]Producto!L13</f>
        <v>370</v>
      </c>
      <c r="F16" s="91">
        <f>[2]Producto!M13</f>
        <v>418</v>
      </c>
      <c r="G16" s="91">
        <f>[2]Producto!N13</f>
        <v>288</v>
      </c>
      <c r="H16" s="91">
        <v>530</v>
      </c>
      <c r="I16" s="91">
        <v>355</v>
      </c>
      <c r="J16" s="91">
        <f>'[3]MK Digital-CEL-2022'!J14</f>
        <v>120</v>
      </c>
      <c r="K16" s="91">
        <f>'[3]MK Digital-CEL-2022'!K14</f>
        <v>311</v>
      </c>
      <c r="L16" s="91">
        <f>'[3]MK Digital-CEL-2022'!L14</f>
        <v>437</v>
      </c>
      <c r="M16" s="91">
        <f>'[3]MK Digital-CEL-2022'!M14</f>
        <v>697</v>
      </c>
      <c r="N16" s="91">
        <f>'MK -CEL-2023- 1r Scenario'!O14</f>
        <v>586</v>
      </c>
      <c r="O16" s="194"/>
      <c r="P16" s="91">
        <f>SUM(C16:H16)</f>
        <v>1938</v>
      </c>
      <c r="Q16" s="92">
        <f>SUM(I16:N16)</f>
        <v>2506</v>
      </c>
      <c r="R16" s="94">
        <f>SUM(C16:N16)</f>
        <v>4444</v>
      </c>
      <c r="S16" s="79"/>
      <c r="T16" s="92">
        <f>'MK -CEL-2023- 1r Scenario'!U14</f>
        <v>545.32884603174591</v>
      </c>
      <c r="U16" s="92">
        <f>'MK -CEL-2023- 1r Scenario'!V14</f>
        <v>379.08175263157892</v>
      </c>
      <c r="V16" s="92">
        <f>'MK -CEL-2023- 1r Scenario'!W14</f>
        <v>403.2922789473684</v>
      </c>
      <c r="W16" s="92">
        <f>'MK -CEL-2023- 1r Scenario'!X14</f>
        <v>406.12766499999998</v>
      </c>
      <c r="X16" s="92">
        <f>'MK -CEL-2023- 1r Scenario'!Y14</f>
        <v>440.62766499999998</v>
      </c>
      <c r="Y16" s="92">
        <f>'MK -CEL-2023- 1r Scenario'!Z14</f>
        <v>451.71333157894736</v>
      </c>
      <c r="Z16" s="92">
        <f>'MK -CEL-2023- 1r Scenario'!AA14</f>
        <v>427.50280526315788</v>
      </c>
      <c r="AA16" s="92">
        <f>'MK -CEL-2023- 1r Scenario'!AB14</f>
        <v>296.83938000000001</v>
      </c>
      <c r="AB16" s="92">
        <f>'MK -CEL-2023- 1r Scenario'!AC14</f>
        <v>541.50355333333334</v>
      </c>
      <c r="AC16" s="92">
        <f>'MK -CEL-2023- 1r Scenario'!AD14</f>
        <v>693.69764718750002</v>
      </c>
      <c r="AD16" s="92">
        <f>'MK -CEL-2023- 1r Scenario'!AE14</f>
        <v>1511.7584579250001</v>
      </c>
      <c r="AE16" s="92">
        <f>'MK -CEL-2023- 1r Scenario'!AF14</f>
        <v>733.52151712500006</v>
      </c>
      <c r="AF16" s="95"/>
      <c r="AG16" s="91">
        <f>SUM(T16:Y16)</f>
        <v>2626.171539189641</v>
      </c>
      <c r="AH16" s="92">
        <f>SUM(Z16:AE16)</f>
        <v>4204.8233608339915</v>
      </c>
      <c r="AI16" s="94">
        <f>SUM(T16:AE16)</f>
        <v>6830.994900023632</v>
      </c>
      <c r="AJ16" s="96"/>
      <c r="AK16" s="61"/>
      <c r="AL16" s="61"/>
      <c r="AM16" s="61"/>
      <c r="AN16" s="61"/>
      <c r="AO16" s="61"/>
      <c r="AP16" s="61"/>
      <c r="AQ16" s="61"/>
      <c r="AR16" s="61"/>
    </row>
    <row r="17" spans="2:44" ht="15.75" customHeight="1">
      <c r="B17" s="74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74"/>
      <c r="O17" s="19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61"/>
      <c r="AK17" s="61"/>
      <c r="AL17" s="61"/>
      <c r="AM17" s="61"/>
      <c r="AN17" s="61"/>
      <c r="AO17" s="61"/>
      <c r="AP17" s="61"/>
      <c r="AQ17" s="61"/>
      <c r="AR17" s="61"/>
    </row>
    <row r="18" spans="2:44" ht="15.75" customHeight="1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19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2:44" ht="15.75" customHeight="1">
      <c r="B19" s="74" t="s">
        <v>19</v>
      </c>
      <c r="C19" s="97">
        <f t="shared" ref="C19:H21" si="6">C9/C14</f>
        <v>59.249179282868525</v>
      </c>
      <c r="D19" s="97">
        <f t="shared" si="6"/>
        <v>64.292898866681085</v>
      </c>
      <c r="E19" s="97">
        <f t="shared" si="6"/>
        <v>51.109545930315996</v>
      </c>
      <c r="F19" s="97">
        <f t="shared" si="6"/>
        <v>86.101904799989327</v>
      </c>
      <c r="G19" s="97">
        <f t="shared" si="6"/>
        <v>162.9889443553927</v>
      </c>
      <c r="H19" s="97">
        <f t="shared" si="6"/>
        <v>105.80615153788447</v>
      </c>
      <c r="I19" s="97">
        <v>77.841046077210464</v>
      </c>
      <c r="J19" s="97">
        <f t="shared" ref="J19:N21" si="7">J9/J14</f>
        <v>76.068627450980387</v>
      </c>
      <c r="K19" s="97">
        <f t="shared" si="7"/>
        <v>82.311118170266838</v>
      </c>
      <c r="L19" s="97">
        <f t="shared" si="7"/>
        <v>86.879702166064973</v>
      </c>
      <c r="M19" s="97">
        <f t="shared" si="7"/>
        <v>62.719246376811597</v>
      </c>
      <c r="N19" s="97">
        <f t="shared" si="7"/>
        <v>94.784116465863448</v>
      </c>
      <c r="O19" s="194"/>
      <c r="P19" s="75">
        <f t="shared" ref="P19:R21" si="8">P9/P14</f>
        <v>82.291450762159343</v>
      </c>
      <c r="Q19" s="76">
        <f t="shared" si="8"/>
        <v>76.792370722725181</v>
      </c>
      <c r="R19" s="99">
        <f t="shared" si="8"/>
        <v>79.922508239655315</v>
      </c>
      <c r="S19" s="74"/>
      <c r="T19" s="76">
        <f>T9/T14</f>
        <v>83.945850279423624</v>
      </c>
      <c r="U19" s="76">
        <f t="shared" ref="U19:AE19" si="9">U9/U14</f>
        <v>99.34533572514664</v>
      </c>
      <c r="V19" s="76">
        <f t="shared" si="9"/>
        <v>95.908685323408449</v>
      </c>
      <c r="W19" s="76">
        <f t="shared" si="9"/>
        <v>103.52362106275102</v>
      </c>
      <c r="X19" s="76">
        <f t="shared" si="9"/>
        <v>102.74569705898101</v>
      </c>
      <c r="Y19" s="76">
        <f t="shared" si="9"/>
        <v>97.057138999519694</v>
      </c>
      <c r="Z19" s="76">
        <f t="shared" si="9"/>
        <v>93.818699325199958</v>
      </c>
      <c r="AA19" s="76">
        <f t="shared" si="9"/>
        <v>61.791625343507263</v>
      </c>
      <c r="AB19" s="76">
        <f t="shared" si="9"/>
        <v>76.410999699292248</v>
      </c>
      <c r="AC19" s="76">
        <f t="shared" si="9"/>
        <v>81.108647696023084</v>
      </c>
      <c r="AD19" s="76">
        <f t="shared" si="9"/>
        <v>56.119705806187085</v>
      </c>
      <c r="AE19" s="76">
        <f t="shared" si="9"/>
        <v>90</v>
      </c>
      <c r="AF19" s="98"/>
      <c r="AG19" s="75">
        <f t="shared" ref="AG19:AI21" si="10">AG9/AG14</f>
        <v>96.808989951710643</v>
      </c>
      <c r="AH19" s="76">
        <f t="shared" si="10"/>
        <v>73.516336058956838</v>
      </c>
      <c r="AI19" s="99">
        <f t="shared" si="10"/>
        <v>82.208030859077539</v>
      </c>
      <c r="AJ19" s="100"/>
      <c r="AK19" s="61"/>
      <c r="AL19" s="61"/>
      <c r="AM19" s="61"/>
      <c r="AN19" s="61"/>
      <c r="AO19" s="61"/>
      <c r="AP19" s="61"/>
      <c r="AQ19" s="61"/>
      <c r="AR19" s="61"/>
    </row>
    <row r="20" spans="2:44" ht="15.75" customHeight="1">
      <c r="B20" s="79" t="s">
        <v>299</v>
      </c>
      <c r="C20" s="101">
        <f t="shared" si="6"/>
        <v>55.453881373569196</v>
      </c>
      <c r="D20" s="101">
        <f t="shared" si="6"/>
        <v>58.775684022109012</v>
      </c>
      <c r="E20" s="101">
        <f t="shared" si="6"/>
        <v>44.540663795287557</v>
      </c>
      <c r="F20" s="101">
        <f t="shared" si="6"/>
        <v>78.850529369376019</v>
      </c>
      <c r="G20" s="101">
        <f t="shared" si="6"/>
        <v>147.37563919129082</v>
      </c>
      <c r="H20" s="101">
        <f t="shared" si="6"/>
        <v>132.92623910336241</v>
      </c>
      <c r="I20" s="101">
        <v>78.921450892857138</v>
      </c>
      <c r="J20" s="101">
        <f t="shared" si="7"/>
        <v>62.951180555555567</v>
      </c>
      <c r="K20" s="101">
        <f t="shared" si="7"/>
        <v>77.315840336134457</v>
      </c>
      <c r="L20" s="101">
        <f t="shared" si="7"/>
        <v>80.561624441132636</v>
      </c>
      <c r="M20" s="101">
        <f t="shared" si="7"/>
        <v>45.422869615832369</v>
      </c>
      <c r="N20" s="101">
        <f t="shared" si="7"/>
        <v>107.68217073170732</v>
      </c>
      <c r="O20" s="194"/>
      <c r="P20" s="80">
        <f t="shared" si="8"/>
        <v>76.082804590397799</v>
      </c>
      <c r="Q20" s="81">
        <f t="shared" si="8"/>
        <v>65.875462184873953</v>
      </c>
      <c r="R20" s="102">
        <f t="shared" si="8"/>
        <v>72.22995673128051</v>
      </c>
      <c r="S20" s="79"/>
      <c r="T20" s="81">
        <f>'MK-Elims-2023- 2o Scenario'!U19</f>
        <v>80</v>
      </c>
      <c r="U20" s="81">
        <f>'MK-Elims-2023- 2o Scenario'!V19</f>
        <v>89.939070655486617</v>
      </c>
      <c r="V20" s="81">
        <f>'MK-Elims-2023- 2o Scenario'!W19</f>
        <v>85</v>
      </c>
      <c r="W20" s="81">
        <f>'MK-Elims-2023- 2o Scenario'!X19</f>
        <v>94.999999999999986</v>
      </c>
      <c r="X20" s="81">
        <f>'MK-Elims-2023- 2o Scenario'!Y19</f>
        <v>95</v>
      </c>
      <c r="Y20" s="81">
        <f>'MK-Elims-2023- 2o Scenario'!Z19</f>
        <v>90</v>
      </c>
      <c r="Z20" s="81">
        <f>'MK-Elims-2023- 2o Scenario'!AA19</f>
        <v>90</v>
      </c>
      <c r="AA20" s="81">
        <f>'MK-Elims-2023- 2o Scenario'!AB19</f>
        <v>70</v>
      </c>
      <c r="AB20" s="81">
        <f>'MK-Elims-2023- 2o Scenario'!AC19</f>
        <v>70</v>
      </c>
      <c r="AC20" s="81">
        <f>'MK-Elims-2023- 2o Scenario'!AD19</f>
        <v>70</v>
      </c>
      <c r="AD20" s="81">
        <f>'MK-Elims-2023- 2o Scenario'!AE19</f>
        <v>70</v>
      </c>
      <c r="AE20" s="81">
        <f>'MK-Elims-2023- 2o Scenario'!AF19</f>
        <v>70</v>
      </c>
      <c r="AF20" s="77"/>
      <c r="AG20" s="80">
        <f t="shared" si="10"/>
        <v>89.289562571748704</v>
      </c>
      <c r="AH20" s="81">
        <f t="shared" si="10"/>
        <v>74.942748504538628</v>
      </c>
      <c r="AI20" s="102">
        <f t="shared" si="10"/>
        <v>80.175616341304021</v>
      </c>
      <c r="AJ20" s="61"/>
      <c r="AK20" s="61"/>
      <c r="AL20" s="61"/>
      <c r="AM20" s="61"/>
      <c r="AN20" s="61"/>
      <c r="AO20" s="61"/>
      <c r="AP20" s="61"/>
      <c r="AQ20" s="61"/>
      <c r="AR20" s="61"/>
    </row>
    <row r="21" spans="2:44" ht="15.75" customHeight="1">
      <c r="B21" s="79" t="s">
        <v>300</v>
      </c>
      <c r="C21" s="101">
        <f t="shared" si="6"/>
        <v>71.654897959183671</v>
      </c>
      <c r="D21" s="101">
        <f t="shared" si="6"/>
        <v>94.616108108108108</v>
      </c>
      <c r="E21" s="101">
        <f t="shared" si="6"/>
        <v>95.256162162162155</v>
      </c>
      <c r="F21" s="101">
        <f t="shared" si="6"/>
        <v>104.87949760765549</v>
      </c>
      <c r="G21" s="101">
        <f t="shared" si="6"/>
        <v>206.56253472222224</v>
      </c>
      <c r="H21" s="101">
        <f t="shared" si="6"/>
        <v>64.716660377358494</v>
      </c>
      <c r="I21" s="101">
        <v>76.47760563380281</v>
      </c>
      <c r="J21" s="101">
        <f t="shared" si="7"/>
        <v>107.5505</v>
      </c>
      <c r="K21" s="101">
        <f t="shared" si="7"/>
        <v>89.95662379421222</v>
      </c>
      <c r="L21" s="101">
        <f t="shared" si="7"/>
        <v>96.580915331807788</v>
      </c>
      <c r="M21" s="101">
        <f t="shared" si="7"/>
        <v>105.35220946915352</v>
      </c>
      <c r="N21" s="101">
        <f t="shared" si="7"/>
        <v>85.759880546075081</v>
      </c>
      <c r="O21" s="194"/>
      <c r="P21" s="80">
        <f t="shared" si="8"/>
        <v>103.66950464396285</v>
      </c>
      <c r="Q21" s="81">
        <f t="shared" si="8"/>
        <v>93.345474860335202</v>
      </c>
      <c r="R21" s="102">
        <f t="shared" si="8"/>
        <v>97.847718271827176</v>
      </c>
      <c r="S21" s="79"/>
      <c r="T21" s="81">
        <f>'MK -CEL-2023- 1r Scenario'!U21</f>
        <v>90</v>
      </c>
      <c r="U21" s="81">
        <f>'MK -CEL-2023- 1r Scenario'!V21</f>
        <v>95</v>
      </c>
      <c r="V21" s="81">
        <f>'MK -CEL-2023- 1r Scenario'!W21</f>
        <v>95</v>
      </c>
      <c r="W21" s="81">
        <f>'MK -CEL-2023- 1r Scenario'!X21</f>
        <v>100</v>
      </c>
      <c r="X21" s="81">
        <f>'MK -CEL-2023- 1r Scenario'!Y21</f>
        <v>100</v>
      </c>
      <c r="Y21" s="81">
        <f>'MK -CEL-2023- 1r Scenario'!Z21</f>
        <v>95</v>
      </c>
      <c r="Z21" s="81">
        <f>'MK -CEL-2023- 1r Scenario'!AA21</f>
        <v>95</v>
      </c>
      <c r="AA21" s="81">
        <f>'MK -CEL-2023- 1r Scenario'!AB21</f>
        <v>50</v>
      </c>
      <c r="AB21" s="81">
        <f>'MK -CEL-2023- 1r Scenario'!AC21</f>
        <v>75</v>
      </c>
      <c r="AC21" s="81">
        <f>'MK -CEL-2023- 1r Scenario'!AD21</f>
        <v>80</v>
      </c>
      <c r="AD21" s="81">
        <f>'MK -CEL-2023- 1r Scenario'!AE21</f>
        <v>50</v>
      </c>
      <c r="AE21" s="81">
        <f>'MK -CEL-2023- 1r Scenario'!AF21</f>
        <v>90</v>
      </c>
      <c r="AF21" s="77"/>
      <c r="AG21" s="80">
        <f t="shared" si="10"/>
        <v>106.39124951685947</v>
      </c>
      <c r="AH21" s="81">
        <f t="shared" si="10"/>
        <v>71.539046328176084</v>
      </c>
      <c r="AI21" s="102">
        <f t="shared" si="10"/>
        <v>84.937953139226138</v>
      </c>
      <c r="AJ21" s="61"/>
      <c r="AK21" s="61"/>
      <c r="AL21" s="61"/>
      <c r="AM21" s="61"/>
      <c r="AN21" s="61"/>
      <c r="AO21" s="61"/>
      <c r="AP21" s="61"/>
      <c r="AQ21" s="61"/>
      <c r="AR21" s="61"/>
    </row>
    <row r="22" spans="2:44" ht="15.75" customHeight="1">
      <c r="B22" s="79"/>
      <c r="C22" s="74"/>
      <c r="D22" s="74"/>
      <c r="E22" s="74"/>
      <c r="F22" s="103">
        <f t="shared" ref="F22:F23" si="11">AVERAGE(F25:H25)</f>
        <v>0.45513760613240523</v>
      </c>
      <c r="G22" s="104"/>
      <c r="H22" s="104"/>
      <c r="I22" s="104"/>
      <c r="J22" s="104"/>
      <c r="K22" s="104"/>
      <c r="L22" s="104"/>
      <c r="M22" s="104"/>
      <c r="N22" s="104"/>
      <c r="O22" s="194"/>
      <c r="P22" s="104"/>
      <c r="Q22" s="104"/>
      <c r="R22" s="104"/>
      <c r="S22" s="79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2:44" ht="15.75" customHeight="1">
      <c r="B23" s="79"/>
      <c r="C23" s="74"/>
      <c r="D23" s="74"/>
      <c r="E23" s="74"/>
      <c r="F23" s="103">
        <f t="shared" si="11"/>
        <v>0.68262831475964536</v>
      </c>
      <c r="G23" s="104"/>
      <c r="H23" s="104"/>
      <c r="I23" s="104">
        <v>0.7</v>
      </c>
      <c r="J23" s="104">
        <v>0.4</v>
      </c>
      <c r="K23" s="104">
        <v>0.8</v>
      </c>
      <c r="L23" s="104">
        <v>1</v>
      </c>
      <c r="M23" s="104">
        <v>1.2</v>
      </c>
      <c r="N23" s="71"/>
      <c r="O23" s="194"/>
      <c r="P23" s="104"/>
      <c r="Q23" s="104"/>
      <c r="R23" s="105"/>
      <c r="S23" s="79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104"/>
      <c r="AG23" s="104"/>
      <c r="AH23" s="104"/>
      <c r="AI23" s="105"/>
      <c r="AJ23" s="61"/>
      <c r="AK23" s="61"/>
      <c r="AL23" s="61"/>
      <c r="AM23" s="61"/>
      <c r="AN23" s="61"/>
      <c r="AO23" s="61"/>
      <c r="AP23" s="61"/>
      <c r="AQ23" s="61"/>
      <c r="AR23" s="61"/>
    </row>
    <row r="24" spans="2:44" ht="15.75" customHeight="1">
      <c r="B24" s="74" t="s">
        <v>22</v>
      </c>
      <c r="C24" s="106">
        <f t="shared" ref="C24:H26" si="12">C29/C14</f>
        <v>0.55617529880478089</v>
      </c>
      <c r="D24" s="106">
        <f t="shared" si="12"/>
        <v>0.46930386593220058</v>
      </c>
      <c r="E24" s="106">
        <f t="shared" si="12"/>
        <v>0.27585144629473396</v>
      </c>
      <c r="F24" s="106">
        <f t="shared" si="12"/>
        <v>0.36989642899988001</v>
      </c>
      <c r="G24" s="106">
        <f t="shared" si="12"/>
        <v>0.69338218456606371</v>
      </c>
      <c r="H24" s="106">
        <f t="shared" si="12"/>
        <v>0.48612153038259565</v>
      </c>
      <c r="I24" s="106">
        <v>0.61021170610211706</v>
      </c>
      <c r="J24" s="106">
        <f t="shared" ref="J24:N24" si="13">J29/J14</f>
        <v>0.55882352941176472</v>
      </c>
      <c r="K24" s="106">
        <f t="shared" si="13"/>
        <v>0.71664548919949178</v>
      </c>
      <c r="L24" s="106">
        <f t="shared" si="13"/>
        <v>0.53249097472924189</v>
      </c>
      <c r="M24" s="106">
        <f t="shared" si="13"/>
        <v>0.4581904761904762</v>
      </c>
      <c r="N24" s="106">
        <f t="shared" si="13"/>
        <v>0.52610441767068272</v>
      </c>
      <c r="O24" s="194"/>
      <c r="P24" s="109">
        <f t="shared" ref="P24:R26" si="14">P29/P14</f>
        <v>0.42515091057314658</v>
      </c>
      <c r="Q24" s="107">
        <f t="shared" si="14"/>
        <v>0.5374451434709222</v>
      </c>
      <c r="R24" s="110">
        <f t="shared" si="14"/>
        <v>0.47352601721569054</v>
      </c>
      <c r="S24" s="74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8"/>
      <c r="AG24" s="109">
        <f t="shared" ref="AG24:AI26" si="15">AG29/AG14</f>
        <v>0.52223706729623331</v>
      </c>
      <c r="AH24" s="107">
        <f t="shared" si="15"/>
        <v>0.59920793746172141</v>
      </c>
      <c r="AI24" s="110">
        <f t="shared" si="15"/>
        <v>0.57048612177431868</v>
      </c>
      <c r="AJ24" s="61"/>
      <c r="AK24" s="61"/>
      <c r="AL24" s="61"/>
      <c r="AM24" s="61"/>
      <c r="AN24" s="61"/>
      <c r="AO24" s="61"/>
      <c r="AP24" s="61"/>
      <c r="AQ24" s="61"/>
      <c r="AR24" s="61"/>
    </row>
    <row r="25" spans="2:44" ht="15.75" customHeight="1">
      <c r="B25" s="79" t="s">
        <v>296</v>
      </c>
      <c r="C25" s="111">
        <f t="shared" si="12"/>
        <v>0.36212278876170656</v>
      </c>
      <c r="D25" s="111">
        <f t="shared" si="12"/>
        <v>0.33143846259761206</v>
      </c>
      <c r="E25" s="111">
        <f t="shared" si="12"/>
        <v>0.17976280960826185</v>
      </c>
      <c r="F25" s="111">
        <f t="shared" si="12"/>
        <v>0.3298165222372092</v>
      </c>
      <c r="G25" s="111">
        <f t="shared" si="12"/>
        <v>0.55489891135303271</v>
      </c>
      <c r="H25" s="111">
        <f t="shared" si="12"/>
        <v>0.48069738480697383</v>
      </c>
      <c r="I25" s="111">
        <v>0.5915178571428571</v>
      </c>
      <c r="J25" s="111">
        <v>0.39053872053872002</v>
      </c>
      <c r="K25" s="111">
        <v>0.47414157876469398</v>
      </c>
      <c r="L25" s="111">
        <v>0.567609032056268</v>
      </c>
      <c r="M25" s="111">
        <v>0.666694467423111</v>
      </c>
      <c r="N25" s="111">
        <v>0.666694467423111</v>
      </c>
      <c r="O25" s="194"/>
      <c r="P25" s="114">
        <f t="shared" si="14"/>
        <v>0.32174144994949844</v>
      </c>
      <c r="Q25" s="112">
        <f t="shared" si="14"/>
        <v>0.47503707365299058</v>
      </c>
      <c r="R25" s="115">
        <f t="shared" si="14"/>
        <v>0.37960418170996335</v>
      </c>
      <c r="S25" s="79"/>
      <c r="T25" s="112">
        <f>'MK-Elims-2023- 2o Scenario'!U24</f>
        <v>0.45247152467190999</v>
      </c>
      <c r="U25" s="112">
        <f>'MK-Elims-2023- 2o Scenario'!V24</f>
        <v>0.47649911719150001</v>
      </c>
      <c r="V25" s="112">
        <f>'MK-Elims-2023- 2o Scenario'!W24</f>
        <v>0.48499117191500002</v>
      </c>
      <c r="W25" s="112">
        <f>'MK-Elims-2023- 2o Scenario'!X24</f>
        <v>0.55884991171914999</v>
      </c>
      <c r="X25" s="112">
        <f>'MK-Elims-2023- 2o Scenario'!Y24</f>
        <v>0.57884991171915001</v>
      </c>
      <c r="Y25" s="112">
        <f>'MK-Elims-2023- 2o Scenario'!Z24</f>
        <v>0.59884991171915003</v>
      </c>
      <c r="Z25" s="112">
        <f>'MK-Elims-2023- 2o Scenario'!AA24</f>
        <v>0.53384991171914997</v>
      </c>
      <c r="AA25" s="112">
        <f>'MK-Elims-2023- 2o Scenario'!AB24</f>
        <v>0</v>
      </c>
      <c r="AB25" s="112">
        <f>'MK-Elims-2023- 2o Scenario'!AC24</f>
        <v>0.59</v>
      </c>
      <c r="AC25" s="112">
        <f>'MK-Elims-2023- 2o Scenario'!AD24</f>
        <v>0.62565217391304295</v>
      </c>
      <c r="AD25" s="112">
        <f>'MK-Elims-2023- 2o Scenario'!AE24</f>
        <v>0.70454545454545503</v>
      </c>
      <c r="AE25" s="112">
        <f>'MK-Elims-2023- 2o Scenario'!AF24</f>
        <v>0.65230769230769203</v>
      </c>
      <c r="AF25" s="113"/>
      <c r="AG25" s="114">
        <f t="shared" si="15"/>
        <v>0.53115517715219429</v>
      </c>
      <c r="AH25" s="112">
        <f t="shared" si="15"/>
        <v>0.59135856634360673</v>
      </c>
      <c r="AI25" s="115">
        <f t="shared" si="15"/>
        <v>0.56939993653993271</v>
      </c>
      <c r="AJ25" s="61"/>
      <c r="AK25" s="61"/>
      <c r="AL25" s="61"/>
      <c r="AM25" s="61"/>
      <c r="AN25" s="61"/>
      <c r="AO25" s="61"/>
      <c r="AP25" s="61"/>
      <c r="AQ25" s="61"/>
      <c r="AR25" s="61"/>
    </row>
    <row r="26" spans="2:44" ht="15.75" customHeight="1">
      <c r="B26" s="79" t="s">
        <v>301</v>
      </c>
      <c r="C26" s="111">
        <f t="shared" si="12"/>
        <v>1.1904761904761905</v>
      </c>
      <c r="D26" s="111">
        <f t="shared" si="12"/>
        <v>1.2270270270270269</v>
      </c>
      <c r="E26" s="111">
        <f t="shared" si="12"/>
        <v>0.92162162162162165</v>
      </c>
      <c r="F26" s="111">
        <f t="shared" si="12"/>
        <v>0.47368421052631576</v>
      </c>
      <c r="G26" s="111">
        <f t="shared" si="12"/>
        <v>1.0798611111111112</v>
      </c>
      <c r="H26" s="111">
        <f t="shared" si="12"/>
        <v>0.49433962264150944</v>
      </c>
      <c r="I26" s="111">
        <v>0.63380281690140849</v>
      </c>
      <c r="J26" s="111">
        <v>0.445353535353535</v>
      </c>
      <c r="K26" s="111">
        <v>0.59722665599359004</v>
      </c>
      <c r="L26" s="111">
        <v>0.67166871322793698</v>
      </c>
      <c r="M26" s="111">
        <v>0.78142725635381205</v>
      </c>
      <c r="N26" s="111">
        <v>0.78142725635381205</v>
      </c>
      <c r="O26" s="194"/>
      <c r="P26" s="114">
        <f t="shared" si="14"/>
        <v>0.78121775025799789</v>
      </c>
      <c r="Q26" s="112">
        <f t="shared" si="14"/>
        <v>0.63069832402234638</v>
      </c>
      <c r="R26" s="115">
        <f t="shared" si="14"/>
        <v>0.69633888388838894</v>
      </c>
      <c r="S26" s="79"/>
      <c r="T26" s="116">
        <f>'MK -CEL-2023- 1r Scenario'!U26</f>
        <v>0.45247152467190999</v>
      </c>
      <c r="U26" s="116">
        <f>'MK -CEL-2023- 1r Scenario'!V26</f>
        <v>0.46220414367575502</v>
      </c>
      <c r="V26" s="116">
        <f>'MK -CEL-2023- 1r Scenario'!W26</f>
        <v>0.47044143675755001</v>
      </c>
      <c r="W26" s="116">
        <f>'MK -CEL-2023- 1r Scenario'!X26</f>
        <v>0.54208441436757548</v>
      </c>
      <c r="X26" s="116">
        <f>'MK -CEL-2023- 1r Scenario'!Y26</f>
        <v>0.56148441436757546</v>
      </c>
      <c r="Y26" s="116">
        <f>'MK -CEL-2023- 1r Scenario'!Z26</f>
        <v>0.58088441436757554</v>
      </c>
      <c r="Z26" s="116">
        <f>'MK -CEL-2023- 1r Scenario'!AA26</f>
        <v>0.51783441436757549</v>
      </c>
      <c r="AA26" s="116">
        <f>'MK -CEL-2023- 1r Scenario'!AB26</f>
        <v>0.39</v>
      </c>
      <c r="AB26" s="116">
        <f>'MK -CEL-2023- 1r Scenario'!AC26</f>
        <v>0.57229999999999992</v>
      </c>
      <c r="AC26" s="116">
        <f>'MK -CEL-2023- 1r Scenario'!AD26</f>
        <v>0.60688260869565169</v>
      </c>
      <c r="AD26" s="116">
        <f>'MK -CEL-2023- 1r Scenario'!AE26</f>
        <v>0.68340909090909141</v>
      </c>
      <c r="AE26" s="116">
        <f>'MK -CEL-2023- 1r Scenario'!AF26</f>
        <v>0.63273846153846125</v>
      </c>
      <c r="AF26" s="117"/>
      <c r="AG26" s="114">
        <f t="shared" si="15"/>
        <v>0.51087241954419083</v>
      </c>
      <c r="AH26" s="112">
        <f t="shared" si="15"/>
        <v>0.61008871808937815</v>
      </c>
      <c r="AI26" s="115">
        <f t="shared" si="15"/>
        <v>0.57194507674919615</v>
      </c>
      <c r="AJ26" s="61"/>
      <c r="AK26" s="61"/>
      <c r="AL26" s="61"/>
      <c r="AM26" s="61"/>
      <c r="AN26" s="61"/>
      <c r="AO26" s="61"/>
      <c r="AP26" s="61"/>
      <c r="AQ26" s="61"/>
      <c r="AR26" s="61"/>
    </row>
    <row r="27" spans="2:44" ht="15.75" customHeight="1">
      <c r="B27" s="74"/>
      <c r="C27" s="74"/>
      <c r="D27" s="74"/>
      <c r="E27" s="74"/>
      <c r="F27" s="118">
        <f t="shared" ref="F27" si="16">AVERAGE(F30:H30)</f>
        <v>396.33333333333331</v>
      </c>
      <c r="G27" s="104"/>
      <c r="H27" s="104"/>
      <c r="I27" s="104"/>
      <c r="J27" s="104"/>
      <c r="K27" s="104"/>
      <c r="L27" s="104"/>
      <c r="M27" s="104"/>
      <c r="N27" s="104"/>
      <c r="O27" s="194"/>
      <c r="P27" s="104"/>
      <c r="Q27" s="104"/>
      <c r="R27" s="104"/>
      <c r="S27" s="7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61"/>
      <c r="AK27" s="61"/>
      <c r="AL27" s="61"/>
      <c r="AM27" s="61"/>
      <c r="AN27" s="61"/>
      <c r="AO27" s="61"/>
      <c r="AP27" s="61"/>
      <c r="AQ27" s="61"/>
      <c r="AR27" s="61"/>
    </row>
    <row r="28" spans="2:44" ht="15.75" customHeight="1">
      <c r="B28" s="74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71"/>
      <c r="O28" s="194"/>
      <c r="P28" s="104"/>
      <c r="Q28" s="104"/>
      <c r="R28" s="104"/>
      <c r="S28" s="74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104"/>
      <c r="AG28" s="104"/>
      <c r="AH28" s="104"/>
      <c r="AI28" s="104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2:44" ht="15.75" customHeight="1">
      <c r="B29" s="74" t="s">
        <v>54</v>
      </c>
      <c r="C29" s="88">
        <f t="shared" ref="C29:H29" si="17">SUM(C30:C31)</f>
        <v>349</v>
      </c>
      <c r="D29" s="88">
        <f t="shared" si="17"/>
        <v>564</v>
      </c>
      <c r="E29" s="88">
        <f t="shared" si="17"/>
        <v>788</v>
      </c>
      <c r="F29" s="88">
        <f t="shared" si="17"/>
        <v>555</v>
      </c>
      <c r="G29" s="88">
        <f t="shared" si="17"/>
        <v>757</v>
      </c>
      <c r="H29" s="88">
        <f t="shared" si="17"/>
        <v>648</v>
      </c>
      <c r="I29" s="88">
        <v>490</v>
      </c>
      <c r="J29" s="88">
        <f t="shared" ref="J29:M29" si="18">SUM(J30:J31)</f>
        <v>228</v>
      </c>
      <c r="K29" s="88">
        <f t="shared" si="18"/>
        <v>564</v>
      </c>
      <c r="L29" s="88">
        <f t="shared" si="18"/>
        <v>590</v>
      </c>
      <c r="M29" s="88">
        <f t="shared" si="18"/>
        <v>1106.53</v>
      </c>
      <c r="N29" s="88">
        <f>SUM(N30:N31)</f>
        <v>524</v>
      </c>
      <c r="O29" s="194"/>
      <c r="P29" s="88">
        <f>SUM(C29:H29)</f>
        <v>3661</v>
      </c>
      <c r="Q29" s="89">
        <f>SUM(I29:N29)</f>
        <v>3502.5299999999997</v>
      </c>
      <c r="R29" s="90">
        <f>SUM(C29:N29)</f>
        <v>7163.53</v>
      </c>
      <c r="S29" s="74"/>
      <c r="T29" s="89">
        <f>SUM(T30:T31)</f>
        <v>494.27811297739117</v>
      </c>
      <c r="U29" s="89">
        <f t="shared" ref="U29:AE29" si="19">SUM(U30:U31)</f>
        <v>391.16575772226429</v>
      </c>
      <c r="V29" s="89">
        <f t="shared" si="19"/>
        <v>436.19614962287523</v>
      </c>
      <c r="W29" s="89">
        <f t="shared" si="19"/>
        <v>513.83222963086325</v>
      </c>
      <c r="X29" s="89">
        <f t="shared" si="19"/>
        <v>598.674182710217</v>
      </c>
      <c r="Y29" s="89">
        <f t="shared" si="19"/>
        <v>685.06609960418382</v>
      </c>
      <c r="Z29" s="89">
        <f t="shared" si="19"/>
        <v>559.0220377502369</v>
      </c>
      <c r="AA29" s="89">
        <f t="shared" si="19"/>
        <v>115.7673582</v>
      </c>
      <c r="AB29" s="89">
        <f t="shared" si="19"/>
        <v>789.16098610599988</v>
      </c>
      <c r="AC29" s="89">
        <f t="shared" si="19"/>
        <v>1064.9895903317831</v>
      </c>
      <c r="AD29" s="89">
        <f t="shared" si="19"/>
        <v>2366.1096002124204</v>
      </c>
      <c r="AE29" s="89">
        <f t="shared" si="19"/>
        <v>1117.1272762510307</v>
      </c>
      <c r="AF29" s="93"/>
      <c r="AG29" s="88">
        <f t="shared" ref="AG29:AG31" si="20">SUM(T29:Y29)</f>
        <v>3119.2125322677948</v>
      </c>
      <c r="AH29" s="89">
        <f t="shared" ref="AH29:AH31" si="21">SUM(Z29:AE29)</f>
        <v>6012.1768488514708</v>
      </c>
      <c r="AI29" s="90">
        <f t="shared" ref="AI29:AI31" si="22">SUM(T29:AE29)</f>
        <v>9131.3893811192647</v>
      </c>
      <c r="AJ29" s="61"/>
      <c r="AK29" s="61"/>
      <c r="AL29" s="61"/>
      <c r="AM29" s="61"/>
      <c r="AN29" s="61"/>
      <c r="AO29" s="61"/>
      <c r="AP29" s="61"/>
      <c r="AQ29" s="61"/>
      <c r="AR29" s="61"/>
    </row>
    <row r="30" spans="2:44" ht="15.75" customHeight="1">
      <c r="B30" s="79" t="s">
        <v>297</v>
      </c>
      <c r="C30" s="119">
        <f>[2]Producto!B32</f>
        <v>174</v>
      </c>
      <c r="D30" s="119">
        <f>[2]Producto!C32</f>
        <v>337</v>
      </c>
      <c r="E30" s="119">
        <f>[2]Producto!D32</f>
        <v>447</v>
      </c>
      <c r="F30" s="119">
        <f>[2]Producto!E32</f>
        <v>357</v>
      </c>
      <c r="G30" s="119">
        <f>[2]Producto!F32</f>
        <v>446</v>
      </c>
      <c r="H30" s="119">
        <f>[2]Producto!G32</f>
        <v>386</v>
      </c>
      <c r="I30" s="119">
        <v>265</v>
      </c>
      <c r="J30" s="119">
        <f>'[3]MK Digital-Elims-2022'!J33</f>
        <v>115</v>
      </c>
      <c r="K30" s="119">
        <f>'[3]MK Digital-Elims-2022'!K33</f>
        <v>293</v>
      </c>
      <c r="L30" s="119">
        <f>'[3]MK Digital-Elims-2022'!L33</f>
        <v>295</v>
      </c>
      <c r="M30" s="119">
        <f>'[3]MK Digital-Elims-2022'!M33</f>
        <v>658.99999999999989</v>
      </c>
      <c r="N30" s="119">
        <f>'MK -Elims-2023- 1r scenario'!O29</f>
        <v>295</v>
      </c>
      <c r="O30" s="194"/>
      <c r="P30" s="91">
        <f>SUM(C30:H30)</f>
        <v>2147</v>
      </c>
      <c r="Q30" s="92">
        <f>SUM(I30:N30)</f>
        <v>1922</v>
      </c>
      <c r="R30" s="94">
        <f>SUM(C30:N30)</f>
        <v>4069</v>
      </c>
      <c r="S30" s="79"/>
      <c r="T30" s="92">
        <f>'MK-Elims-2023- 2o Scenario'!U29</f>
        <v>247.53233856583384</v>
      </c>
      <c r="U30" s="92">
        <f>'MK-Elims-2023- 2o Scenario'!V29</f>
        <v>215.95260086408092</v>
      </c>
      <c r="V30" s="92">
        <f>'MK-Elims-2023- 2o Scenario'!W29</f>
        <v>246.47075048164859</v>
      </c>
      <c r="W30" s="92">
        <f>'MK-Elims-2023- 2o Scenario'!X29</f>
        <v>293.67675219086738</v>
      </c>
      <c r="X30" s="92">
        <f>'MK-Elims-2023- 2o Scenario'!Y29</f>
        <v>351.26861627353975</v>
      </c>
      <c r="Y30" s="92">
        <f>'MK-Elims-2023- 2o Scenario'!Z29</f>
        <v>422.67286552792046</v>
      </c>
      <c r="Z30" s="92">
        <f>'MK-Elims-2023- 2o Scenario'!AA29</f>
        <v>337.64637294629387</v>
      </c>
      <c r="AA30" s="92">
        <f>'MK-Elims-2023- 2o Scenario'!AB29</f>
        <v>0</v>
      </c>
      <c r="AB30" s="92">
        <f>'MK-Elims-2023- 2o Scenario'!AC29</f>
        <v>479.25850253333323</v>
      </c>
      <c r="AC30" s="92">
        <f>'MK-Elims-2023- 2o Scenario'!AD29</f>
        <v>643.99655256059725</v>
      </c>
      <c r="AD30" s="92">
        <f>'MK-Elims-2023- 2o Scenario'!AE29</f>
        <v>1332.9601268077661</v>
      </c>
      <c r="AE30" s="92">
        <f>'MK-Elims-2023- 2o Scenario'!AF29</f>
        <v>653</v>
      </c>
      <c r="AF30" s="120"/>
      <c r="AG30" s="91">
        <f t="shared" si="20"/>
        <v>1777.573923903891</v>
      </c>
      <c r="AH30" s="92">
        <f t="shared" si="21"/>
        <v>3446.8615548479902</v>
      </c>
      <c r="AI30" s="94">
        <f t="shared" si="22"/>
        <v>5224.4354787518814</v>
      </c>
      <c r="AJ30" s="61"/>
      <c r="AK30" s="61"/>
      <c r="AL30" s="61"/>
      <c r="AM30" s="61"/>
      <c r="AN30" s="61"/>
      <c r="AO30" s="61"/>
      <c r="AP30" s="61"/>
      <c r="AQ30" s="61"/>
      <c r="AR30" s="61"/>
    </row>
    <row r="31" spans="2:44" ht="15.75" customHeight="1">
      <c r="B31" s="79" t="s">
        <v>302</v>
      </c>
      <c r="C31" s="119">
        <f>[2]Producto!J32</f>
        <v>175</v>
      </c>
      <c r="D31" s="119">
        <f>[2]Producto!K32</f>
        <v>227</v>
      </c>
      <c r="E31" s="119">
        <f>[2]Producto!L32</f>
        <v>341</v>
      </c>
      <c r="F31" s="119">
        <f>[2]Producto!M32</f>
        <v>198</v>
      </c>
      <c r="G31" s="119">
        <f>[2]Producto!N32</f>
        <v>311</v>
      </c>
      <c r="H31" s="119">
        <f>[2]Producto!O32</f>
        <v>262</v>
      </c>
      <c r="I31" s="119">
        <v>225</v>
      </c>
      <c r="J31" s="119">
        <f>'[3]MK Digital-CEL-2022'!J30</f>
        <v>113</v>
      </c>
      <c r="K31" s="119">
        <f>'[3]MK Digital-CEL-2022'!K30</f>
        <v>270.99999999999994</v>
      </c>
      <c r="L31" s="119">
        <f>'[3]MK Digital-CEL-2022'!L30</f>
        <v>295</v>
      </c>
      <c r="M31" s="119">
        <f>'[3]MK Digital-CEL-2022'!M30</f>
        <v>447.53000000000003</v>
      </c>
      <c r="N31" s="119">
        <f>'MK -CEL-2023- 1r Scenario'!O30</f>
        <v>229</v>
      </c>
      <c r="O31" s="194"/>
      <c r="P31" s="91">
        <f>SUM(C31:H31)</f>
        <v>1514</v>
      </c>
      <c r="Q31" s="92">
        <f>SUM(I31:N31)</f>
        <v>1580.53</v>
      </c>
      <c r="R31" s="94">
        <f>SUM(C31:N31)</f>
        <v>3094.53</v>
      </c>
      <c r="S31" s="79"/>
      <c r="T31" s="92">
        <f>'MK -CEL-2023- 1r Scenario'!U32</f>
        <v>246.74577441155733</v>
      </c>
      <c r="U31" s="92">
        <f>'MK -CEL-2023- 1r Scenario'!V32</f>
        <v>175.21315685818334</v>
      </c>
      <c r="V31" s="92">
        <f>'MK -CEL-2023- 1r Scenario'!W32</f>
        <v>189.72539914122663</v>
      </c>
      <c r="W31" s="92">
        <f>'MK -CEL-2023- 1r Scenario'!X32</f>
        <v>220.15547743999588</v>
      </c>
      <c r="X31" s="92">
        <f>'MK -CEL-2023- 1r Scenario'!Y32</f>
        <v>247.40556643667722</v>
      </c>
      <c r="Y31" s="92">
        <f>'MK -CEL-2023- 1r Scenario'!Z32</f>
        <v>262.3932340762633</v>
      </c>
      <c r="Z31" s="92">
        <f>'MK -CEL-2023- 1r Scenario'!AA32</f>
        <v>221.37566480394304</v>
      </c>
      <c r="AA31" s="92">
        <f>'MK -CEL-2023- 1r Scenario'!AB30</f>
        <v>115.7673582</v>
      </c>
      <c r="AB31" s="92">
        <f>'MK -CEL-2023- 1r Scenario'!AC30</f>
        <v>309.90248357266665</v>
      </c>
      <c r="AC31" s="92">
        <f>'MK -CEL-2023- 1r Scenario'!AD30</f>
        <v>420.99303777118581</v>
      </c>
      <c r="AD31" s="92">
        <f>'MK -CEL-2023- 1r Scenario'!AE30</f>
        <v>1033.1494734046541</v>
      </c>
      <c r="AE31" s="92">
        <f>'MK -CEL-2023- 1r Scenario'!AF30</f>
        <v>464.12727625103059</v>
      </c>
      <c r="AF31" s="120"/>
      <c r="AG31" s="91">
        <f t="shared" si="20"/>
        <v>1341.6386083639036</v>
      </c>
      <c r="AH31" s="92">
        <f t="shared" si="21"/>
        <v>2565.3152940034806</v>
      </c>
      <c r="AI31" s="94">
        <f t="shared" si="22"/>
        <v>3906.9539023673838</v>
      </c>
      <c r="AJ31" s="61"/>
      <c r="AK31" s="61"/>
      <c r="AL31" s="61"/>
      <c r="AM31" s="61"/>
      <c r="AN31" s="61"/>
      <c r="AO31" s="61"/>
      <c r="AP31" s="61"/>
      <c r="AQ31" s="61"/>
      <c r="AR31" s="61"/>
    </row>
    <row r="32" spans="2:44" ht="15.75" customHeight="1">
      <c r="B32" s="79"/>
      <c r="C32" s="61"/>
      <c r="D32" s="61"/>
      <c r="E32" s="61"/>
      <c r="F32" s="70">
        <f t="shared" ref="F32" si="23">AVERAGE(F38:H38)</f>
        <v>260.3972967958685</v>
      </c>
      <c r="G32" s="121"/>
      <c r="H32" s="121"/>
      <c r="I32" s="121"/>
      <c r="J32" s="121"/>
      <c r="K32" s="121"/>
      <c r="L32" s="121"/>
      <c r="M32" s="121"/>
      <c r="N32" s="121"/>
      <c r="O32" s="194"/>
      <c r="P32" s="117"/>
      <c r="Q32" s="117"/>
      <c r="R32" s="117"/>
      <c r="S32" s="79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117"/>
      <c r="AG32" s="117"/>
      <c r="AH32" s="117"/>
      <c r="AI32" s="117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2:44" ht="15.75" customHeight="1">
      <c r="B33" s="74" t="s">
        <v>55</v>
      </c>
      <c r="C33" s="88">
        <f t="shared" ref="C33:H33" si="24">SUM(C34:C35)</f>
        <v>465</v>
      </c>
      <c r="D33" s="88">
        <f t="shared" si="24"/>
        <v>1076</v>
      </c>
      <c r="E33" s="88">
        <f t="shared" si="24"/>
        <v>975</v>
      </c>
      <c r="F33" s="88">
        <f t="shared" si="24"/>
        <v>814</v>
      </c>
      <c r="G33" s="88">
        <f t="shared" si="24"/>
        <v>965</v>
      </c>
      <c r="H33" s="88">
        <f t="shared" si="24"/>
        <v>954</v>
      </c>
      <c r="I33" s="88">
        <v>490</v>
      </c>
      <c r="J33" s="88">
        <f t="shared" ref="J33:N33" si="25">SUM(J34:J35)</f>
        <v>0</v>
      </c>
      <c r="K33" s="88">
        <f t="shared" si="25"/>
        <v>960</v>
      </c>
      <c r="L33" s="88">
        <f t="shared" si="25"/>
        <v>519</v>
      </c>
      <c r="M33" s="88">
        <f t="shared" si="25"/>
        <v>1185</v>
      </c>
      <c r="N33" s="88">
        <f t="shared" si="25"/>
        <v>596</v>
      </c>
      <c r="O33" s="194"/>
      <c r="P33" s="88">
        <f>SUM(C33:H33)</f>
        <v>5249</v>
      </c>
      <c r="Q33" s="89">
        <f>SUM(I33:N33)</f>
        <v>3750</v>
      </c>
      <c r="R33" s="90">
        <f>SUM(C33:N33)</f>
        <v>8999</v>
      </c>
      <c r="S33" s="74"/>
      <c r="T33" s="89">
        <f>SUM(T34:T35)</f>
        <v>185.05933080866799</v>
      </c>
      <c r="U33" s="89">
        <f>SUM(U34:U35)</f>
        <v>416.94384653604595</v>
      </c>
      <c r="V33" s="89">
        <f t="shared" ref="V33:AE33" si="26">SUM(V34:V35)</f>
        <v>424.93855164772248</v>
      </c>
      <c r="W33" s="89">
        <f t="shared" si="26"/>
        <v>494.42320962886629</v>
      </c>
      <c r="X33" s="89">
        <f t="shared" si="26"/>
        <v>577.4636944403785</v>
      </c>
      <c r="Y33" s="89">
        <f t="shared" si="26"/>
        <v>663.46812038069197</v>
      </c>
      <c r="Z33" s="89">
        <f t="shared" si="26"/>
        <v>590.53305321372363</v>
      </c>
      <c r="AA33" s="89"/>
      <c r="AB33" s="89">
        <f t="shared" si="26"/>
        <v>707.63809777949996</v>
      </c>
      <c r="AC33" s="89">
        <f t="shared" si="26"/>
        <v>996.03243927533731</v>
      </c>
      <c r="AD33" s="89">
        <f t="shared" si="26"/>
        <v>2040.8295977422611</v>
      </c>
      <c r="AE33" s="89">
        <f t="shared" si="26"/>
        <v>1429.3728572413779</v>
      </c>
      <c r="AF33" s="93"/>
      <c r="AG33" s="88">
        <f t="shared" ref="AG33:AG35" si="27">SUM(T33:Y33)</f>
        <v>2762.2967534423733</v>
      </c>
      <c r="AH33" s="89">
        <f t="shared" ref="AH33:AH35" si="28">SUM(Z33:AE33)</f>
        <v>5764.4060452522008</v>
      </c>
      <c r="AI33" s="90">
        <f t="shared" ref="AI33:AI35" si="29">SUM(T33:AE33)</f>
        <v>8526.7027986945741</v>
      </c>
      <c r="AJ33" s="61"/>
      <c r="AK33" s="61"/>
      <c r="AL33" s="61"/>
      <c r="AM33" s="61"/>
      <c r="AN33" s="61"/>
      <c r="AO33" s="61"/>
      <c r="AP33" s="61"/>
      <c r="AQ33" s="61"/>
      <c r="AR33" s="61"/>
    </row>
    <row r="34" spans="2:44" ht="15.75" customHeight="1">
      <c r="B34" s="79" t="s">
        <v>297</v>
      </c>
      <c r="C34" s="119">
        <f>'[3]MK Digital-Elims-2022'!C39</f>
        <v>252</v>
      </c>
      <c r="D34" s="119">
        <f>'[3]MK Digital-Elims-2022'!D39</f>
        <v>405</v>
      </c>
      <c r="E34" s="119">
        <f>'[3]MK Digital-Elims-2022'!E39</f>
        <v>570</v>
      </c>
      <c r="F34" s="119">
        <f>'[3]MK Digital-Elims-2022'!F39</f>
        <v>530</v>
      </c>
      <c r="G34" s="119">
        <f>'[3]MK Digital-Elims-2022'!G39</f>
        <v>652</v>
      </c>
      <c r="H34" s="119">
        <f>'[3]MK Digital-Elims-2022'!H39</f>
        <v>691</v>
      </c>
      <c r="I34" s="119">
        <f>'[3]MK Digital-Elims-2022'!I39</f>
        <v>513</v>
      </c>
      <c r="J34" s="119">
        <f>'[3]MK Digital-Elims-2022'!J39</f>
        <v>0</v>
      </c>
      <c r="K34" s="119">
        <f>'[3]MK Digital-Elims-2022'!K39</f>
        <v>591</v>
      </c>
      <c r="L34" s="119">
        <f>'[3]MK Digital-Elims-2022'!L39</f>
        <v>288</v>
      </c>
      <c r="M34" s="119">
        <f>'[3]MK Digital-Elims-2022'!M39</f>
        <v>663</v>
      </c>
      <c r="N34" s="119">
        <f>'MK -Elims-2023- 1r scenario'!O35</f>
        <v>357</v>
      </c>
      <c r="O34" s="194"/>
      <c r="P34" s="91">
        <f>SUM(C34:H34)</f>
        <v>3100</v>
      </c>
      <c r="Q34" s="92">
        <f>SUM(I34:N34)</f>
        <v>2412</v>
      </c>
      <c r="R34" s="94">
        <f>SUM(C34:N34)</f>
        <v>5512</v>
      </c>
      <c r="S34" s="79"/>
      <c r="T34" s="92">
        <f>'MK-Elims-2023- 2o Scenario'!U35</f>
        <v>0</v>
      </c>
      <c r="U34" s="92">
        <f>'MK-Elims-2023- 2o Scenario'!V35</f>
        <v>223.84753528951913</v>
      </c>
      <c r="V34" s="92">
        <f>'MK-Elims-2023- 2o Scenario'!W35</f>
        <v>238.84121307725667</v>
      </c>
      <c r="W34" s="92">
        <f>'MK-Elims-2023- 2o Scenario'!X35</f>
        <v>281.87525176356269</v>
      </c>
      <c r="X34" s="92">
        <f>'MK-Elims-2023- 2o Scenario'!Y35</f>
        <v>336.87065025287166</v>
      </c>
      <c r="Y34" s="92">
        <f>'MK-Elims-2023- 2o Scenario'!Z35</f>
        <v>404.82180321432526</v>
      </c>
      <c r="Z34" s="92">
        <f>'MK-Elims-2023- 2o Scenario'!AA35</f>
        <v>358.90299609170052</v>
      </c>
      <c r="AA34" s="92"/>
      <c r="AB34" s="92">
        <f>'MK-Elims-2023- 2o Scenario'!AC35</f>
        <v>359.44387689999991</v>
      </c>
      <c r="AC34" s="92">
        <f>'MK-Elims-2023- 2o Scenario'!AD35</f>
        <v>602.81204005378129</v>
      </c>
      <c r="AD34" s="92">
        <f>'MK-Elims-2023- 2o Scenario'!AE35</f>
        <v>1160.719233245974</v>
      </c>
      <c r="AE34" s="92">
        <f>'MK-Elims-2023- 2o Scenario'!AF35</f>
        <v>822.99003170194146</v>
      </c>
      <c r="AF34" s="120"/>
      <c r="AG34" s="91">
        <f t="shared" si="27"/>
        <v>1486.2564535975355</v>
      </c>
      <c r="AH34" s="92">
        <f t="shared" si="28"/>
        <v>3304.8681779933972</v>
      </c>
      <c r="AI34" s="94">
        <f t="shared" si="29"/>
        <v>4791.1246315909329</v>
      </c>
      <c r="AJ34" s="61"/>
      <c r="AK34" s="61"/>
      <c r="AL34" s="61"/>
      <c r="AM34" s="61"/>
      <c r="AN34" s="61"/>
      <c r="AO34" s="61"/>
      <c r="AP34" s="61"/>
      <c r="AQ34" s="61"/>
      <c r="AR34" s="61"/>
    </row>
    <row r="35" spans="2:44" ht="15.75" customHeight="1">
      <c r="B35" s="79" t="s">
        <v>302</v>
      </c>
      <c r="C35" s="119">
        <f>'[3]MK Digital-CEL-2022'!C35</f>
        <v>213</v>
      </c>
      <c r="D35" s="119">
        <f>'[3]MK Digital-CEL-2022'!D35</f>
        <v>671</v>
      </c>
      <c r="E35" s="119">
        <f>'[3]MK Digital-CEL-2022'!E35</f>
        <v>405</v>
      </c>
      <c r="F35" s="119">
        <f>'[3]MK Digital-CEL-2022'!F35</f>
        <v>284</v>
      </c>
      <c r="G35" s="119">
        <f>'[3]MK Digital-CEL-2022'!G35</f>
        <v>313</v>
      </c>
      <c r="H35" s="119">
        <f>'[3]MK Digital-CEL-2022'!H35</f>
        <v>263</v>
      </c>
      <c r="I35" s="119">
        <f>'[3]MK Digital-CEL-2022'!I35</f>
        <v>254</v>
      </c>
      <c r="J35" s="119">
        <f>'[3]MK Digital-CEL-2022'!J35</f>
        <v>0</v>
      </c>
      <c r="K35" s="119">
        <f>'[3]MK Digital-CEL-2022'!K35</f>
        <v>369</v>
      </c>
      <c r="L35" s="119">
        <f>'[3]MK Digital-CEL-2022'!L35</f>
        <v>231</v>
      </c>
      <c r="M35" s="119">
        <f>'[3]MK Digital-CEL-2022'!M35</f>
        <v>522</v>
      </c>
      <c r="N35" s="119">
        <f>'MK -CEL-2023- 1r Scenario'!O35</f>
        <v>239</v>
      </c>
      <c r="O35" s="194"/>
      <c r="P35" s="91">
        <f>SUM(C35:H35)</f>
        <v>2149</v>
      </c>
      <c r="Q35" s="92">
        <f>SUM(I35:N35)</f>
        <v>1615</v>
      </c>
      <c r="R35" s="94">
        <f>SUM(C35:N35)</f>
        <v>3764</v>
      </c>
      <c r="S35" s="79"/>
      <c r="T35" s="92">
        <f>+T31*0.75</f>
        <v>185.05933080866799</v>
      </c>
      <c r="U35" s="92">
        <f>+(T31*0.25)+(U31*0.75)</f>
        <v>193.09631124652685</v>
      </c>
      <c r="V35" s="92">
        <f t="shared" ref="V35:AE35" si="30">+(U31*0.25)+(V31*0.75)</f>
        <v>186.09733857046581</v>
      </c>
      <c r="W35" s="92">
        <f t="shared" si="30"/>
        <v>212.54795786530357</v>
      </c>
      <c r="X35" s="92">
        <f t="shared" si="30"/>
        <v>240.59304418750691</v>
      </c>
      <c r="Y35" s="92">
        <f t="shared" si="30"/>
        <v>258.64631716636677</v>
      </c>
      <c r="Z35" s="92">
        <f t="shared" si="30"/>
        <v>231.63005712202312</v>
      </c>
      <c r="AA35" s="92"/>
      <c r="AB35" s="92">
        <f>+(AA31*1)+(AB31*0.75)</f>
        <v>348.19422087949999</v>
      </c>
      <c r="AC35" s="92">
        <f t="shared" si="30"/>
        <v>393.22039922155602</v>
      </c>
      <c r="AD35" s="92">
        <f t="shared" si="30"/>
        <v>880.11036449628705</v>
      </c>
      <c r="AE35" s="92">
        <f t="shared" si="30"/>
        <v>606.38282553943645</v>
      </c>
      <c r="AF35" s="120"/>
      <c r="AG35" s="91">
        <f t="shared" si="27"/>
        <v>1276.040299844838</v>
      </c>
      <c r="AH35" s="92">
        <f t="shared" si="28"/>
        <v>2459.5378672588026</v>
      </c>
      <c r="AI35" s="94">
        <f t="shared" si="29"/>
        <v>3735.5781671036402</v>
      </c>
      <c r="AJ35" s="61"/>
      <c r="AK35" s="61"/>
      <c r="AL35" s="61"/>
      <c r="AM35" s="61"/>
      <c r="AN35" s="61"/>
      <c r="AO35" s="61"/>
      <c r="AP35" s="61"/>
      <c r="AQ35" s="61"/>
      <c r="AR35" s="61"/>
    </row>
    <row r="36" spans="2:44" ht="15.75" customHeight="1">
      <c r="B36" s="79"/>
      <c r="C36" s="61"/>
      <c r="D36" s="61"/>
      <c r="E36" s="61"/>
      <c r="F36" s="70"/>
      <c r="G36" s="121"/>
      <c r="H36" s="121"/>
      <c r="I36" s="121"/>
      <c r="J36" s="121"/>
      <c r="K36" s="121"/>
      <c r="L36" s="121"/>
      <c r="M36" s="121"/>
      <c r="N36" s="121"/>
      <c r="O36" s="194"/>
      <c r="P36" s="117"/>
      <c r="Q36" s="117"/>
      <c r="R36" s="117"/>
      <c r="S36" s="79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117"/>
      <c r="AG36" s="117"/>
      <c r="AH36" s="117"/>
      <c r="AI36" s="117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2:44" ht="15.75" customHeight="1">
      <c r="B37" s="74" t="s">
        <v>28</v>
      </c>
      <c r="C37" s="97">
        <f t="shared" ref="C37:H39" si="31">C9/C29</f>
        <v>106.52968481375359</v>
      </c>
      <c r="D37" s="97">
        <f t="shared" si="31"/>
        <v>136.99631205673759</v>
      </c>
      <c r="E37" s="97">
        <f t="shared" si="31"/>
        <v>185.27923857868018</v>
      </c>
      <c r="F37" s="97">
        <f t="shared" si="31"/>
        <v>232.773009009009</v>
      </c>
      <c r="G37" s="97">
        <f t="shared" si="31"/>
        <v>235.0636459709379</v>
      </c>
      <c r="H37" s="97">
        <f t="shared" si="31"/>
        <v>217.65370370370371</v>
      </c>
      <c r="I37" s="97">
        <v>127.56400000000001</v>
      </c>
      <c r="J37" s="97">
        <f t="shared" ref="J37:N39" si="32">J9/J29</f>
        <v>136.12280701754386</v>
      </c>
      <c r="K37" s="97">
        <f t="shared" si="32"/>
        <v>114.8561170212766</v>
      </c>
      <c r="L37" s="97">
        <f t="shared" si="32"/>
        <v>163.15713559322032</v>
      </c>
      <c r="M37" s="97">
        <f t="shared" si="32"/>
        <v>136.88465744263601</v>
      </c>
      <c r="N37" s="97">
        <f t="shared" si="32"/>
        <v>180.16217557251909</v>
      </c>
      <c r="O37" s="243"/>
      <c r="P37" s="75">
        <f t="shared" ref="P37:R39" si="33">P9/P29</f>
        <v>193.55821360284077</v>
      </c>
      <c r="Q37" s="122">
        <f t="shared" si="33"/>
        <v>142.88410948657113</v>
      </c>
      <c r="R37" s="78">
        <f t="shared" si="33"/>
        <v>168.78166211351109</v>
      </c>
      <c r="S37" s="74"/>
      <c r="T37" s="122">
        <f>T9/T29</f>
        <v>185.52736625866854</v>
      </c>
      <c r="U37" s="122">
        <f t="shared" ref="U37:Z37" si="34">U9/U29</f>
        <v>211.37836292589628</v>
      </c>
      <c r="V37" s="122">
        <f t="shared" si="34"/>
        <v>200.41368447562169</v>
      </c>
      <c r="W37" s="122">
        <f t="shared" si="34"/>
        <v>187.69877002321653</v>
      </c>
      <c r="X37" s="122">
        <f t="shared" si="34"/>
        <v>179.76836250527577</v>
      </c>
      <c r="Y37" s="122">
        <f t="shared" si="34"/>
        <v>163.99246374168985</v>
      </c>
      <c r="Z37" s="122">
        <f t="shared" si="34"/>
        <v>177.89223104730428</v>
      </c>
      <c r="AA37" s="122"/>
      <c r="AB37" s="122">
        <f t="shared" ref="AB37:AE39" si="35">AB9/AB29</f>
        <v>131.08311145795187</v>
      </c>
      <c r="AC37" s="122">
        <f t="shared" si="35"/>
        <v>131.22350292781948</v>
      </c>
      <c r="AD37" s="122">
        <f t="shared" si="35"/>
        <v>80.729458697349202</v>
      </c>
      <c r="AE37" s="122">
        <f t="shared" si="35"/>
        <v>142.57993688577528</v>
      </c>
      <c r="AF37" s="82"/>
      <c r="AG37" s="75">
        <f t="shared" ref="AG37:AI39" si="36">AG9/AG29</f>
        <v>185.37364736080059</v>
      </c>
      <c r="AH37" s="122">
        <f t="shared" si="36"/>
        <v>122.68918928273244</v>
      </c>
      <c r="AI37" s="78">
        <f t="shared" si="36"/>
        <v>144.10171908020334</v>
      </c>
      <c r="AJ37" s="61"/>
      <c r="AK37" s="61"/>
      <c r="AL37" s="61"/>
      <c r="AM37" s="61"/>
      <c r="AN37" s="61"/>
      <c r="AO37" s="61"/>
      <c r="AP37" s="61"/>
      <c r="AQ37" s="61"/>
      <c r="AR37" s="61"/>
    </row>
    <row r="38" spans="2:44" ht="15.75" customHeight="1">
      <c r="B38" s="79" t="s">
        <v>298</v>
      </c>
      <c r="C38" s="101">
        <f t="shared" si="31"/>
        <v>153.13557471264369</v>
      </c>
      <c r="D38" s="101">
        <f t="shared" si="31"/>
        <v>177.33513353115728</v>
      </c>
      <c r="E38" s="101">
        <f t="shared" si="31"/>
        <v>247.77463087248321</v>
      </c>
      <c r="F38" s="101">
        <f t="shared" si="31"/>
        <v>239.07392156862744</v>
      </c>
      <c r="G38" s="101">
        <f t="shared" si="31"/>
        <v>265.59006726457397</v>
      </c>
      <c r="H38" s="101">
        <f t="shared" si="31"/>
        <v>276.52790155440414</v>
      </c>
      <c r="I38" s="101">
        <v>133.42192452830187</v>
      </c>
      <c r="J38" s="101">
        <f t="shared" si="32"/>
        <v>157.65165217391305</v>
      </c>
      <c r="K38" s="101">
        <f t="shared" si="32"/>
        <v>125.60525597269626</v>
      </c>
      <c r="L38" s="101">
        <f t="shared" si="32"/>
        <v>183.24355932203389</v>
      </c>
      <c r="M38" s="101">
        <f t="shared" si="32"/>
        <v>118.4165250379363</v>
      </c>
      <c r="N38" s="101">
        <f t="shared" si="32"/>
        <v>149.65996610169492</v>
      </c>
      <c r="O38" s="194"/>
      <c r="P38" s="80">
        <f t="shared" si="33"/>
        <v>236.47187703772707</v>
      </c>
      <c r="Q38" s="81">
        <f t="shared" si="33"/>
        <v>138.67436004162332</v>
      </c>
      <c r="R38" s="83">
        <f t="shared" si="33"/>
        <v>190.27703121159985</v>
      </c>
      <c r="S38" s="79"/>
      <c r="T38" s="81">
        <f>'MK-Elims-2023- 2o Scenario'!U41</f>
        <v>176.80670636236945</v>
      </c>
      <c r="U38" s="81">
        <f>'MK-Elims-2023- 2o Scenario'!V41</f>
        <v>188.74971098706368</v>
      </c>
      <c r="V38" s="81">
        <f>'MK-Elims-2023- 2o Scenario'!W41</f>
        <v>175.26092209962366</v>
      </c>
      <c r="W38" s="81">
        <f>'MK-Elims-2023- 2o Scenario'!X41</f>
        <v>169.99197460326744</v>
      </c>
      <c r="X38" s="81">
        <f>'MK-Elims-2023- 2o Scenario'!Y41</f>
        <v>164.11853587030117</v>
      </c>
      <c r="Y38" s="81">
        <f>'MK-Elims-2023- 2o Scenario'!Z41</f>
        <v>150.28807425492016</v>
      </c>
      <c r="Z38" s="81">
        <f>'MK-Elims-2023- 2o Scenario'!AA41</f>
        <v>168.5867095307259</v>
      </c>
      <c r="AA38" s="81"/>
      <c r="AB38" s="81">
        <f>'MK-Elims-2023- 2o Scenario'!AC41</f>
        <v>127.11864406779662</v>
      </c>
      <c r="AC38" s="81">
        <f>'MK-Elims-2023- 2o Scenario'!AD41</f>
        <v>127.86657400972908</v>
      </c>
      <c r="AD38" s="81">
        <f>'MK-Elims-2023- 2o Scenario'!AE41</f>
        <v>85.161290322580584</v>
      </c>
      <c r="AE38" s="81">
        <f>'MK-Elims-2023- 2o Scenario'!AF41</f>
        <v>142.82235834609494</v>
      </c>
      <c r="AF38" s="77"/>
      <c r="AG38" s="80">
        <f t="shared" si="36"/>
        <v>168.10447570233163</v>
      </c>
      <c r="AH38" s="81">
        <f t="shared" si="36"/>
        <v>126.72979266693065</v>
      </c>
      <c r="AI38" s="83">
        <f t="shared" si="36"/>
        <v>140.80720982953818</v>
      </c>
      <c r="AJ38" s="61"/>
      <c r="AK38" s="61"/>
      <c r="AL38" s="61"/>
      <c r="AM38" s="61"/>
      <c r="AN38" s="61"/>
      <c r="AO38" s="61"/>
      <c r="AP38" s="61"/>
      <c r="AQ38" s="61"/>
      <c r="AR38" s="61"/>
    </row>
    <row r="39" spans="2:44" ht="15.75" customHeight="1">
      <c r="B39" s="79" t="s">
        <v>303</v>
      </c>
      <c r="C39" s="101">
        <f t="shared" si="31"/>
        <v>60.190114285714287</v>
      </c>
      <c r="D39" s="101">
        <f t="shared" si="31"/>
        <v>77.110044052863429</v>
      </c>
      <c r="E39" s="101">
        <f t="shared" si="31"/>
        <v>103.35712609970675</v>
      </c>
      <c r="F39" s="101">
        <f t="shared" si="31"/>
        <v>221.41227272727272</v>
      </c>
      <c r="G39" s="101">
        <f t="shared" si="31"/>
        <v>191.28620578778137</v>
      </c>
      <c r="H39" s="101">
        <f t="shared" si="31"/>
        <v>130.91538167938933</v>
      </c>
      <c r="I39" s="101">
        <v>120.66466666666666</v>
      </c>
      <c r="J39" s="101">
        <f t="shared" si="32"/>
        <v>114.2129203539823</v>
      </c>
      <c r="K39" s="101">
        <f t="shared" si="32"/>
        <v>103.23435424354247</v>
      </c>
      <c r="L39" s="101">
        <f t="shared" si="32"/>
        <v>143.07071186440677</v>
      </c>
      <c r="M39" s="101">
        <f t="shared" si="32"/>
        <v>164.07948070520413</v>
      </c>
      <c r="N39" s="101">
        <f t="shared" si="32"/>
        <v>219.45541484716153</v>
      </c>
      <c r="O39" s="194"/>
      <c r="P39" s="80">
        <f t="shared" si="33"/>
        <v>132.70244385733156</v>
      </c>
      <c r="Q39" s="81">
        <f t="shared" si="33"/>
        <v>148.00336595951993</v>
      </c>
      <c r="R39" s="83">
        <f t="shared" si="33"/>
        <v>140.51738389997831</v>
      </c>
      <c r="S39" s="79"/>
      <c r="T39" s="81">
        <f>T11/T35</f>
        <v>259.03443393276706</v>
      </c>
      <c r="U39" s="81">
        <f t="shared" ref="U39:Z39" si="37">U11/U35</f>
        <v>217.10920436215247</v>
      </c>
      <c r="V39" s="81">
        <f t="shared" si="37"/>
        <v>237.63363216102607</v>
      </c>
      <c r="W39" s="81">
        <f t="shared" si="37"/>
        <v>218.88230292705359</v>
      </c>
      <c r="X39" s="81">
        <f t="shared" si="37"/>
        <v>207.70752815718731</v>
      </c>
      <c r="Y39" s="81">
        <f t="shared" si="37"/>
        <v>188.7635093160674</v>
      </c>
      <c r="Z39" s="81">
        <f t="shared" si="37"/>
        <v>183.58147050664851</v>
      </c>
      <c r="AA39" s="81"/>
      <c r="AB39" s="81">
        <f t="shared" si="35"/>
        <v>137.2140875083665</v>
      </c>
      <c r="AC39" s="81">
        <f t="shared" si="35"/>
        <v>136.35862502362994</v>
      </c>
      <c r="AD39" s="81">
        <f t="shared" si="35"/>
        <v>75.011549530061345</v>
      </c>
      <c r="AE39" s="81">
        <f t="shared" si="35"/>
        <v>142.23886403423464</v>
      </c>
      <c r="AF39" s="82"/>
      <c r="AG39" s="80">
        <f t="shared" si="36"/>
        <v>208.25404826469901</v>
      </c>
      <c r="AH39" s="81">
        <f t="shared" si="36"/>
        <v>117.260070883159</v>
      </c>
      <c r="AI39" s="83">
        <f t="shared" si="36"/>
        <v>148.50718467932947</v>
      </c>
      <c r="AJ39" s="61"/>
      <c r="AK39" s="61"/>
      <c r="AL39" s="61"/>
      <c r="AM39" s="61"/>
      <c r="AN39" s="61"/>
      <c r="AO39" s="61"/>
      <c r="AP39" s="61"/>
      <c r="AQ39" s="61"/>
      <c r="AR39" s="61"/>
    </row>
    <row r="40" spans="2:44" ht="15.75" customHeight="1"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2:44" ht="15.75" customHeight="1"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</row>
    <row r="42" spans="2:44" ht="15.75" customHeight="1"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2:44" ht="15.75" customHeight="1"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2:44" ht="15.75" customHeight="1"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2:44" ht="15.75" customHeight="1"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</row>
    <row r="46" spans="2:44" ht="15.75" customHeight="1"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2:44" ht="15.75" customHeight="1"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</row>
    <row r="48" spans="2:44" ht="15.75" customHeight="1"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2:44" ht="15.75" customHeight="1"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</row>
    <row r="50" spans="2:44" ht="15.75" customHeight="1"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2:44" ht="15.75" customHeight="1"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</row>
    <row r="52" spans="2:44" ht="15.75" customHeight="1"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2:44" ht="15.75" customHeight="1"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</row>
    <row r="54" spans="2:44" ht="15.75" customHeight="1"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2:44" ht="15.75" customHeight="1"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</row>
    <row r="56" spans="2:44" ht="15.75" customHeight="1"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2:44" ht="15.75" customHeight="1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2:44" ht="15.75" customHeight="1"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2:44" ht="15.75" customHeight="1"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</row>
    <row r="60" spans="2:44" ht="15.75" customHeight="1"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2:44" ht="15.75" customHeight="1"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</row>
    <row r="62" spans="2:44" ht="15.75" customHeight="1"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</row>
    <row r="63" spans="2:44" ht="15.75" customHeight="1"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</row>
    <row r="64" spans="2:44" ht="15.75" customHeight="1"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</row>
    <row r="65" spans="2:44" ht="15.75" customHeight="1"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</row>
    <row r="66" spans="2:44" ht="15.75" customHeight="1"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</row>
    <row r="67" spans="2:44" ht="15.75" customHeight="1"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</row>
    <row r="68" spans="2:44" ht="15.75" customHeight="1"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</row>
    <row r="69" spans="2:44" ht="15.75" customHeight="1"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</row>
    <row r="70" spans="2:44" ht="15.75" customHeight="1"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</row>
    <row r="71" spans="2:44" ht="15.75" customHeight="1"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</row>
    <row r="72" spans="2:44" ht="15.75" customHeight="1"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</row>
    <row r="73" spans="2:44" ht="15.75" customHeight="1"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</row>
    <row r="74" spans="2:44" ht="15.75" customHeight="1"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</row>
    <row r="75" spans="2:44" ht="15.75" customHeight="1"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</row>
    <row r="76" spans="2:44" ht="15.75" customHeight="1"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</row>
    <row r="77" spans="2:44" ht="15.75" customHeight="1"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</row>
    <row r="78" spans="2:44" ht="15.75" customHeight="1"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</row>
    <row r="79" spans="2:44" ht="15.75" customHeight="1"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</row>
    <row r="80" spans="2:44" ht="15.75" customHeight="1"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</row>
    <row r="81" spans="2:44" ht="15.75" customHeight="1"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</row>
    <row r="82" spans="2:44" ht="15.75" customHeight="1"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</row>
    <row r="83" spans="2:44" ht="15.75" customHeight="1"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</row>
    <row r="84" spans="2:44" ht="15.75" customHeight="1"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</row>
    <row r="85" spans="2:44" ht="15.75" customHeight="1"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</row>
    <row r="86" spans="2:44" ht="15.75" customHeight="1"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</row>
    <row r="87" spans="2:44" ht="15.75" customHeight="1"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</row>
    <row r="88" spans="2:44" ht="15.75" customHeight="1"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</row>
    <row r="89" spans="2:44" ht="15.75" customHeight="1"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</row>
    <row r="90" spans="2:44" ht="15.75" customHeight="1"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</row>
    <row r="91" spans="2:44" ht="15.75" customHeight="1"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</row>
    <row r="92" spans="2:44" ht="15.75" customHeight="1"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</row>
    <row r="93" spans="2:44" ht="15.75" customHeight="1"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</row>
    <row r="94" spans="2:44" ht="15.75" customHeight="1"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</row>
    <row r="95" spans="2:44" ht="15.75" customHeight="1"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</row>
    <row r="96" spans="2:44" ht="15.75" customHeight="1"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</row>
    <row r="97" spans="2:44" ht="15.75" customHeight="1"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</row>
    <row r="98" spans="2:44" ht="15.75" customHeight="1"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</row>
    <row r="99" spans="2:44" ht="15.75" customHeight="1"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</row>
    <row r="100" spans="2:44" ht="15.75" customHeight="1"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</row>
    <row r="101" spans="2:44" ht="15.75" customHeight="1"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</row>
    <row r="102" spans="2:44" ht="15.75" customHeight="1"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</row>
    <row r="103" spans="2:44" ht="15.75" customHeight="1"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</row>
    <row r="104" spans="2:44" ht="15.75" customHeight="1"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</row>
    <row r="105" spans="2:44" ht="15.75" customHeight="1"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</row>
    <row r="106" spans="2:44" ht="15.75" customHeight="1"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</row>
    <row r="107" spans="2:44" ht="15.75" customHeight="1"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</row>
    <row r="108" spans="2:44" ht="15.75" customHeight="1"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</row>
    <row r="109" spans="2:44" ht="15.75" customHeight="1"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</row>
    <row r="110" spans="2:44" ht="15.75" customHeight="1"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</row>
    <row r="111" spans="2:44" ht="15.75" customHeight="1"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</row>
    <row r="112" spans="2:44" ht="15.75" customHeight="1"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</row>
    <row r="113" spans="2:44" ht="15.75" customHeight="1"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</row>
    <row r="114" spans="2:44" ht="15.75" customHeight="1"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</row>
    <row r="115" spans="2:44" ht="15.75" customHeight="1"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</row>
    <row r="116" spans="2:44" ht="15.75" customHeight="1"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</row>
    <row r="117" spans="2:44" ht="15.75" customHeight="1"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</row>
    <row r="118" spans="2:44" ht="15.75" customHeight="1"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</row>
    <row r="119" spans="2:44" ht="15.75" customHeight="1"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</row>
    <row r="120" spans="2:44" ht="15.75" customHeight="1"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</row>
    <row r="121" spans="2:44" ht="15.75" customHeight="1"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</row>
    <row r="122" spans="2:44" ht="15.75" customHeight="1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</row>
    <row r="123" spans="2:44" ht="15.75" customHeight="1"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</row>
    <row r="124" spans="2:44" ht="15.75" customHeight="1"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</row>
    <row r="125" spans="2:44" ht="15.75" customHeight="1"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</row>
    <row r="126" spans="2:44" ht="15.75" customHeight="1"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</row>
    <row r="127" spans="2:44" ht="15.75" customHeight="1"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</row>
    <row r="128" spans="2:44" ht="15.75" customHeight="1"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</row>
    <row r="129" spans="2:44" ht="15.75" customHeight="1"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</row>
    <row r="130" spans="2:44" ht="15.75" customHeight="1"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</row>
    <row r="131" spans="2:44" ht="15.75" customHeight="1"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</row>
    <row r="132" spans="2:44" ht="15.75" customHeight="1"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</row>
    <row r="133" spans="2:44" ht="15.75" customHeight="1"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</row>
    <row r="134" spans="2:44" ht="15.75" customHeight="1"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</row>
    <row r="135" spans="2:44" ht="15.75" customHeight="1"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</row>
    <row r="136" spans="2:44" ht="15.75" customHeight="1"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</row>
    <row r="137" spans="2:44" ht="15.75" customHeight="1"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</row>
    <row r="138" spans="2:44" ht="15.75" customHeight="1"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</row>
    <row r="139" spans="2:44" ht="15.75" customHeight="1"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</row>
    <row r="140" spans="2:44" ht="15.75" customHeight="1"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</row>
    <row r="141" spans="2:44" ht="15.75" customHeight="1"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</row>
    <row r="142" spans="2:44" ht="15.75" customHeight="1"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</row>
    <row r="143" spans="2:44" ht="15.75" customHeight="1"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</row>
    <row r="144" spans="2:44" ht="15.75" customHeight="1"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</row>
    <row r="145" spans="2:44" ht="15.75" customHeight="1"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</row>
    <row r="146" spans="2:44" ht="15.75" customHeight="1"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</row>
    <row r="147" spans="2:44" ht="15.75" customHeight="1"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</row>
    <row r="148" spans="2:44" ht="15.75" customHeight="1"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</row>
    <row r="149" spans="2:44" ht="15.75" customHeight="1"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</row>
    <row r="150" spans="2:44" ht="15.75" customHeight="1"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</row>
    <row r="151" spans="2:44" ht="15.75" customHeight="1"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</row>
    <row r="152" spans="2:44" ht="15.75" customHeight="1"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</row>
    <row r="153" spans="2:44" ht="15.75" customHeight="1"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</row>
    <row r="154" spans="2:44" ht="15.75" customHeight="1"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</row>
    <row r="155" spans="2:44" ht="15.75" customHeight="1"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</row>
    <row r="156" spans="2:44" ht="15.75" customHeight="1"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</row>
    <row r="157" spans="2:44" ht="15.75" customHeight="1"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</row>
    <row r="158" spans="2:44" ht="15.75" customHeight="1"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</row>
    <row r="159" spans="2:44" ht="15.75" customHeight="1"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</row>
    <row r="160" spans="2:44" ht="15.75" customHeight="1"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</row>
    <row r="161" spans="2:44" ht="15.75" customHeight="1"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</row>
    <row r="162" spans="2:44" ht="15.75" customHeight="1"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</row>
    <row r="163" spans="2:44" ht="15.75" customHeight="1"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</row>
    <row r="164" spans="2:44" ht="15.75" customHeight="1"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</row>
    <row r="165" spans="2:44" ht="15.75" customHeight="1"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</row>
    <row r="166" spans="2:44" ht="15.75" customHeight="1"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</row>
    <row r="167" spans="2:44" ht="15.75" customHeight="1"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</row>
    <row r="168" spans="2:44" ht="15.75" customHeight="1"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</row>
    <row r="169" spans="2:44" ht="15.75" customHeight="1"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</row>
    <row r="170" spans="2:44" ht="15.75" customHeight="1"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</row>
    <row r="171" spans="2:44" ht="15.75" customHeight="1"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</row>
    <row r="172" spans="2:44" ht="15.75" customHeight="1"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</row>
    <row r="173" spans="2:44" ht="15.75" customHeight="1"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</row>
    <row r="174" spans="2:44" ht="15.75" customHeight="1"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</row>
    <row r="175" spans="2:44" ht="15.75" customHeight="1"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</row>
    <row r="176" spans="2:44" ht="15.75" customHeight="1"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</row>
    <row r="177" spans="2:44" ht="15.75" customHeight="1"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</row>
    <row r="178" spans="2:44" ht="15.75" customHeight="1"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</row>
    <row r="179" spans="2:44" ht="15.75" customHeight="1"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</row>
    <row r="180" spans="2:44" ht="15.75" customHeight="1"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</row>
    <row r="181" spans="2:44" ht="15.75" customHeight="1"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</row>
    <row r="182" spans="2:44" ht="15.75" customHeight="1"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</row>
    <row r="183" spans="2:44" ht="15.75" customHeight="1"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</row>
    <row r="184" spans="2:44" ht="15.75" customHeight="1"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</row>
    <row r="185" spans="2:44" ht="15.75" customHeight="1"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</row>
    <row r="186" spans="2:44" ht="15.75" customHeight="1"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</row>
    <row r="187" spans="2:44" ht="15.75" customHeight="1"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</row>
    <row r="188" spans="2:44" ht="15.75" customHeight="1"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</row>
    <row r="189" spans="2:44" ht="15.75" customHeight="1"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</row>
    <row r="190" spans="2:44" ht="15.75" customHeight="1"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</row>
    <row r="191" spans="2:44" ht="15.75" customHeight="1"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</row>
    <row r="192" spans="2:44" ht="15.75" customHeight="1"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</row>
    <row r="193" spans="2:44" ht="15.75" customHeight="1"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</row>
    <row r="194" spans="2:44" ht="15.75" customHeight="1"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</row>
    <row r="195" spans="2:44" ht="15.75" customHeight="1"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</row>
    <row r="196" spans="2:44" ht="15.75" customHeight="1"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</row>
    <row r="197" spans="2:44" ht="15.75" customHeight="1"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</row>
    <row r="198" spans="2:44" ht="15.75" customHeight="1"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</row>
    <row r="199" spans="2:44" ht="15.75" customHeight="1"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</row>
    <row r="200" spans="2:44" ht="15.75" customHeight="1"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</row>
    <row r="201" spans="2:44" ht="15.75" customHeight="1"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</row>
    <row r="202" spans="2:44" ht="15.75" customHeight="1"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</row>
    <row r="203" spans="2:44" ht="15.75" customHeight="1"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</row>
    <row r="204" spans="2:44" ht="15.75" customHeight="1"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</row>
    <row r="205" spans="2:44" ht="15.75" customHeight="1"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</row>
    <row r="206" spans="2:44" ht="15.75" customHeight="1"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</row>
    <row r="207" spans="2:44" ht="15.75" customHeight="1"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</row>
    <row r="208" spans="2:44" ht="15.75" customHeight="1"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</row>
    <row r="209" spans="2:44" ht="15.75" customHeight="1"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</row>
    <row r="210" spans="2:44" ht="15.75" customHeight="1"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</row>
    <row r="211" spans="2:44" ht="15.75" customHeight="1"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</row>
    <row r="212" spans="2:44" ht="15.75" customHeight="1"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</row>
    <row r="213" spans="2:44" ht="15.75" customHeight="1"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</row>
    <row r="214" spans="2:44" ht="15.75" customHeight="1"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</row>
    <row r="215" spans="2:44" ht="15.75" customHeight="1"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</row>
    <row r="216" spans="2:44" ht="15.75" customHeight="1"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</row>
    <row r="217" spans="2:44" ht="15.75" customHeight="1"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</row>
    <row r="218" spans="2:44" ht="15.75" customHeight="1"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</row>
    <row r="219" spans="2:44" ht="15.75" customHeight="1"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</row>
    <row r="220" spans="2:44" ht="15.75" customHeight="1"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</row>
    <row r="221" spans="2:44" ht="15.75" customHeight="1"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</row>
    <row r="222" spans="2:44" ht="15.75" customHeight="1"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</row>
    <row r="223" spans="2:44" ht="15.75" customHeight="1"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</row>
    <row r="224" spans="2:44" ht="15.75" customHeight="1"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</row>
    <row r="225" spans="2:44" ht="15.75" customHeight="1"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</row>
    <row r="226" spans="2:44" ht="15.75" customHeight="1"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</row>
    <row r="227" spans="2:44" ht="15.75" customHeight="1"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</row>
    <row r="228" spans="2:44" ht="15.75" customHeight="1"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</row>
    <row r="229" spans="2:44" ht="15.75" customHeight="1"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</row>
    <row r="230" spans="2:44" ht="15.75" customHeight="1"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</row>
    <row r="231" spans="2:44" ht="15.75" customHeight="1"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</row>
    <row r="232" spans="2:44" ht="15.75" customHeight="1"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</row>
    <row r="233" spans="2:44" ht="15.75" customHeight="1"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</row>
    <row r="234" spans="2:44" ht="15.75" customHeight="1"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</row>
    <row r="235" spans="2:44" ht="15.75" customHeight="1"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</row>
    <row r="236" spans="2:44" ht="15.75" customHeight="1"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</row>
    <row r="237" spans="2:44" ht="15.75" customHeight="1"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</row>
    <row r="238" spans="2:44" ht="15.75" customHeight="1"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</row>
    <row r="239" spans="2:44" ht="15.75" customHeight="1"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</row>
    <row r="240" spans="2:44" ht="15.75" customHeight="1"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</row>
    <row r="241" spans="2:44" ht="15.75" customHeight="1"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</row>
    <row r="242" spans="2:44" ht="15.75" customHeight="1"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</row>
    <row r="243" spans="2:44" ht="15.75" customHeight="1"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</row>
    <row r="244" spans="2:44" ht="15.75" customHeight="1"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</row>
    <row r="245" spans="2:44" ht="15.75" customHeight="1"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</row>
    <row r="246" spans="2:44" ht="15.75" customHeight="1"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</row>
    <row r="247" spans="2:44" ht="15.75" customHeight="1"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</row>
    <row r="248" spans="2:44" ht="15.75" customHeight="1"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</row>
    <row r="249" spans="2:44" ht="15.75" customHeight="1"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</row>
    <row r="250" spans="2:44" ht="15.75" customHeight="1"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</row>
    <row r="251" spans="2:44" ht="15.75" customHeight="1"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</row>
    <row r="252" spans="2:44" ht="15.75" customHeight="1"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</row>
    <row r="253" spans="2:44" ht="15.75" customHeight="1"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</row>
    <row r="254" spans="2:44" ht="15.75" customHeight="1"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</row>
    <row r="255" spans="2:44" ht="15.75" customHeight="1"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</row>
    <row r="256" spans="2:44" ht="15.75" customHeight="1"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</row>
    <row r="257" spans="2:44" ht="15.75" customHeight="1"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</row>
    <row r="258" spans="2:44" ht="15.75" customHeight="1"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</row>
    <row r="259" spans="2:44" ht="15.75" customHeight="1"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</row>
    <row r="260" spans="2:44" ht="15.75" customHeight="1"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</row>
    <row r="261" spans="2:44" ht="15.75" customHeight="1"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</row>
    <row r="262" spans="2:44" ht="15.75" customHeight="1"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</row>
    <row r="263" spans="2:44" ht="15.75" customHeight="1"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</row>
    <row r="264" spans="2:44" ht="15.75" customHeight="1"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</row>
    <row r="265" spans="2:44" ht="15.75" customHeight="1"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</row>
    <row r="266" spans="2:44" ht="15.75" customHeight="1"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</row>
    <row r="267" spans="2:44" ht="15.75" customHeight="1"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</row>
    <row r="268" spans="2:44" ht="15.75" customHeight="1"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</row>
    <row r="269" spans="2:44" ht="15.75" customHeight="1"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</row>
    <row r="270" spans="2:44" ht="15.75" customHeight="1"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</row>
    <row r="271" spans="2:44" ht="15.75" customHeight="1"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</row>
    <row r="272" spans="2:44" ht="15.75" customHeight="1"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</row>
    <row r="273" spans="2:44" ht="15.75" customHeight="1"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</row>
    <row r="274" spans="2:44" ht="15.75" customHeight="1"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</row>
    <row r="275" spans="2:44" ht="15.75" customHeight="1"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</row>
    <row r="276" spans="2:44" ht="15.75" customHeight="1"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</row>
    <row r="277" spans="2:44" ht="15.75" customHeight="1"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</row>
    <row r="278" spans="2:44" ht="15.75" customHeight="1"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</row>
    <row r="279" spans="2:44" ht="15.75" customHeight="1"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</row>
    <row r="280" spans="2:44" ht="15.75" customHeight="1"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</row>
    <row r="281" spans="2:44" ht="15.75" customHeight="1"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</row>
    <row r="282" spans="2:44" ht="15.75" customHeight="1"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</row>
    <row r="283" spans="2:44" ht="15.75" customHeight="1"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</row>
    <row r="284" spans="2:44" ht="15.75" customHeight="1"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</row>
    <row r="285" spans="2:44" ht="15.75" customHeight="1"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</row>
    <row r="286" spans="2:44" ht="15.75" customHeight="1"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</row>
    <row r="287" spans="2:44" ht="15.75" customHeight="1"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</row>
    <row r="288" spans="2:44" ht="15.75" customHeight="1"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</row>
    <row r="289" spans="2:44" ht="15.75" customHeight="1"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</row>
    <row r="290" spans="2:44" ht="15.75" customHeight="1"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</row>
    <row r="291" spans="2:44" ht="15.75" customHeight="1"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</row>
    <row r="292" spans="2:44" ht="15.75" customHeight="1"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</row>
    <row r="293" spans="2:44" ht="15.75" customHeight="1"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</row>
    <row r="294" spans="2:44" ht="15.75" customHeight="1"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</row>
    <row r="295" spans="2:44" ht="15.75" customHeight="1"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</row>
    <row r="296" spans="2:44" ht="15.75" customHeight="1"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</row>
    <row r="297" spans="2:44" ht="15.75" customHeight="1"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</row>
    <row r="298" spans="2:44" ht="15.75" customHeight="1"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</row>
    <row r="299" spans="2:44" ht="15.75" customHeight="1"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</row>
    <row r="300" spans="2:44" ht="15.75" customHeight="1"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</row>
    <row r="301" spans="2:44" ht="15.75" customHeight="1"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</row>
    <row r="302" spans="2:44" ht="15.75" customHeight="1"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</row>
    <row r="303" spans="2:44" ht="15.75" customHeight="1"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</row>
    <row r="304" spans="2:44" ht="15.75" customHeight="1"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</row>
    <row r="305" spans="2:44" ht="15.75" customHeight="1"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</row>
    <row r="306" spans="2:44" ht="15.75" customHeight="1"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</row>
    <row r="307" spans="2:44" ht="15.75" customHeight="1"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</row>
    <row r="308" spans="2:44" ht="15.75" customHeight="1"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</row>
    <row r="309" spans="2:44" ht="15.75" customHeight="1"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</row>
    <row r="310" spans="2:44" ht="15.75" customHeight="1"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</row>
    <row r="311" spans="2:44" ht="15.75" customHeight="1"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</row>
    <row r="312" spans="2:44" ht="15.75" customHeight="1"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</row>
    <row r="313" spans="2:44" ht="15.75" customHeight="1"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</row>
    <row r="314" spans="2:44" ht="15.75" customHeight="1"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</row>
    <row r="315" spans="2:44" ht="15.75" customHeight="1"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</row>
    <row r="316" spans="2:44" ht="15.75" customHeight="1"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</row>
    <row r="317" spans="2:44" ht="15.75" customHeight="1"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</row>
    <row r="318" spans="2:44" ht="15.75" customHeight="1"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</row>
    <row r="319" spans="2:44" ht="15.75" customHeight="1"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</row>
    <row r="320" spans="2:44" ht="15.75" customHeight="1"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</row>
    <row r="321" spans="2:44" ht="15.75" customHeight="1"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</row>
    <row r="322" spans="2:44" ht="15.75" customHeight="1"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</row>
    <row r="323" spans="2:44" ht="15.75" customHeight="1"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</row>
    <row r="324" spans="2:44" ht="15.75" customHeight="1"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</row>
    <row r="325" spans="2:44" ht="15.75" customHeight="1"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</row>
    <row r="326" spans="2:44" ht="15.75" customHeight="1"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</row>
    <row r="327" spans="2:44" ht="15.75" customHeight="1"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</row>
    <row r="328" spans="2:44" ht="15.75" customHeight="1"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</row>
    <row r="329" spans="2:44" ht="15.75" customHeight="1"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</row>
    <row r="330" spans="2:44" ht="15.75" customHeight="1"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</row>
    <row r="331" spans="2:44" ht="15.75" customHeight="1"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</row>
    <row r="332" spans="2:44" ht="15.75" customHeight="1"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</row>
    <row r="333" spans="2:44" ht="15.75" customHeight="1"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</row>
    <row r="334" spans="2:44" ht="15.75" customHeight="1"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</row>
    <row r="335" spans="2:44" ht="15.75" customHeight="1"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</row>
    <row r="336" spans="2:44" ht="15.75" customHeight="1"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</row>
    <row r="337" spans="2:44" ht="15.75" customHeight="1"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</row>
    <row r="338" spans="2:44" ht="15.75" customHeight="1"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</row>
    <row r="339" spans="2:44" ht="15.75" customHeight="1"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</row>
    <row r="340" spans="2:44" ht="15.75" customHeight="1"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</row>
    <row r="341" spans="2:44" ht="15.75" customHeight="1"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</row>
    <row r="342" spans="2:44" ht="15.75" customHeight="1"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</row>
    <row r="343" spans="2:44" ht="15.75" customHeight="1"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</row>
    <row r="344" spans="2:44" ht="15.75" customHeight="1"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</row>
    <row r="345" spans="2:44" ht="15.75" customHeight="1"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</row>
    <row r="346" spans="2:44" ht="15.75" customHeight="1"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</row>
    <row r="347" spans="2:44" ht="15.75" customHeight="1"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</row>
    <row r="348" spans="2:44" ht="15.75" customHeight="1"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</row>
    <row r="349" spans="2:44" ht="15.75" customHeight="1"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</row>
    <row r="350" spans="2:44" ht="15.75" customHeight="1"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</row>
    <row r="351" spans="2:44" ht="15.75" customHeight="1"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</row>
    <row r="352" spans="2:44" ht="15.75" customHeight="1"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</row>
    <row r="353" spans="2:44" ht="15.75" customHeight="1"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</row>
    <row r="354" spans="2:44" ht="15.75" customHeight="1"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</row>
    <row r="355" spans="2:44" ht="15.75" customHeight="1"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</row>
    <row r="356" spans="2:44" ht="15.75" customHeight="1"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</row>
    <row r="357" spans="2:44" ht="15.75" customHeight="1"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</row>
    <row r="358" spans="2:44" ht="15.75" customHeight="1"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</row>
    <row r="359" spans="2:44" ht="15.75" customHeight="1"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</row>
    <row r="360" spans="2:44" ht="15.75" customHeight="1"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</row>
    <row r="361" spans="2:44" ht="15.75" customHeight="1"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</row>
    <row r="362" spans="2:44" ht="15.75" customHeight="1"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</row>
    <row r="363" spans="2:44" ht="15.75" customHeight="1"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</row>
    <row r="364" spans="2:44" ht="15.75" customHeight="1"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</row>
    <row r="365" spans="2:44" ht="15.75" customHeight="1"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</row>
    <row r="366" spans="2:44" ht="15.75" customHeight="1"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</row>
    <row r="367" spans="2:44" ht="15.75" customHeight="1"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</row>
    <row r="368" spans="2:44" ht="15.75" customHeight="1"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</row>
    <row r="369" spans="2:44" ht="15.75" customHeight="1"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</row>
    <row r="370" spans="2:44" ht="15.75" customHeight="1"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</row>
    <row r="371" spans="2:44" ht="15.75" customHeight="1"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</row>
    <row r="372" spans="2:44" ht="15.75" customHeight="1"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</row>
    <row r="373" spans="2:44" ht="15.75" customHeight="1"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</row>
    <row r="374" spans="2:44" ht="15.75" customHeight="1"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</row>
    <row r="375" spans="2:44" ht="15.75" customHeight="1"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</row>
    <row r="376" spans="2:44" ht="15.75" customHeight="1"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</row>
    <row r="377" spans="2:44" ht="15.75" customHeight="1"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</row>
    <row r="378" spans="2:44" ht="15.75" customHeight="1"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</row>
    <row r="379" spans="2:44" ht="15.75" customHeight="1"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</row>
    <row r="380" spans="2:44" ht="15.75" customHeight="1"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</row>
    <row r="381" spans="2:44" ht="15.75" customHeight="1"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</row>
    <row r="382" spans="2:44" ht="15.75" customHeight="1"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</row>
    <row r="383" spans="2:44" ht="15.75" customHeight="1"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</row>
    <row r="384" spans="2:44" ht="15.75" customHeight="1"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</row>
    <row r="385" spans="2:44" ht="15.75" customHeight="1"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</row>
    <row r="386" spans="2:44" ht="15.75" customHeight="1"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</row>
    <row r="387" spans="2:44" ht="15.75" customHeight="1"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</row>
    <row r="388" spans="2:44" ht="15.75" customHeight="1"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</row>
    <row r="389" spans="2:44" ht="15.75" customHeight="1"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</row>
    <row r="390" spans="2:44" ht="15.75" customHeight="1"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</row>
    <row r="391" spans="2:44" ht="15.75" customHeight="1"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</row>
    <row r="392" spans="2:44" ht="15.75" customHeight="1"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</row>
    <row r="393" spans="2:44" ht="15.75" customHeight="1"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</row>
    <row r="394" spans="2:44" ht="15.75" customHeight="1"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</row>
    <row r="395" spans="2:44" ht="15.75" customHeight="1"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</row>
    <row r="396" spans="2:44" ht="15.75" customHeight="1"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</row>
    <row r="397" spans="2:44" ht="15.75" customHeight="1"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</row>
    <row r="398" spans="2:44" ht="15.75" customHeight="1"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</row>
    <row r="399" spans="2:44" ht="15.75" customHeight="1"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</row>
    <row r="400" spans="2:44" ht="15.75" customHeight="1"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</row>
    <row r="401" spans="2:44" ht="15.75" customHeight="1"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</row>
    <row r="402" spans="2:44" ht="15.75" customHeight="1"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</row>
    <row r="403" spans="2:44" ht="15.75" customHeight="1"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</row>
    <row r="404" spans="2:44" ht="15.75" customHeight="1"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</row>
    <row r="405" spans="2:44" ht="15.75" customHeight="1"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</row>
    <row r="406" spans="2:44" ht="15.75" customHeight="1"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</row>
    <row r="407" spans="2:44" ht="15.75" customHeight="1"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</row>
    <row r="408" spans="2:44" ht="15.75" customHeight="1"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</row>
    <row r="409" spans="2:44" ht="15.75" customHeight="1"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</row>
    <row r="410" spans="2:44" ht="15.75" customHeight="1"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</row>
    <row r="411" spans="2:44" ht="15.75" customHeight="1"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</row>
    <row r="412" spans="2:44" ht="15.75" customHeight="1"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</row>
    <row r="413" spans="2:44" ht="15.75" customHeight="1"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</row>
    <row r="414" spans="2:44" ht="15.75" customHeight="1"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</row>
    <row r="415" spans="2:44" ht="15.75" customHeight="1"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</row>
    <row r="416" spans="2:44" ht="15.75" customHeight="1"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</row>
    <row r="417" spans="2:44" ht="15.75" customHeight="1"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</row>
    <row r="418" spans="2:44" ht="15.75" customHeight="1"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</row>
    <row r="419" spans="2:44" ht="15.75" customHeight="1"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</row>
    <row r="420" spans="2:44" ht="15.75" customHeight="1"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</row>
    <row r="421" spans="2:44" ht="15.75" customHeight="1"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</row>
    <row r="422" spans="2:44" ht="15.75" customHeight="1"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</row>
    <row r="423" spans="2:44" ht="15.75" customHeight="1"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</row>
    <row r="424" spans="2:44" ht="15.75" customHeight="1"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</row>
    <row r="425" spans="2:44" ht="15.75" customHeight="1"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</row>
    <row r="426" spans="2:44" ht="15.75" customHeight="1"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</row>
    <row r="427" spans="2:44" ht="15.75" customHeight="1"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</row>
    <row r="428" spans="2:44" ht="15.75" customHeight="1"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</row>
    <row r="429" spans="2:44" ht="15.75" customHeight="1"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</row>
    <row r="430" spans="2:44" ht="15.75" customHeight="1"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</row>
    <row r="431" spans="2:44" ht="15.75" customHeight="1"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</row>
    <row r="432" spans="2:44" ht="15.75" customHeight="1"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</row>
    <row r="433" spans="2:44" ht="15.75" customHeight="1"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</row>
    <row r="434" spans="2:44" ht="15.75" customHeight="1"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</row>
    <row r="435" spans="2:44" ht="15.75" customHeight="1"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</row>
    <row r="436" spans="2:44" ht="15.75" customHeight="1"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</row>
    <row r="437" spans="2:44" ht="15.75" customHeight="1"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</row>
    <row r="438" spans="2:44" ht="15.75" customHeight="1"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</row>
    <row r="439" spans="2:44" ht="15.75" customHeight="1"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</row>
    <row r="440" spans="2:44" ht="15.75" customHeight="1"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</row>
    <row r="441" spans="2:44" ht="15.75" customHeight="1"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</row>
    <row r="442" spans="2:44" ht="15.75" customHeight="1"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</row>
    <row r="443" spans="2:44" ht="15.75" customHeight="1"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</row>
    <row r="444" spans="2:44" ht="15.75" customHeight="1"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</row>
    <row r="445" spans="2:44" ht="15.75" customHeight="1"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</row>
    <row r="446" spans="2:44" ht="15.75" customHeight="1"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</row>
    <row r="447" spans="2:44" ht="15.75" customHeight="1"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</row>
    <row r="448" spans="2:44" ht="15.75" customHeight="1"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</row>
    <row r="449" spans="2:44" ht="15.75" customHeight="1"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</row>
    <row r="450" spans="2:44" ht="15.75" customHeight="1"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</row>
    <row r="451" spans="2:44" ht="15.75" customHeight="1"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</row>
    <row r="452" spans="2:44" ht="15.75" customHeight="1"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</row>
    <row r="453" spans="2:44" ht="15.75" customHeight="1"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</row>
    <row r="454" spans="2:44" ht="15.75" customHeight="1"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</row>
    <row r="455" spans="2:44" ht="15.75" customHeight="1"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</row>
    <row r="456" spans="2:44" ht="15.75" customHeight="1"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</row>
    <row r="457" spans="2:44" ht="15.75" customHeight="1"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</row>
    <row r="458" spans="2:44" ht="15.75" customHeight="1"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</row>
    <row r="459" spans="2:44" ht="15.75" customHeight="1"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</row>
    <row r="460" spans="2:44" ht="15.75" customHeight="1"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</row>
    <row r="461" spans="2:44" ht="15.75" customHeight="1"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</row>
    <row r="462" spans="2:44" ht="15.75" customHeight="1"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</row>
    <row r="463" spans="2:44" ht="15.75" customHeight="1"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</row>
    <row r="464" spans="2:44" ht="15.75" customHeight="1"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</row>
    <row r="465" spans="2:44" ht="15.75" customHeight="1"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</row>
    <row r="466" spans="2:44" ht="15.75" customHeight="1"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</row>
    <row r="467" spans="2:44" ht="15.75" customHeight="1"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</row>
    <row r="468" spans="2:44" ht="15.75" customHeight="1"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</row>
    <row r="469" spans="2:44" ht="15.75" customHeight="1"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</row>
    <row r="470" spans="2:44" ht="15.75" customHeight="1"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</row>
    <row r="471" spans="2:44" ht="15.75" customHeight="1"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</row>
    <row r="472" spans="2:44" ht="15.75" customHeight="1"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</row>
    <row r="473" spans="2:44" ht="15.75" customHeight="1"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</row>
    <row r="474" spans="2:44" ht="15.75" customHeight="1"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</row>
    <row r="475" spans="2:44" ht="15.75" customHeight="1"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</row>
    <row r="476" spans="2:44" ht="15.75" customHeight="1"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</row>
    <row r="477" spans="2:44" ht="15.75" customHeight="1"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</row>
    <row r="478" spans="2:44" ht="15.75" customHeight="1"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</row>
    <row r="479" spans="2:44" ht="15.75" customHeight="1"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</row>
    <row r="480" spans="2:44" ht="15.75" customHeight="1"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</row>
    <row r="481" spans="2:44" ht="15.75" customHeight="1"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</row>
    <row r="482" spans="2:44" ht="15.75" customHeight="1"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</row>
    <row r="483" spans="2:44" ht="15.75" customHeight="1"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</row>
    <row r="484" spans="2:44" ht="15.75" customHeight="1"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</row>
    <row r="485" spans="2:44" ht="15.75" customHeight="1"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</row>
    <row r="486" spans="2:44" ht="15.75" customHeight="1"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</row>
    <row r="487" spans="2:44" ht="15.75" customHeight="1"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</row>
    <row r="488" spans="2:44" ht="15.75" customHeight="1"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</row>
    <row r="489" spans="2:44" ht="15.75" customHeight="1"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</row>
    <row r="490" spans="2:44" ht="15.75" customHeight="1"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</row>
    <row r="491" spans="2:44" ht="15.75" customHeight="1"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</row>
    <row r="492" spans="2:44" ht="15.75" customHeight="1"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</row>
    <row r="493" spans="2:44" ht="15.75" customHeight="1"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</row>
    <row r="494" spans="2:44" ht="15.75" customHeight="1"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</row>
    <row r="495" spans="2:44" ht="15.75" customHeight="1"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</row>
    <row r="496" spans="2:44" ht="15.75" customHeight="1"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</row>
    <row r="497" spans="2:44" ht="15.75" customHeight="1"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</row>
    <row r="498" spans="2:44" ht="15.75" customHeight="1"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</row>
    <row r="499" spans="2:44" ht="15.75" customHeight="1"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</row>
    <row r="500" spans="2:44" ht="15.75" customHeight="1"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</row>
    <row r="501" spans="2:44" ht="15.75" customHeight="1"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</row>
    <row r="502" spans="2:44" ht="15.75" customHeight="1"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</row>
    <row r="503" spans="2:44" ht="15.75" customHeight="1"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</row>
    <row r="504" spans="2:44" ht="15.75" customHeight="1"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</row>
    <row r="505" spans="2:44" ht="15.75" customHeight="1"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</row>
    <row r="506" spans="2:44" ht="15.75" customHeight="1"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</row>
    <row r="507" spans="2:44" ht="15.75" customHeight="1"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</row>
    <row r="508" spans="2:44" ht="15.75" customHeight="1"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</row>
    <row r="509" spans="2:44" ht="15.75" customHeight="1"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</row>
    <row r="510" spans="2:44" ht="15.75" customHeight="1"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</row>
    <row r="511" spans="2:44" ht="15.75" customHeight="1"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</row>
    <row r="512" spans="2:44" ht="15.75" customHeight="1"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</row>
    <row r="513" spans="2:44" ht="15.75" customHeight="1"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</row>
    <row r="514" spans="2:44" ht="15.75" customHeight="1"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</row>
    <row r="515" spans="2:44" ht="15.75" customHeight="1"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</row>
    <row r="516" spans="2:44" ht="15.75" customHeight="1"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</row>
    <row r="517" spans="2:44" ht="15.75" customHeight="1"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</row>
    <row r="518" spans="2:44" ht="15.75" customHeight="1"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</row>
    <row r="519" spans="2:44" ht="15.75" customHeight="1"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</row>
    <row r="520" spans="2:44" ht="15.75" customHeight="1"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</row>
    <row r="521" spans="2:44" ht="15.75" customHeight="1"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</row>
    <row r="522" spans="2:44" ht="15.75" customHeight="1"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</row>
    <row r="523" spans="2:44" ht="15.75" customHeight="1"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</row>
    <row r="524" spans="2:44" ht="15.75" customHeight="1"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</row>
    <row r="525" spans="2:44" ht="15.75" customHeight="1"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</row>
    <row r="526" spans="2:44" ht="15.75" customHeight="1"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</row>
    <row r="527" spans="2:44" ht="15.75" customHeight="1"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</row>
    <row r="528" spans="2:44" ht="15.75" customHeight="1"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</row>
    <row r="529" spans="2:44" ht="15.75" customHeight="1"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</row>
    <row r="530" spans="2:44" ht="15.75" customHeight="1"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</row>
    <row r="531" spans="2:44" ht="15.75" customHeight="1"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</row>
    <row r="532" spans="2:44" ht="15.75" customHeight="1"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</row>
    <row r="533" spans="2:44" ht="15.75" customHeight="1"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</row>
    <row r="534" spans="2:44" ht="15.75" customHeight="1"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</row>
    <row r="535" spans="2:44" ht="15.75" customHeight="1"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</row>
    <row r="536" spans="2:44" ht="15.75" customHeight="1"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</row>
    <row r="537" spans="2:44" ht="15.75" customHeight="1"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</row>
    <row r="538" spans="2:44" ht="15.75" customHeight="1"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</row>
    <row r="539" spans="2:44" ht="15.75" customHeight="1"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</row>
    <row r="540" spans="2:44" ht="15.75" customHeight="1"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</row>
    <row r="541" spans="2:44" ht="15.75" customHeight="1"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</row>
    <row r="542" spans="2:44" ht="15.75" customHeight="1"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</row>
    <row r="543" spans="2:44" ht="15.75" customHeight="1"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</row>
    <row r="544" spans="2:44" ht="15.75" customHeight="1"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</row>
    <row r="545" spans="2:44" ht="15.75" customHeight="1"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</row>
    <row r="546" spans="2:44" ht="15.75" customHeight="1"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</row>
    <row r="547" spans="2:44" ht="15.75" customHeight="1"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</row>
    <row r="548" spans="2:44" ht="15.75" customHeight="1"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</row>
    <row r="549" spans="2:44" ht="15.75" customHeight="1"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</row>
    <row r="550" spans="2:44" ht="15.75" customHeight="1"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</row>
    <row r="551" spans="2:44" ht="15.75" customHeight="1"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</row>
    <row r="552" spans="2:44" ht="15.75" customHeight="1"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</row>
    <row r="553" spans="2:44" ht="15.75" customHeight="1"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</row>
    <row r="554" spans="2:44" ht="15.75" customHeight="1"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</row>
    <row r="555" spans="2:44" ht="15.75" customHeight="1"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</row>
    <row r="556" spans="2:44" ht="15.75" customHeight="1"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</row>
    <row r="557" spans="2:44" ht="15.75" customHeight="1"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</row>
    <row r="558" spans="2:44" ht="15.75" customHeight="1"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</row>
    <row r="559" spans="2:44" ht="15.75" customHeight="1"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</row>
    <row r="560" spans="2:44" ht="15.75" customHeight="1"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</row>
    <row r="561" spans="2:44" ht="15.75" customHeight="1"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</row>
    <row r="562" spans="2:44" ht="15.75" customHeight="1"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</row>
    <row r="563" spans="2:44" ht="15.75" customHeight="1"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</row>
    <row r="564" spans="2:44" ht="15.75" customHeight="1"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</row>
    <row r="565" spans="2:44" ht="15.75" customHeight="1"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</row>
    <row r="566" spans="2:44" ht="15.75" customHeight="1"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</row>
    <row r="567" spans="2:44" ht="15.75" customHeight="1"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</row>
    <row r="568" spans="2:44" ht="15.75" customHeight="1"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</row>
    <row r="569" spans="2:44" ht="15.75" customHeight="1"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</row>
    <row r="570" spans="2:44" ht="15.75" customHeight="1"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</row>
    <row r="571" spans="2:44" ht="15.75" customHeight="1"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</row>
    <row r="572" spans="2:44" ht="15.75" customHeight="1"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</row>
    <row r="573" spans="2:44" ht="15.75" customHeight="1"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</row>
    <row r="574" spans="2:44" ht="15.75" customHeight="1"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</row>
    <row r="575" spans="2:44" ht="15.75" customHeight="1"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</row>
    <row r="576" spans="2:44" ht="15.75" customHeight="1"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</row>
    <row r="577" spans="2:44" ht="15.75" customHeight="1"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</row>
    <row r="578" spans="2:44" ht="15.75" customHeight="1"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</row>
    <row r="579" spans="2:44" ht="15.75" customHeight="1"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</row>
    <row r="580" spans="2:44" ht="15.75" customHeight="1"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</row>
    <row r="581" spans="2:44" ht="15.75" customHeight="1"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</row>
    <row r="582" spans="2:44" ht="15.75" customHeight="1"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</row>
    <row r="583" spans="2:44" ht="15.75" customHeight="1"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</row>
    <row r="584" spans="2:44" ht="15.75" customHeight="1"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</row>
    <row r="585" spans="2:44" ht="15.75" customHeight="1"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</row>
    <row r="586" spans="2:44" ht="15.75" customHeight="1"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</row>
    <row r="587" spans="2:44" ht="15.75" customHeight="1"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</row>
    <row r="588" spans="2:44" ht="15.75" customHeight="1"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</row>
    <row r="589" spans="2:44" ht="15.75" customHeight="1"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</row>
    <row r="590" spans="2:44" ht="15.75" customHeight="1"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</row>
    <row r="591" spans="2:44" ht="15.75" customHeight="1"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</row>
    <row r="592" spans="2:44" ht="15.75" customHeight="1"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</row>
    <row r="593" spans="2:44" ht="15.75" customHeight="1"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</row>
    <row r="594" spans="2:44" ht="15.75" customHeight="1"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</row>
    <row r="595" spans="2:44" ht="15.75" customHeight="1"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</row>
    <row r="596" spans="2:44" ht="15.75" customHeight="1"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</row>
    <row r="597" spans="2:44" ht="15.75" customHeight="1"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</row>
    <row r="598" spans="2:44" ht="15.75" customHeight="1"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</row>
    <row r="599" spans="2:44" ht="15.75" customHeight="1"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</row>
    <row r="600" spans="2:44" ht="15.75" customHeight="1"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</row>
    <row r="601" spans="2:44" ht="15.75" customHeight="1"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</row>
    <row r="602" spans="2:44" ht="15.75" customHeight="1"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</row>
    <row r="603" spans="2:44" ht="15.75" customHeight="1"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</row>
    <row r="604" spans="2:44" ht="15.75" customHeight="1"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</row>
    <row r="605" spans="2:44" ht="15.75" customHeight="1"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</row>
    <row r="606" spans="2:44" ht="15.75" customHeight="1"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</row>
    <row r="607" spans="2:44" ht="15.75" customHeight="1"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</row>
    <row r="608" spans="2:44" ht="15.75" customHeight="1"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</row>
    <row r="609" spans="2:44" ht="15.75" customHeight="1"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</row>
    <row r="610" spans="2:44" ht="15.75" customHeight="1"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</row>
    <row r="611" spans="2:44" ht="15.75" customHeight="1"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</row>
    <row r="612" spans="2:44" ht="15.75" customHeight="1"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</row>
    <row r="613" spans="2:44" ht="15.75" customHeight="1"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</row>
    <row r="614" spans="2:44" ht="15.75" customHeight="1"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</row>
    <row r="615" spans="2:44" ht="15.75" customHeight="1"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</row>
    <row r="616" spans="2:44" ht="15.75" customHeight="1"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</row>
    <row r="617" spans="2:44" ht="15.75" customHeight="1"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</row>
    <row r="618" spans="2:44" ht="15.75" customHeight="1"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</row>
    <row r="619" spans="2:44" ht="15.75" customHeight="1"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</row>
    <row r="620" spans="2:44" ht="15.75" customHeight="1"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</row>
    <row r="621" spans="2:44" ht="15.75" customHeight="1"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</row>
    <row r="622" spans="2:44" ht="15.75" customHeight="1"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</row>
    <row r="623" spans="2:44" ht="15.75" customHeight="1"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</row>
    <row r="624" spans="2:44" ht="15.75" customHeight="1"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</row>
    <row r="625" spans="2:44" ht="15.75" customHeight="1"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</row>
    <row r="626" spans="2:44" ht="15.75" customHeight="1"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</row>
    <row r="627" spans="2:44" ht="15.75" customHeight="1"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</row>
    <row r="628" spans="2:44" ht="15.75" customHeight="1"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</row>
    <row r="629" spans="2:44" ht="15.75" customHeight="1"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</row>
    <row r="630" spans="2:44" ht="15.75" customHeight="1"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</row>
    <row r="631" spans="2:44" ht="15.75" customHeight="1"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</row>
    <row r="632" spans="2:44" ht="15.75" customHeight="1"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</row>
    <row r="633" spans="2:44" ht="15.75" customHeight="1"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</row>
    <row r="634" spans="2:44" ht="15.75" customHeight="1"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</row>
    <row r="635" spans="2:44" ht="15.75" customHeight="1"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</row>
    <row r="636" spans="2:44" ht="15.75" customHeight="1"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</row>
    <row r="637" spans="2:44" ht="15.75" customHeight="1"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</row>
    <row r="638" spans="2:44" ht="15.75" customHeight="1"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</row>
    <row r="639" spans="2:44" ht="15.75" customHeight="1"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</row>
    <row r="640" spans="2:44" ht="15.75" customHeight="1"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</row>
    <row r="641" spans="2:44" ht="15.75" customHeight="1"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</row>
    <row r="642" spans="2:44" ht="15.75" customHeight="1"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</row>
    <row r="643" spans="2:44" ht="15.75" customHeight="1"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</row>
    <row r="644" spans="2:44" ht="15.75" customHeight="1"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</row>
    <row r="645" spans="2:44" ht="15.75" customHeight="1"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</row>
    <row r="646" spans="2:44" ht="15.75" customHeight="1"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</row>
    <row r="647" spans="2:44" ht="15.75" customHeight="1"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</row>
    <row r="648" spans="2:44" ht="15.75" customHeight="1"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</row>
    <row r="649" spans="2:44" ht="15.75" customHeight="1"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</row>
    <row r="650" spans="2:44" ht="15.75" customHeight="1"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</row>
    <row r="651" spans="2:44" ht="15.75" customHeight="1"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</row>
    <row r="652" spans="2:44" ht="15.75" customHeight="1"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</row>
    <row r="653" spans="2:44" ht="15.75" customHeight="1"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</row>
    <row r="654" spans="2:44" ht="15.75" customHeight="1"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</row>
    <row r="655" spans="2:44" ht="15.75" customHeight="1"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</row>
    <row r="656" spans="2:44" ht="15.75" customHeight="1"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</row>
    <row r="657" spans="2:44" ht="15.75" customHeight="1"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</row>
    <row r="658" spans="2:44" ht="15.75" customHeight="1"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</row>
    <row r="659" spans="2:44" ht="15.75" customHeight="1"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</row>
    <row r="660" spans="2:44" ht="15.75" customHeight="1"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</row>
    <row r="661" spans="2:44" ht="15.75" customHeight="1"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</row>
    <row r="662" spans="2:44" ht="15.75" customHeight="1"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</row>
    <row r="663" spans="2:44" ht="15.75" customHeight="1"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</row>
    <row r="664" spans="2:44" ht="15.75" customHeight="1"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</row>
    <row r="665" spans="2:44" ht="15.75" customHeight="1"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</row>
    <row r="666" spans="2:44" ht="15.75" customHeight="1"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</row>
    <row r="667" spans="2:44" ht="15.75" customHeight="1"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</row>
    <row r="668" spans="2:44" ht="15.75" customHeight="1"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</row>
    <row r="669" spans="2:44" ht="15.75" customHeight="1"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</row>
    <row r="670" spans="2:44" ht="15.75" customHeight="1"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</row>
    <row r="671" spans="2:44" ht="15.75" customHeight="1"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</row>
    <row r="672" spans="2:44" ht="15.75" customHeight="1"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</row>
    <row r="673" spans="2:44" ht="15.75" customHeight="1"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</row>
    <row r="674" spans="2:44" ht="15.75" customHeight="1"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</row>
    <row r="675" spans="2:44" ht="15.75" customHeight="1"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</row>
    <row r="676" spans="2:44" ht="15.75" customHeight="1"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</row>
    <row r="677" spans="2:44" ht="15.75" customHeight="1"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</row>
    <row r="678" spans="2:44" ht="15.75" customHeight="1"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</row>
    <row r="679" spans="2:44" ht="15.75" customHeight="1"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</row>
    <row r="680" spans="2:44" ht="15.75" customHeight="1"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</row>
    <row r="681" spans="2:44" ht="15.75" customHeight="1"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</row>
    <row r="682" spans="2:44" ht="15.75" customHeight="1"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</row>
    <row r="683" spans="2:44" ht="15.75" customHeight="1"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</row>
    <row r="684" spans="2:44" ht="15.75" customHeight="1"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</row>
    <row r="685" spans="2:44" ht="15.75" customHeight="1"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</row>
    <row r="686" spans="2:44" ht="15.75" customHeight="1"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</row>
    <row r="687" spans="2:44" ht="15.75" customHeight="1"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</row>
    <row r="688" spans="2:44" ht="15.75" customHeight="1"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</row>
    <row r="689" spans="2:44" ht="15.75" customHeight="1"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</row>
    <row r="690" spans="2:44" ht="15.75" customHeight="1"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</row>
    <row r="691" spans="2:44" ht="15.75" customHeight="1"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</row>
    <row r="692" spans="2:44" ht="15.75" customHeight="1"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</row>
    <row r="693" spans="2:44" ht="15.75" customHeight="1"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</row>
    <row r="694" spans="2:44" ht="15.75" customHeight="1"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</row>
    <row r="695" spans="2:44" ht="15.75" customHeight="1"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</row>
    <row r="696" spans="2:44" ht="15.75" customHeight="1"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</row>
    <row r="697" spans="2:44" ht="15.75" customHeight="1"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</row>
    <row r="698" spans="2:44" ht="15.75" customHeight="1"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</row>
    <row r="699" spans="2:44" ht="15.75" customHeight="1"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</row>
    <row r="700" spans="2:44" ht="15.75" customHeight="1"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</row>
    <row r="701" spans="2:44" ht="15.75" customHeight="1"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</row>
    <row r="702" spans="2:44" ht="15.75" customHeight="1"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</row>
    <row r="703" spans="2:44" ht="15.75" customHeight="1"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</row>
    <row r="704" spans="2:44" ht="15.75" customHeight="1"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</row>
    <row r="705" spans="2:44" ht="15.75" customHeight="1"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</row>
    <row r="706" spans="2:44" ht="15.75" customHeight="1"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</row>
    <row r="707" spans="2:44" ht="15.75" customHeight="1"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</row>
    <row r="708" spans="2:44" ht="15.75" customHeight="1"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</row>
    <row r="709" spans="2:44" ht="15.75" customHeight="1"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</row>
    <row r="710" spans="2:44" ht="15.75" customHeight="1"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</row>
    <row r="711" spans="2:44" ht="15.75" customHeight="1"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</row>
    <row r="712" spans="2:44" ht="15.75" customHeight="1"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</row>
    <row r="713" spans="2:44" ht="15.75" customHeight="1"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</row>
    <row r="714" spans="2:44" ht="15.75" customHeight="1"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</row>
    <row r="715" spans="2:44" ht="15.75" customHeight="1"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</row>
    <row r="716" spans="2:44" ht="15.75" customHeight="1"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</row>
    <row r="717" spans="2:44" ht="15.75" customHeight="1"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</row>
    <row r="718" spans="2:44" ht="15.75" customHeight="1"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</row>
    <row r="719" spans="2:44" ht="15.75" customHeight="1"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</row>
    <row r="720" spans="2:44" ht="15.75" customHeight="1"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</row>
    <row r="721" spans="2:44" ht="15.75" customHeight="1"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</row>
    <row r="722" spans="2:44" ht="15.75" customHeight="1"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</row>
    <row r="723" spans="2:44" ht="15.75" customHeight="1"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</row>
    <row r="724" spans="2:44" ht="15.75" customHeight="1"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</row>
    <row r="725" spans="2:44" ht="15.75" customHeight="1"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</row>
    <row r="726" spans="2:44" ht="15.75" customHeight="1"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</row>
    <row r="727" spans="2:44" ht="15.75" customHeight="1"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</row>
    <row r="728" spans="2:44" ht="15.75" customHeight="1"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</row>
    <row r="729" spans="2:44" ht="15.75" customHeight="1"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</row>
    <row r="730" spans="2:44" ht="15.75" customHeight="1"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</row>
    <row r="731" spans="2:44" ht="15.75" customHeight="1"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</row>
    <row r="732" spans="2:44" ht="15.75" customHeight="1"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</row>
    <row r="733" spans="2:44" ht="15.75" customHeight="1"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</row>
    <row r="734" spans="2:44" ht="15.75" customHeight="1"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</row>
    <row r="735" spans="2:44" ht="15.75" customHeight="1"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</row>
    <row r="736" spans="2:44" ht="15.75" customHeight="1"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</row>
    <row r="737" spans="2:44" ht="15.75" customHeight="1"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</row>
    <row r="738" spans="2:44" ht="15.75" customHeight="1"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</row>
    <row r="739" spans="2:44" ht="15.75" customHeight="1"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</row>
    <row r="740" spans="2:44" ht="15.75" customHeight="1"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</row>
    <row r="741" spans="2:44" ht="15.75" customHeight="1"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</row>
    <row r="742" spans="2:44" ht="15.75" customHeight="1"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</row>
    <row r="743" spans="2:44" ht="15.75" customHeight="1"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</row>
    <row r="744" spans="2:44" ht="15.75" customHeight="1"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</row>
    <row r="745" spans="2:44" ht="15.75" customHeight="1"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</row>
    <row r="746" spans="2:44" ht="15.75" customHeight="1"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</row>
    <row r="747" spans="2:44" ht="15.75" customHeight="1"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</row>
    <row r="748" spans="2:44" ht="15.75" customHeight="1"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</row>
    <row r="749" spans="2:44" ht="15.75" customHeight="1"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</row>
    <row r="750" spans="2:44" ht="15.75" customHeight="1"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</row>
    <row r="751" spans="2:44" ht="15.75" customHeight="1"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</row>
    <row r="752" spans="2:44" ht="15.75" customHeight="1"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</row>
    <row r="753" spans="2:44" ht="15.75" customHeight="1"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</row>
    <row r="754" spans="2:44" ht="15.75" customHeight="1"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</row>
    <row r="755" spans="2:44" ht="15.75" customHeight="1"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</row>
    <row r="756" spans="2:44" ht="15.75" customHeight="1"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</row>
    <row r="757" spans="2:44" ht="15.75" customHeight="1"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</row>
    <row r="758" spans="2:44" ht="15.75" customHeight="1"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</row>
    <row r="759" spans="2:44" ht="15.75" customHeight="1"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</row>
    <row r="760" spans="2:44" ht="15.75" customHeight="1"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</row>
    <row r="761" spans="2:44" ht="15.75" customHeight="1"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</row>
    <row r="762" spans="2:44" ht="15.75" customHeight="1"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</row>
    <row r="763" spans="2:44" ht="15.75" customHeight="1"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</row>
    <row r="764" spans="2:44" ht="15.75" customHeight="1"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</row>
    <row r="765" spans="2:44" ht="15.75" customHeight="1"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</row>
    <row r="766" spans="2:44" ht="15.75" customHeight="1"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</row>
    <row r="767" spans="2:44" ht="15.75" customHeight="1"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</row>
    <row r="768" spans="2:44" ht="15.75" customHeight="1"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</row>
    <row r="769" spans="2:44" ht="15.75" customHeight="1"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</row>
    <row r="770" spans="2:44" ht="15.75" customHeight="1"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</row>
  </sheetData>
  <mergeCells count="9">
    <mergeCell ref="AG5:AG6"/>
    <mergeCell ref="AH5:AH6"/>
    <mergeCell ref="AI5:AI6"/>
    <mergeCell ref="B5:B6"/>
    <mergeCell ref="C5:N5"/>
    <mergeCell ref="P5:P6"/>
    <mergeCell ref="Q5:Q6"/>
    <mergeCell ref="R5:R6"/>
    <mergeCell ref="T5:AE5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70C0"/>
    <outlinePr summaryBelow="0" summaryRight="0"/>
  </sheetPr>
  <dimension ref="B1:AJ983"/>
  <sheetViews>
    <sheetView showGridLines="0" topLeftCell="B1" zoomScale="80" zoomScaleNormal="80" workbookViewId="0">
      <selection activeCell="AB20" sqref="AB20"/>
    </sheetView>
  </sheetViews>
  <sheetFormatPr baseColWidth="10" defaultColWidth="12.6640625" defaultRowHeight="15.75" customHeight="1"/>
  <cols>
    <col min="2" max="2" width="45.6640625" style="58" customWidth="1"/>
    <col min="3" max="3" width="2.6640625" style="58" customWidth="1"/>
    <col min="4" max="8" width="12.6640625" style="58" hidden="1" customWidth="1"/>
    <col min="9" max="9" width="12.109375" style="58" hidden="1" customWidth="1"/>
    <col min="10" max="10" width="16.88671875" style="58" hidden="1" customWidth="1"/>
    <col min="11" max="11" width="12.6640625" style="58" hidden="1" customWidth="1"/>
    <col min="12" max="15" width="13.88671875" style="58" hidden="1" customWidth="1"/>
    <col min="16" max="19" width="12.6640625" style="58" hidden="1" customWidth="1"/>
    <col min="20" max="20" width="2.88671875" style="58" customWidth="1"/>
    <col min="21" max="25" width="12.6640625" style="58"/>
    <col min="26" max="26" width="12.109375" style="58" customWidth="1"/>
    <col min="27" max="27" width="16.88671875" style="58" bestFit="1" customWidth="1"/>
    <col min="28" max="28" width="12.6640625" style="58" bestFit="1" customWidth="1"/>
    <col min="29" max="31" width="13.88671875" style="58" bestFit="1" customWidth="1"/>
    <col min="32" max="32" width="14.88671875" style="58" bestFit="1" customWidth="1"/>
    <col min="33" max="36" width="12.6640625" style="58"/>
  </cols>
  <sheetData>
    <row r="1" spans="2:36" ht="15.75" customHeight="1">
      <c r="B1" s="4"/>
      <c r="C1" s="4"/>
      <c r="D1" s="4"/>
      <c r="E1" s="4"/>
      <c r="F1" s="4"/>
      <c r="G1" s="4"/>
      <c r="H1" s="5"/>
      <c r="I1" s="6">
        <v>44348</v>
      </c>
      <c r="J1" s="6">
        <v>44378</v>
      </c>
      <c r="K1" s="7" t="s">
        <v>0</v>
      </c>
      <c r="L1" s="6">
        <v>44440</v>
      </c>
      <c r="M1" s="6">
        <v>44470</v>
      </c>
      <c r="N1" s="6">
        <v>44501</v>
      </c>
      <c r="O1" s="7" t="s">
        <v>1</v>
      </c>
      <c r="P1" s="4"/>
      <c r="Q1" s="4"/>
      <c r="R1" s="4"/>
      <c r="S1" s="4"/>
      <c r="T1" s="4"/>
      <c r="U1" s="4"/>
      <c r="V1" s="4"/>
      <c r="W1" s="4"/>
      <c r="X1" s="4"/>
      <c r="Y1" s="5"/>
      <c r="Z1" s="6">
        <v>44348</v>
      </c>
      <c r="AA1" s="6">
        <v>44378</v>
      </c>
      <c r="AB1" s="7" t="s">
        <v>0</v>
      </c>
      <c r="AC1" s="6">
        <v>44440</v>
      </c>
      <c r="AD1" s="6">
        <v>44470</v>
      </c>
      <c r="AE1" s="6">
        <v>44501</v>
      </c>
      <c r="AF1" s="7" t="s">
        <v>1</v>
      </c>
      <c r="AG1" s="4"/>
      <c r="AH1" s="4"/>
      <c r="AI1" s="4"/>
      <c r="AJ1" s="4"/>
    </row>
    <row r="2" spans="2:36" ht="7.95" customHeight="1"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4"/>
      <c r="AH2" s="4"/>
      <c r="AI2" s="4"/>
      <c r="AJ2" s="4"/>
    </row>
    <row r="3" spans="2:36" ht="38.4" customHeight="1">
      <c r="B3" s="193" t="s">
        <v>103</v>
      </c>
      <c r="C3" s="171"/>
      <c r="D3" s="171"/>
      <c r="E3" s="171"/>
      <c r="F3" s="4"/>
      <c r="G3" s="4"/>
      <c r="H3" s="5"/>
      <c r="I3" s="9">
        <v>187</v>
      </c>
      <c r="J3" s="9">
        <v>249</v>
      </c>
      <c r="K3" s="9">
        <v>41</v>
      </c>
      <c r="L3" s="9">
        <v>171</v>
      </c>
      <c r="M3" s="9">
        <v>181</v>
      </c>
      <c r="N3" s="9">
        <v>419</v>
      </c>
      <c r="O3" s="9">
        <v>291</v>
      </c>
      <c r="P3" s="4"/>
      <c r="Q3" s="4"/>
      <c r="R3" s="4"/>
      <c r="S3" s="4"/>
      <c r="T3" s="171"/>
      <c r="U3" s="193"/>
      <c r="V3" s="193"/>
      <c r="W3" s="4"/>
      <c r="X3" s="4"/>
      <c r="Y3" s="5"/>
      <c r="Z3" s="9">
        <v>187</v>
      </c>
      <c r="AA3" s="9">
        <v>249</v>
      </c>
      <c r="AB3" s="9">
        <v>41</v>
      </c>
      <c r="AC3" s="9">
        <v>171</v>
      </c>
      <c r="AD3" s="9">
        <v>181</v>
      </c>
      <c r="AE3" s="9">
        <v>419</v>
      </c>
      <c r="AF3" s="9">
        <v>291</v>
      </c>
      <c r="AG3" s="4"/>
      <c r="AH3" s="4"/>
      <c r="AI3" s="4"/>
      <c r="AJ3" s="4"/>
    </row>
    <row r="4" spans="2:36" ht="33.75" customHeight="1">
      <c r="B4" s="171"/>
      <c r="C4" s="171"/>
      <c r="D4" s="182"/>
      <c r="E4" s="183"/>
      <c r="F4" s="183"/>
      <c r="G4" s="183"/>
      <c r="H4" s="183"/>
      <c r="I4" s="183"/>
      <c r="J4" s="183">
        <v>2022</v>
      </c>
      <c r="K4" s="183"/>
      <c r="L4" s="183"/>
      <c r="M4" s="183"/>
      <c r="N4" s="183"/>
      <c r="O4" s="184"/>
      <c r="P4" s="4"/>
      <c r="Q4" s="4"/>
      <c r="R4" s="4"/>
      <c r="S4" s="4"/>
      <c r="T4" s="171"/>
      <c r="U4" s="182"/>
      <c r="V4" s="183"/>
      <c r="W4" s="183"/>
      <c r="X4" s="183"/>
      <c r="Y4" s="183"/>
      <c r="Z4" s="183"/>
      <c r="AA4" s="183">
        <v>2023</v>
      </c>
      <c r="AB4" s="183"/>
      <c r="AC4" s="183"/>
      <c r="AD4" s="183"/>
      <c r="AE4" s="183"/>
      <c r="AF4" s="184"/>
      <c r="AG4" s="4"/>
      <c r="AH4" s="4"/>
      <c r="AI4" s="4"/>
      <c r="AJ4" s="4"/>
    </row>
    <row r="5" spans="2:36" ht="15.75" customHeight="1">
      <c r="B5" s="306" t="s">
        <v>2</v>
      </c>
      <c r="C5" s="171"/>
      <c r="D5" s="307" t="s">
        <v>3</v>
      </c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4"/>
      <c r="Q5" s="305" t="s">
        <v>5</v>
      </c>
      <c r="R5" s="305" t="s">
        <v>6</v>
      </c>
      <c r="S5" s="305" t="s">
        <v>7</v>
      </c>
      <c r="T5" s="171"/>
      <c r="U5" s="307" t="s">
        <v>4</v>
      </c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4"/>
      <c r="AH5" s="305" t="s">
        <v>5</v>
      </c>
      <c r="AI5" s="305" t="s">
        <v>6</v>
      </c>
      <c r="AJ5" s="305" t="s">
        <v>115</v>
      </c>
    </row>
    <row r="6" spans="2:36" ht="15.75" customHeight="1">
      <c r="B6" s="306"/>
      <c r="C6" s="171"/>
      <c r="D6" s="10" t="s">
        <v>8</v>
      </c>
      <c r="E6" s="11">
        <v>44593</v>
      </c>
      <c r="F6" s="11">
        <v>44621</v>
      </c>
      <c r="G6" s="10" t="s">
        <v>9</v>
      </c>
      <c r="H6" s="11">
        <v>44682</v>
      </c>
      <c r="I6" s="11">
        <v>44713</v>
      </c>
      <c r="J6" s="11">
        <v>44743</v>
      </c>
      <c r="K6" s="11" t="s">
        <v>10</v>
      </c>
      <c r="L6" s="11">
        <v>44805</v>
      </c>
      <c r="M6" s="11">
        <v>44835</v>
      </c>
      <c r="N6" s="11">
        <v>44866</v>
      </c>
      <c r="O6" s="11" t="s">
        <v>12</v>
      </c>
      <c r="P6" s="4"/>
      <c r="Q6" s="305"/>
      <c r="R6" s="305"/>
      <c r="S6" s="305"/>
      <c r="T6" s="171"/>
      <c r="U6" s="10" t="s">
        <v>111</v>
      </c>
      <c r="V6" s="11">
        <v>44958</v>
      </c>
      <c r="W6" s="11">
        <v>44986</v>
      </c>
      <c r="X6" s="10" t="s">
        <v>112</v>
      </c>
      <c r="Y6" s="11">
        <v>45047</v>
      </c>
      <c r="Z6" s="11">
        <v>45078</v>
      </c>
      <c r="AA6" s="11">
        <v>45108</v>
      </c>
      <c r="AB6" s="11" t="s">
        <v>113</v>
      </c>
      <c r="AC6" s="11">
        <v>45170</v>
      </c>
      <c r="AD6" s="11">
        <v>45200</v>
      </c>
      <c r="AE6" s="11">
        <v>45231</v>
      </c>
      <c r="AF6" s="11" t="s">
        <v>114</v>
      </c>
      <c r="AG6" s="4"/>
      <c r="AH6" s="305"/>
      <c r="AI6" s="305"/>
      <c r="AJ6" s="305"/>
    </row>
    <row r="7" spans="2:36" ht="15.75" customHeight="1">
      <c r="B7" s="4"/>
      <c r="C7" s="171"/>
      <c r="D7" s="46"/>
      <c r="E7" s="46"/>
      <c r="F7" s="46"/>
      <c r="G7" s="126">
        <v>103514</v>
      </c>
      <c r="H7" s="46"/>
      <c r="I7" s="128">
        <v>0.3</v>
      </c>
      <c r="J7" s="128">
        <v>0.7</v>
      </c>
      <c r="K7" s="131">
        <v>19950.150000000001</v>
      </c>
      <c r="L7" s="132">
        <v>47154.9</v>
      </c>
      <c r="M7" s="132">
        <v>54409.5</v>
      </c>
      <c r="N7" s="132">
        <v>72546</v>
      </c>
      <c r="O7" s="132">
        <v>58036.800000000003</v>
      </c>
      <c r="P7" s="4"/>
      <c r="Q7" s="4"/>
      <c r="R7" s="4"/>
      <c r="S7" s="4"/>
      <c r="T7" s="171"/>
      <c r="U7" s="203"/>
      <c r="V7" s="203"/>
      <c r="W7" s="203"/>
      <c r="X7" s="204"/>
      <c r="Y7" s="204"/>
      <c r="Z7" s="204"/>
      <c r="AA7" s="204"/>
      <c r="AB7" s="204"/>
      <c r="AC7" s="204"/>
      <c r="AD7" s="204"/>
      <c r="AE7" s="204"/>
      <c r="AF7" s="204"/>
      <c r="AG7" s="4"/>
      <c r="AH7" s="4"/>
      <c r="AI7" s="4"/>
      <c r="AJ7" s="4"/>
    </row>
    <row r="8" spans="2:36" ht="15.75" customHeight="1">
      <c r="B8" s="4"/>
      <c r="C8" s="171"/>
      <c r="D8" s="130">
        <f>D11/D9</f>
        <v>0.47867444001227372</v>
      </c>
      <c r="E8" s="130">
        <f t="shared" ref="E8:J8" si="0">E11/E9</f>
        <v>0.69290446797666916</v>
      </c>
      <c r="F8" s="130">
        <f t="shared" si="0"/>
        <v>0.67732527996681879</v>
      </c>
      <c r="G8" s="130">
        <f t="shared" si="0"/>
        <v>0.65789520222116116</v>
      </c>
      <c r="H8" s="130">
        <f t="shared" si="0"/>
        <v>0.72806134232528064</v>
      </c>
      <c r="I8" s="130">
        <f t="shared" si="0"/>
        <v>0.59931722119865616</v>
      </c>
      <c r="J8" s="130">
        <f t="shared" si="0"/>
        <v>0.45547217425952979</v>
      </c>
      <c r="K8" s="131">
        <v>19950.150000000001</v>
      </c>
      <c r="L8" s="132">
        <v>36701.192000000003</v>
      </c>
      <c r="M8" s="132">
        <v>55051.787999999993</v>
      </c>
      <c r="N8" s="132">
        <v>68814.735000000001</v>
      </c>
      <c r="O8" s="132">
        <v>41288.841</v>
      </c>
      <c r="P8" s="4"/>
      <c r="Q8" s="4"/>
      <c r="R8" s="4"/>
      <c r="S8" s="4"/>
      <c r="T8" s="171"/>
      <c r="X8" s="274"/>
      <c r="Y8" s="274"/>
      <c r="Z8" s="274"/>
      <c r="AA8" s="274"/>
      <c r="AB8" s="274"/>
      <c r="AC8" s="274"/>
      <c r="AD8" s="274"/>
      <c r="AE8" s="274"/>
      <c r="AF8" s="274"/>
      <c r="AG8" s="4"/>
      <c r="AH8" s="4"/>
      <c r="AI8" s="4"/>
      <c r="AJ8" s="4"/>
    </row>
    <row r="9" spans="2:36" ht="15.75" customHeight="1">
      <c r="B9" s="16" t="s">
        <v>13</v>
      </c>
      <c r="C9" s="171"/>
      <c r="D9" s="59">
        <f t="shared" ref="D9:I9" si="1">SUM(D10:D11)</f>
        <v>26072</v>
      </c>
      <c r="E9" s="59">
        <f t="shared" si="1"/>
        <v>52977</v>
      </c>
      <c r="F9" s="59">
        <f t="shared" si="1"/>
        <v>77152</v>
      </c>
      <c r="G9" s="59">
        <f t="shared" si="1"/>
        <v>56547</v>
      </c>
      <c r="H9" s="59">
        <f t="shared" si="1"/>
        <v>108245</v>
      </c>
      <c r="I9" s="59">
        <f t="shared" si="1"/>
        <v>92270</v>
      </c>
      <c r="J9" s="59">
        <f>SUM(J10:J11)</f>
        <v>30116</v>
      </c>
      <c r="K9" s="59">
        <f>SUM(K10:K12)</f>
        <v>18129.940000000002</v>
      </c>
      <c r="L9" s="59">
        <f t="shared" ref="L9:O9" si="2">SUM(L10:L12)</f>
        <v>36802.340000000004</v>
      </c>
      <c r="M9" s="59">
        <f t="shared" si="2"/>
        <v>54056.85</v>
      </c>
      <c r="N9" s="59">
        <f t="shared" si="2"/>
        <v>78036.490000000005</v>
      </c>
      <c r="O9" s="59">
        <f t="shared" si="2"/>
        <v>44149.69</v>
      </c>
      <c r="P9" s="4"/>
      <c r="Q9" s="59">
        <f>SUM(D9:I9)</f>
        <v>413263</v>
      </c>
      <c r="R9" s="123">
        <f>SUM(J9:O9)</f>
        <v>261291.31</v>
      </c>
      <c r="S9" s="181">
        <f>SUM(Q9+R9)</f>
        <v>674554.31</v>
      </c>
      <c r="T9" s="171"/>
      <c r="U9" s="76">
        <f>SUM(U10:U12)</f>
        <v>43765.377500000002</v>
      </c>
      <c r="V9" s="76">
        <f t="shared" ref="V9:X9" si="3">SUM(V10:V12)</f>
        <v>40760.990999999995</v>
      </c>
      <c r="W9" s="76">
        <f t="shared" si="3"/>
        <v>43196.690999999992</v>
      </c>
      <c r="X9" s="76">
        <f t="shared" si="3"/>
        <v>49922.690999999992</v>
      </c>
      <c r="Y9" s="76">
        <f>SUM(Y10:Y12)</f>
        <v>57649.690999999992</v>
      </c>
      <c r="Z9" s="76">
        <f t="shared" ref="Z9:AE9" si="4">SUM(Z10:Z12)</f>
        <v>63522.690999999992</v>
      </c>
      <c r="AA9" s="76">
        <f t="shared" si="4"/>
        <v>56922.690999999992</v>
      </c>
      <c r="AB9" s="76">
        <f t="shared" si="4"/>
        <v>29849.431</v>
      </c>
      <c r="AC9" s="76">
        <f t="shared" si="4"/>
        <v>60922.690999999992</v>
      </c>
      <c r="AD9" s="76">
        <f t="shared" si="4"/>
        <v>82345.632849999995</v>
      </c>
      <c r="AE9" s="76">
        <f t="shared" si="4"/>
        <v>113516.6043475</v>
      </c>
      <c r="AF9" s="76">
        <f>SUM(AF10:AF12)</f>
        <v>93263</v>
      </c>
      <c r="AG9" s="4"/>
      <c r="AH9" s="59">
        <f>SUM(U9:Z9)</f>
        <v>298818.13249999995</v>
      </c>
      <c r="AI9" s="123">
        <f>SUM(AA9:AF9)</f>
        <v>436820.05019749998</v>
      </c>
      <c r="AJ9" s="181">
        <f>SUM(AH9+AI9)</f>
        <v>735638.18269749987</v>
      </c>
    </row>
    <row r="10" spans="2:36" ht="15.75" customHeight="1">
      <c r="B10" s="4" t="s">
        <v>152</v>
      </c>
      <c r="C10" s="171"/>
      <c r="D10" s="19">
        <v>13592</v>
      </c>
      <c r="E10" s="19">
        <v>16269</v>
      </c>
      <c r="F10" s="19">
        <v>24895</v>
      </c>
      <c r="G10" s="19">
        <v>19345</v>
      </c>
      <c r="H10" s="19">
        <v>29436</v>
      </c>
      <c r="I10" s="19">
        <v>36971</v>
      </c>
      <c r="J10" s="19">
        <v>16399</v>
      </c>
      <c r="K10" s="19">
        <v>2238.42</v>
      </c>
      <c r="L10" s="19">
        <v>3553.33</v>
      </c>
      <c r="M10" s="19">
        <v>1914.09</v>
      </c>
      <c r="N10" s="19">
        <v>903.02</v>
      </c>
      <c r="O10" s="19"/>
      <c r="P10" s="4"/>
      <c r="Q10" s="19">
        <f>SUM(D10:I10)</f>
        <v>140508</v>
      </c>
      <c r="R10" s="20">
        <f>SUM(J10:O10)</f>
        <v>25007.86</v>
      </c>
      <c r="S10" s="21">
        <f t="shared" ref="S10" si="5">SUM(Q10+R10)</f>
        <v>165515.85999999999</v>
      </c>
      <c r="T10" s="171"/>
      <c r="U10" s="81"/>
      <c r="V10" s="81">
        <v>2238.42</v>
      </c>
      <c r="W10" s="81">
        <v>2238.42</v>
      </c>
      <c r="X10" s="81">
        <v>2238.42</v>
      </c>
      <c r="Y10" s="81">
        <v>2238.42</v>
      </c>
      <c r="Z10" s="81">
        <v>2238.42</v>
      </c>
      <c r="AA10" s="81">
        <v>2238.42</v>
      </c>
      <c r="AB10" s="81"/>
      <c r="AC10" s="81">
        <v>2238.42</v>
      </c>
      <c r="AD10" s="81">
        <v>2238.42</v>
      </c>
      <c r="AE10" s="81">
        <v>2238.42</v>
      </c>
      <c r="AF10" s="20"/>
      <c r="AG10" s="4"/>
      <c r="AH10" s="19"/>
      <c r="AI10" s="20"/>
      <c r="AJ10" s="21"/>
    </row>
    <row r="11" spans="2:36" ht="15.75" customHeight="1">
      <c r="B11" s="4" t="s">
        <v>36</v>
      </c>
      <c r="C11" s="171"/>
      <c r="D11" s="19">
        <v>12480</v>
      </c>
      <c r="E11" s="19">
        <v>36708</v>
      </c>
      <c r="F11" s="19">
        <v>52257</v>
      </c>
      <c r="G11" s="19">
        <v>37202</v>
      </c>
      <c r="H11" s="19">
        <v>78809</v>
      </c>
      <c r="I11" s="19">
        <v>55299</v>
      </c>
      <c r="J11" s="19">
        <v>13717</v>
      </c>
      <c r="K11" s="19">
        <v>15891.52</v>
      </c>
      <c r="L11" s="19">
        <v>33249.01</v>
      </c>
      <c r="M11" s="19">
        <v>52142.76</v>
      </c>
      <c r="N11" s="19">
        <v>77133.47</v>
      </c>
      <c r="O11" s="19">
        <v>44149.69</v>
      </c>
      <c r="P11" s="4"/>
      <c r="Q11" s="19">
        <f>SUM(D11:I11)</f>
        <v>272755</v>
      </c>
      <c r="R11" s="20">
        <f>SUM(J11:O11)</f>
        <v>236283.45</v>
      </c>
      <c r="S11" s="21">
        <f>SUM(Q11+R11)</f>
        <v>509038.45</v>
      </c>
      <c r="T11" s="171"/>
      <c r="U11" s="81">
        <v>43765.377500000002</v>
      </c>
      <c r="V11" s="81">
        <v>38522.570999999996</v>
      </c>
      <c r="W11" s="81">
        <v>40958.270999999993</v>
      </c>
      <c r="X11" s="81">
        <v>47684.270999999993</v>
      </c>
      <c r="Y11" s="81">
        <v>55411.270999999993</v>
      </c>
      <c r="Z11" s="81">
        <v>61284.270999999993</v>
      </c>
      <c r="AA11" s="81">
        <v>54684.270999999993</v>
      </c>
      <c r="AB11" s="81">
        <v>29849.431</v>
      </c>
      <c r="AC11" s="81">
        <v>58684.270999999993</v>
      </c>
      <c r="AD11" s="81">
        <v>80107.212849999996</v>
      </c>
      <c r="AE11" s="81">
        <v>111278.18434750001</v>
      </c>
      <c r="AF11" s="81">
        <v>93263</v>
      </c>
      <c r="AG11" s="4"/>
      <c r="AH11" s="19"/>
      <c r="AI11" s="20"/>
      <c r="AJ11" s="21"/>
    </row>
    <row r="12" spans="2:36" ht="15.75" customHeight="1">
      <c r="B12" s="4" t="s">
        <v>47</v>
      </c>
      <c r="C12" s="171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2"/>
      <c r="Q12" s="19">
        <f>SUM(D12:I12)</f>
        <v>0</v>
      </c>
      <c r="R12" s="20">
        <f>SUM(J12:O12)</f>
        <v>0</v>
      </c>
      <c r="S12" s="21">
        <f t="shared" ref="S12" si="6">SUM(Q12+R12)</f>
        <v>0</v>
      </c>
      <c r="T12" s="171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20"/>
      <c r="AG12" s="22"/>
      <c r="AH12" s="19"/>
      <c r="AI12" s="20"/>
      <c r="AJ12" s="21"/>
    </row>
    <row r="13" spans="2:36" ht="15.75" customHeight="1">
      <c r="B13" s="4"/>
      <c r="C13" s="171"/>
      <c r="D13" s="137"/>
      <c r="E13" s="137"/>
      <c r="F13" s="137"/>
      <c r="G13" s="138"/>
      <c r="H13" s="137"/>
      <c r="I13" s="128"/>
      <c r="J13" s="128"/>
      <c r="K13" s="165"/>
      <c r="L13" s="166"/>
      <c r="M13" s="166"/>
      <c r="N13" s="166"/>
      <c r="O13" s="166"/>
      <c r="P13" s="22"/>
      <c r="Q13" s="22"/>
      <c r="R13" s="22"/>
      <c r="S13" s="22"/>
      <c r="T13" s="171"/>
      <c r="U13" s="166"/>
      <c r="V13" s="166"/>
      <c r="W13" s="128"/>
      <c r="X13" s="84"/>
      <c r="Y13" s="84"/>
      <c r="Z13" s="84"/>
      <c r="AA13" s="84"/>
      <c r="AB13" s="84"/>
      <c r="AC13" s="84"/>
      <c r="AD13" s="84"/>
      <c r="AE13" s="84"/>
      <c r="AF13" s="166"/>
      <c r="AG13" s="22"/>
      <c r="AH13" s="22"/>
      <c r="AI13" s="22"/>
      <c r="AJ13" s="22"/>
    </row>
    <row r="14" spans="2:36" ht="15.75" customHeight="1">
      <c r="B14" s="16" t="s">
        <v>35</v>
      </c>
      <c r="C14" s="171"/>
      <c r="D14" s="10">
        <f>SUM(D15:D16)</f>
        <v>470</v>
      </c>
      <c r="E14" s="10">
        <f t="shared" ref="E14:I14" si="7">SUM(E15:E16)</f>
        <v>919</v>
      </c>
      <c r="F14" s="10">
        <f t="shared" si="7"/>
        <v>1102</v>
      </c>
      <c r="G14" s="10">
        <f t="shared" si="7"/>
        <v>546</v>
      </c>
      <c r="H14" s="10">
        <f t="shared" si="7"/>
        <v>744</v>
      </c>
      <c r="I14" s="10">
        <f t="shared" si="7"/>
        <v>720</v>
      </c>
      <c r="J14" s="10">
        <f>SUM(J15:J16)</f>
        <v>428</v>
      </c>
      <c r="K14" s="10">
        <f>SUM(K15:K17)</f>
        <v>288</v>
      </c>
      <c r="L14" s="10">
        <f t="shared" ref="L14:M14" si="8">SUM(L15:L17)</f>
        <v>476</v>
      </c>
      <c r="M14" s="10">
        <f t="shared" si="8"/>
        <v>671</v>
      </c>
      <c r="N14" s="10">
        <f>SUM(N15:N17)</f>
        <v>1718</v>
      </c>
      <c r="O14" s="10">
        <f>SUM(O15:O17)</f>
        <v>410</v>
      </c>
      <c r="P14" s="4"/>
      <c r="Q14" s="25">
        <f>SUM(D14:I14)</f>
        <v>4501</v>
      </c>
      <c r="R14" s="26">
        <f>SUM(J14:O14)</f>
        <v>3991</v>
      </c>
      <c r="S14" s="27">
        <f>SUM(Q14+R14)</f>
        <v>8492</v>
      </c>
      <c r="T14" s="171"/>
      <c r="U14" s="89">
        <f t="shared" ref="U14:AE14" si="9">U16</f>
        <v>547.06721875000005</v>
      </c>
      <c r="V14" s="89">
        <f t="shared" si="9"/>
        <v>453.20671764705878</v>
      </c>
      <c r="W14" s="89">
        <f t="shared" si="9"/>
        <v>508.19636470588227</v>
      </c>
      <c r="X14" s="89">
        <f t="shared" si="9"/>
        <v>525.50201052631576</v>
      </c>
      <c r="Y14" s="89">
        <f t="shared" si="9"/>
        <v>606.8388526315789</v>
      </c>
      <c r="Z14" s="89">
        <f t="shared" si="9"/>
        <v>705.80767777777771</v>
      </c>
      <c r="AA14" s="89">
        <f t="shared" si="9"/>
        <v>632.47434444444434</v>
      </c>
      <c r="AB14" s="89">
        <f t="shared" si="9"/>
        <v>426.42044285714286</v>
      </c>
      <c r="AC14" s="89">
        <f t="shared" si="9"/>
        <v>812.30254666666656</v>
      </c>
      <c r="AD14" s="89">
        <f t="shared" si="9"/>
        <v>1029.320410625</v>
      </c>
      <c r="AE14" s="89">
        <f t="shared" si="9"/>
        <v>1891.9434057916667</v>
      </c>
      <c r="AF14" s="89">
        <f>AF16</f>
        <v>1036.2555555555555</v>
      </c>
      <c r="AG14" s="4"/>
      <c r="AH14" s="25">
        <f>SUM(U14:Z14)</f>
        <v>3346.6188420386134</v>
      </c>
      <c r="AI14" s="26">
        <f>SUM(AA14:AF14)</f>
        <v>5828.7167059404765</v>
      </c>
      <c r="AJ14" s="27">
        <f>SUM(AH14+AI14)</f>
        <v>9175.3355479790898</v>
      </c>
    </row>
    <row r="15" spans="2:36" ht="15.75" customHeight="1">
      <c r="B15" s="4" t="s">
        <v>116</v>
      </c>
      <c r="C15" s="171"/>
      <c r="D15" s="45">
        <v>205</v>
      </c>
      <c r="E15" s="45">
        <v>334</v>
      </c>
      <c r="F15" s="45">
        <v>436</v>
      </c>
      <c r="G15" s="45">
        <v>250</v>
      </c>
      <c r="H15" s="45">
        <v>246</v>
      </c>
      <c r="I15" s="45">
        <v>311</v>
      </c>
      <c r="J15" s="45">
        <v>165</v>
      </c>
      <c r="K15" s="45">
        <v>14</v>
      </c>
      <c r="L15" s="45">
        <v>32</v>
      </c>
      <c r="M15" s="45">
        <v>21</v>
      </c>
      <c r="N15" s="45">
        <v>26</v>
      </c>
      <c r="O15" s="45"/>
      <c r="P15" s="4"/>
      <c r="Q15" s="29">
        <f>SUM(D15:I15)</f>
        <v>1782</v>
      </c>
      <c r="R15" s="31">
        <f>SUM(J15:O15)</f>
        <v>258</v>
      </c>
      <c r="S15" s="32">
        <f>SUM(Q15+R15)</f>
        <v>2040</v>
      </c>
      <c r="T15" s="171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136"/>
      <c r="AG15" s="4"/>
      <c r="AH15" s="29"/>
      <c r="AI15" s="31"/>
      <c r="AJ15" s="32"/>
    </row>
    <row r="16" spans="2:36" ht="15.75" customHeight="1">
      <c r="B16" s="4" t="s">
        <v>38</v>
      </c>
      <c r="C16" s="4"/>
      <c r="D16" s="45">
        <v>265</v>
      </c>
      <c r="E16" s="45">
        <v>585</v>
      </c>
      <c r="F16" s="45">
        <v>666</v>
      </c>
      <c r="G16" s="45">
        <v>296</v>
      </c>
      <c r="H16" s="45">
        <v>498</v>
      </c>
      <c r="I16" s="45">
        <v>409</v>
      </c>
      <c r="J16" s="45">
        <v>263</v>
      </c>
      <c r="K16" s="45">
        <v>274</v>
      </c>
      <c r="L16" s="45">
        <v>444</v>
      </c>
      <c r="M16" s="45">
        <v>650</v>
      </c>
      <c r="N16" s="45">
        <v>1692</v>
      </c>
      <c r="O16" s="45">
        <v>410</v>
      </c>
      <c r="P16" s="4"/>
      <c r="Q16" s="29">
        <f>SUM(D16:I16)</f>
        <v>2719</v>
      </c>
      <c r="R16" s="31">
        <f>SUM(J16:O16)</f>
        <v>3733</v>
      </c>
      <c r="S16" s="32">
        <f>SUM(Q16+R16)</f>
        <v>6452</v>
      </c>
      <c r="T16" s="4"/>
      <c r="U16" s="92">
        <f>U11/U21</f>
        <v>547.06721875000005</v>
      </c>
      <c r="V16" s="92">
        <f t="shared" ref="V16" si="10">V11/V21</f>
        <v>453.20671764705878</v>
      </c>
      <c r="W16" s="92">
        <f t="shared" ref="W16:AE16" si="11">W9/W21</f>
        <v>508.19636470588227</v>
      </c>
      <c r="X16" s="92">
        <f t="shared" si="11"/>
        <v>525.50201052631576</v>
      </c>
      <c r="Y16" s="92">
        <f t="shared" si="11"/>
        <v>606.8388526315789</v>
      </c>
      <c r="Z16" s="92">
        <f t="shared" si="11"/>
        <v>705.80767777777771</v>
      </c>
      <c r="AA16" s="92">
        <f t="shared" si="11"/>
        <v>632.47434444444434</v>
      </c>
      <c r="AB16" s="92">
        <f t="shared" si="11"/>
        <v>426.42044285714286</v>
      </c>
      <c r="AC16" s="92">
        <f t="shared" si="11"/>
        <v>812.30254666666656</v>
      </c>
      <c r="AD16" s="92">
        <f t="shared" si="11"/>
        <v>1029.320410625</v>
      </c>
      <c r="AE16" s="92">
        <f t="shared" si="11"/>
        <v>1891.9434057916667</v>
      </c>
      <c r="AF16" s="92">
        <f>AF9/AF21</f>
        <v>1036.2555555555555</v>
      </c>
      <c r="AG16" s="4"/>
      <c r="AH16" s="29"/>
      <c r="AI16" s="31"/>
      <c r="AJ16" s="32"/>
    </row>
    <row r="17" spans="2:36" ht="15.75" customHeight="1">
      <c r="B17" s="4" t="s">
        <v>48</v>
      </c>
      <c r="C17" s="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Q17" s="29">
        <f>SUM(D17:I17)</f>
        <v>0</v>
      </c>
      <c r="R17" s="31">
        <f>SUM(J17:O17)</f>
        <v>0</v>
      </c>
      <c r="S17" s="32">
        <f t="shared" ref="S17" si="12">SUM(Q17+R17)</f>
        <v>0</v>
      </c>
      <c r="T17" s="4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20"/>
      <c r="AH17" s="29"/>
      <c r="AI17" s="31"/>
      <c r="AJ17" s="32"/>
    </row>
    <row r="18" spans="2:36" ht="15.75" customHeight="1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Q18" s="16"/>
      <c r="R18" s="16"/>
      <c r="S18" s="16"/>
      <c r="T18" s="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16"/>
      <c r="AH18" s="16"/>
      <c r="AI18" s="16"/>
      <c r="AJ18" s="16"/>
    </row>
    <row r="19" spans="2:36" ht="15.75" customHeight="1">
      <c r="B19" s="16" t="s">
        <v>19</v>
      </c>
      <c r="C19" s="16"/>
      <c r="D19" s="59">
        <f t="shared" ref="D19:I21" si="13">D9/D14</f>
        <v>55.472340425531918</v>
      </c>
      <c r="E19" s="59">
        <f t="shared" si="13"/>
        <v>57.646354733405879</v>
      </c>
      <c r="F19" s="59">
        <f t="shared" si="13"/>
        <v>70.010889292196012</v>
      </c>
      <c r="G19" s="59">
        <f t="shared" si="13"/>
        <v>103.56593406593407</v>
      </c>
      <c r="H19" s="59">
        <f t="shared" si="13"/>
        <v>145.49059139784947</v>
      </c>
      <c r="I19" s="59">
        <f t="shared" si="13"/>
        <v>128.15277777777777</v>
      </c>
      <c r="J19" s="59">
        <v>85</v>
      </c>
      <c r="K19" s="59">
        <f t="shared" ref="K19:O21" si="14">K9/K14</f>
        <v>62.951180555555567</v>
      </c>
      <c r="L19" s="59">
        <f t="shared" si="14"/>
        <v>77.315840336134457</v>
      </c>
      <c r="M19" s="59">
        <f t="shared" si="14"/>
        <v>80.561624441132636</v>
      </c>
      <c r="N19" s="59">
        <f t="shared" si="14"/>
        <v>45.422869615832369</v>
      </c>
      <c r="O19" s="59">
        <f t="shared" si="14"/>
        <v>107.68217073170732</v>
      </c>
      <c r="P19" s="4"/>
      <c r="Q19" s="17">
        <f t="shared" ref="Q19:S21" si="15">Q9/Q14</f>
        <v>91.815818706954005</v>
      </c>
      <c r="R19" s="8">
        <f t="shared" si="15"/>
        <v>65.470135304434976</v>
      </c>
      <c r="S19" s="34">
        <f t="shared" si="15"/>
        <v>79.434092086669807</v>
      </c>
      <c r="T19" s="16"/>
      <c r="U19" s="76">
        <f>U9/U14</f>
        <v>80</v>
      </c>
      <c r="V19" s="76">
        <f>V9/V14</f>
        <v>89.939070655486617</v>
      </c>
      <c r="W19" s="76">
        <f t="shared" ref="W19:AA19" si="16">W9/W14</f>
        <v>85</v>
      </c>
      <c r="X19" s="76">
        <f t="shared" si="16"/>
        <v>94.999999999999986</v>
      </c>
      <c r="Y19" s="76">
        <f t="shared" si="16"/>
        <v>95</v>
      </c>
      <c r="Z19" s="76">
        <f t="shared" si="16"/>
        <v>90</v>
      </c>
      <c r="AA19" s="76">
        <f t="shared" si="16"/>
        <v>90</v>
      </c>
      <c r="AB19" s="76">
        <v>70</v>
      </c>
      <c r="AC19" s="76">
        <v>70</v>
      </c>
      <c r="AD19" s="76">
        <v>70</v>
      </c>
      <c r="AE19" s="76">
        <v>70</v>
      </c>
      <c r="AF19" s="76">
        <v>70</v>
      </c>
      <c r="AG19" s="4"/>
      <c r="AH19" s="17">
        <f>AH9/AH14</f>
        <v>89.289562571748704</v>
      </c>
      <c r="AI19" s="8">
        <f>AI9/AI14</f>
        <v>74.942748504538628</v>
      </c>
      <c r="AJ19" s="34">
        <f>AJ9/AJ14</f>
        <v>80.175616341304007</v>
      </c>
    </row>
    <row r="20" spans="2:36" ht="15.75" customHeight="1">
      <c r="B20" s="4" t="s">
        <v>106</v>
      </c>
      <c r="C20" s="4"/>
      <c r="D20" s="19">
        <f t="shared" si="13"/>
        <v>66.302439024390239</v>
      </c>
      <c r="E20" s="19">
        <f t="shared" si="13"/>
        <v>48.709580838323355</v>
      </c>
      <c r="F20" s="19">
        <f t="shared" si="13"/>
        <v>57.098623853211009</v>
      </c>
      <c r="G20" s="19">
        <f t="shared" si="13"/>
        <v>77.38</v>
      </c>
      <c r="H20" s="19">
        <f t="shared" si="13"/>
        <v>119.65853658536585</v>
      </c>
      <c r="I20" s="19">
        <f t="shared" si="13"/>
        <v>118.87781350482315</v>
      </c>
      <c r="J20" s="19">
        <v>85</v>
      </c>
      <c r="K20" s="19">
        <f t="shared" si="14"/>
        <v>159.88714285714286</v>
      </c>
      <c r="L20" s="19">
        <f t="shared" si="14"/>
        <v>111.0415625</v>
      </c>
      <c r="M20" s="19">
        <f t="shared" si="14"/>
        <v>91.147142857142853</v>
      </c>
      <c r="N20" s="19">
        <f t="shared" si="14"/>
        <v>34.731538461538463</v>
      </c>
      <c r="O20" s="19"/>
      <c r="P20" s="4"/>
      <c r="Q20" s="19">
        <f t="shared" si="15"/>
        <v>78.848484848484844</v>
      </c>
      <c r="R20" s="20">
        <f t="shared" si="15"/>
        <v>96.92968992248062</v>
      </c>
      <c r="S20" s="21">
        <f t="shared" si="15"/>
        <v>81.135225490196078</v>
      </c>
      <c r="T20" s="4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20"/>
      <c r="AG20" s="4"/>
      <c r="AH20" s="19"/>
      <c r="AI20" s="20"/>
      <c r="AJ20" s="21"/>
    </row>
    <row r="21" spans="2:36" ht="15.75" customHeight="1">
      <c r="B21" s="4" t="s">
        <v>37</v>
      </c>
      <c r="C21" s="4"/>
      <c r="D21" s="19">
        <f t="shared" si="13"/>
        <v>47.094339622641506</v>
      </c>
      <c r="E21" s="19">
        <f t="shared" si="13"/>
        <v>62.748717948717946</v>
      </c>
      <c r="F21" s="19">
        <f t="shared" si="13"/>
        <v>78.463963963963963</v>
      </c>
      <c r="G21" s="19">
        <f t="shared" si="13"/>
        <v>125.68243243243244</v>
      </c>
      <c r="H21" s="19">
        <f t="shared" si="13"/>
        <v>158.25100401606426</v>
      </c>
      <c r="I21" s="19">
        <f t="shared" si="13"/>
        <v>135.20537897310513</v>
      </c>
      <c r="J21" s="19">
        <v>84</v>
      </c>
      <c r="K21" s="19">
        <f t="shared" si="14"/>
        <v>57.998248175182482</v>
      </c>
      <c r="L21" s="19">
        <f t="shared" si="14"/>
        <v>74.885157657657658</v>
      </c>
      <c r="M21" s="19">
        <f t="shared" si="14"/>
        <v>80.219630769230776</v>
      </c>
      <c r="N21" s="19">
        <f t="shared" si="14"/>
        <v>45.587157210401891</v>
      </c>
      <c r="O21" s="19">
        <f t="shared" si="14"/>
        <v>107.68217073170732</v>
      </c>
      <c r="P21" s="4"/>
      <c r="Q21" s="19">
        <f t="shared" si="15"/>
        <v>100.31445384332476</v>
      </c>
      <c r="R21" s="20">
        <f t="shared" si="15"/>
        <v>63.295861237610502</v>
      </c>
      <c r="S21" s="21">
        <f t="shared" si="15"/>
        <v>78.896225976441414</v>
      </c>
      <c r="T21" s="4"/>
      <c r="U21" s="81">
        <v>80</v>
      </c>
      <c r="V21" s="81">
        <v>85</v>
      </c>
      <c r="W21" s="81">
        <v>85</v>
      </c>
      <c r="X21" s="81">
        <v>95</v>
      </c>
      <c r="Y21" s="81">
        <v>95</v>
      </c>
      <c r="Z21" s="81">
        <v>90</v>
      </c>
      <c r="AA21" s="81">
        <v>90</v>
      </c>
      <c r="AB21" s="81">
        <v>70</v>
      </c>
      <c r="AC21" s="81">
        <v>75</v>
      </c>
      <c r="AD21" s="81">
        <v>80</v>
      </c>
      <c r="AE21" s="81">
        <v>60</v>
      </c>
      <c r="AF21" s="81">
        <v>90</v>
      </c>
      <c r="AG21" s="4"/>
      <c r="AH21" s="19"/>
      <c r="AI21" s="20"/>
      <c r="AJ21" s="21"/>
    </row>
    <row r="22" spans="2:36" ht="15.75" customHeight="1">
      <c r="B22" s="4" t="s">
        <v>49</v>
      </c>
      <c r="C22" s="4"/>
      <c r="D22" s="19"/>
      <c r="E22" s="19"/>
      <c r="F22" s="19"/>
      <c r="G22" s="19">
        <v>0.45379999999999998</v>
      </c>
      <c r="H22" s="19"/>
      <c r="I22" s="19"/>
      <c r="J22" s="19"/>
      <c r="K22" s="19"/>
      <c r="L22" s="19"/>
      <c r="M22" s="19"/>
      <c r="N22" s="19"/>
      <c r="O22" s="19"/>
      <c r="P22" s="4"/>
      <c r="Q22" s="19"/>
      <c r="R22" s="20"/>
      <c r="S22" s="21"/>
      <c r="T22" s="4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20"/>
      <c r="AG22" s="4"/>
      <c r="AH22" s="19"/>
      <c r="AI22" s="20"/>
      <c r="AJ22" s="21"/>
    </row>
    <row r="23" spans="2:36" ht="15.75" customHeight="1">
      <c r="B23" s="4"/>
      <c r="C23" s="4"/>
      <c r="D23" s="4"/>
      <c r="E23" s="4"/>
      <c r="F23" s="4"/>
      <c r="G23" s="35"/>
      <c r="H23" s="22"/>
      <c r="I23" s="22"/>
      <c r="J23" s="22"/>
      <c r="K23" s="23"/>
      <c r="L23" s="22"/>
      <c r="M23" s="22"/>
      <c r="N23" s="22"/>
      <c r="O23" s="22"/>
      <c r="P23" s="4"/>
      <c r="Q23" s="4"/>
      <c r="R23" s="4"/>
      <c r="S23" s="4"/>
      <c r="T23" s="4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4"/>
      <c r="AH23" s="4"/>
      <c r="AI23" s="4"/>
      <c r="AJ23" s="4"/>
    </row>
    <row r="24" spans="2:36" ht="15.75" customHeight="1">
      <c r="B24" s="16" t="s">
        <v>22</v>
      </c>
      <c r="C24" s="16"/>
      <c r="D24" s="36">
        <f t="shared" ref="D24:O26" si="17">D29/D14</f>
        <v>0.37021276595744679</v>
      </c>
      <c r="E24" s="36">
        <f t="shared" si="17"/>
        <v>0.36670293797606096</v>
      </c>
      <c r="F24" s="36">
        <f t="shared" si="17"/>
        <v>0.40562613430127042</v>
      </c>
      <c r="G24" s="36">
        <f t="shared" si="17"/>
        <v>0.65384615384615385</v>
      </c>
      <c r="H24" s="36">
        <f t="shared" si="17"/>
        <v>0.59946236559139787</v>
      </c>
      <c r="I24" s="36">
        <f t="shared" si="17"/>
        <v>0.53611111111111109</v>
      </c>
      <c r="J24" s="36">
        <f t="shared" si="17"/>
        <v>0.61915887850467288</v>
      </c>
      <c r="K24" s="36">
        <f t="shared" si="17"/>
        <v>0.39930555555555558</v>
      </c>
      <c r="L24" s="36">
        <f t="shared" si="17"/>
        <v>0.61554621848739499</v>
      </c>
      <c r="M24" s="36">
        <f t="shared" si="17"/>
        <v>0.43964232488822652</v>
      </c>
      <c r="N24" s="36">
        <f t="shared" si="17"/>
        <v>0.38358556461001159</v>
      </c>
      <c r="O24" s="36">
        <f t="shared" si="17"/>
        <v>0.71951219512195119</v>
      </c>
      <c r="P24" s="4"/>
      <c r="Q24" s="38">
        <f>Q29/Q14</f>
        <v>0.477005109975561</v>
      </c>
      <c r="R24" s="37">
        <f>R29/R14</f>
        <v>0.48158356301678779</v>
      </c>
      <c r="S24" s="39">
        <f>S29/S14</f>
        <v>0.47915685350918513</v>
      </c>
      <c r="T24" s="16"/>
      <c r="U24" s="107">
        <f>U26</f>
        <v>0.45247152467190999</v>
      </c>
      <c r="V24" s="107">
        <f t="shared" ref="V24:AF24" si="18">V26</f>
        <v>0.47649911719150001</v>
      </c>
      <c r="W24" s="107">
        <f t="shared" si="18"/>
        <v>0.48499117191500002</v>
      </c>
      <c r="X24" s="107">
        <f t="shared" si="18"/>
        <v>0.55884991171914999</v>
      </c>
      <c r="Y24" s="107">
        <f t="shared" si="18"/>
        <v>0.57884991171915001</v>
      </c>
      <c r="Z24" s="107">
        <f t="shared" si="18"/>
        <v>0.59884991171915003</v>
      </c>
      <c r="AA24" s="107">
        <f t="shared" si="18"/>
        <v>0.53384991171914997</v>
      </c>
      <c r="AB24" s="107">
        <f t="shared" si="18"/>
        <v>0</v>
      </c>
      <c r="AC24" s="107">
        <f t="shared" si="18"/>
        <v>0.59</v>
      </c>
      <c r="AD24" s="107">
        <f t="shared" si="18"/>
        <v>0.62565217391304295</v>
      </c>
      <c r="AE24" s="107">
        <f t="shared" si="18"/>
        <v>0.70454545454545503</v>
      </c>
      <c r="AF24" s="107">
        <f t="shared" si="18"/>
        <v>0.65230769230769203</v>
      </c>
      <c r="AG24" s="4"/>
      <c r="AH24" s="38">
        <f>AH29/AH14</f>
        <v>0.53115517715219429</v>
      </c>
      <c r="AI24" s="37">
        <f>AI29/AI14</f>
        <v>0.59135856634360673</v>
      </c>
      <c r="AJ24" s="39">
        <f>AJ29/AJ14</f>
        <v>0.56939993653993259</v>
      </c>
    </row>
    <row r="25" spans="2:36" ht="15.75" customHeight="1">
      <c r="B25" s="4" t="s">
        <v>117</v>
      </c>
      <c r="C25" s="4"/>
      <c r="D25" s="40">
        <f t="shared" si="17"/>
        <v>0.15317073170731707</v>
      </c>
      <c r="E25" s="40">
        <f t="shared" si="17"/>
        <v>0.14035928143712575</v>
      </c>
      <c r="F25" s="40">
        <f t="shared" si="17"/>
        <v>0.13871559633027525</v>
      </c>
      <c r="G25" s="40">
        <f t="shared" si="17"/>
        <v>0.26048000000000004</v>
      </c>
      <c r="H25" s="40">
        <f t="shared" si="17"/>
        <v>0.33691056910569112</v>
      </c>
      <c r="I25" s="40">
        <f t="shared" si="17"/>
        <v>0.23717041800643088</v>
      </c>
      <c r="J25" s="40">
        <f t="shared" si="17"/>
        <v>0.25696969696969701</v>
      </c>
      <c r="K25" s="40">
        <f t="shared" si="17"/>
        <v>0.4107142857142857</v>
      </c>
      <c r="L25" s="40">
        <f t="shared" si="17"/>
        <v>0.64093750000000005</v>
      </c>
      <c r="M25" s="40">
        <f t="shared" si="17"/>
        <v>0.42142857142857143</v>
      </c>
      <c r="N25" s="40">
        <f t="shared" si="17"/>
        <v>0.50692307692307692</v>
      </c>
      <c r="O25" s="40"/>
      <c r="P25" s="4"/>
      <c r="Q25" s="40">
        <f>Q30/Q15</f>
        <v>0.20231200897867566</v>
      </c>
      <c r="R25" s="41">
        <v>0.46779999999999999</v>
      </c>
      <c r="S25" s="43">
        <v>0.4294</v>
      </c>
      <c r="T25" s="4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4"/>
      <c r="AH25" s="40"/>
      <c r="AI25" s="41"/>
      <c r="AJ25" s="43"/>
    </row>
    <row r="26" spans="2:36" ht="15.75" customHeight="1">
      <c r="B26" s="4" t="s">
        <v>39</v>
      </c>
      <c r="C26" s="4"/>
      <c r="D26" s="40">
        <f t="shared" si="17"/>
        <v>0.47396226415094345</v>
      </c>
      <c r="E26" s="40">
        <f t="shared" si="17"/>
        <v>0.32054700854700857</v>
      </c>
      <c r="F26" s="40">
        <f t="shared" si="17"/>
        <v>0.36324324324324331</v>
      </c>
      <c r="G26" s="40">
        <f t="shared" si="17"/>
        <v>0.88000000000000012</v>
      </c>
      <c r="H26" s="40">
        <f t="shared" si="17"/>
        <v>0.66570281124497999</v>
      </c>
      <c r="I26" s="40">
        <f t="shared" si="17"/>
        <v>0.72136919315403425</v>
      </c>
      <c r="J26" s="40">
        <f t="shared" si="17"/>
        <v>0.64486692015209135</v>
      </c>
      <c r="K26" s="40">
        <f t="shared" si="17"/>
        <v>0.39872262773722628</v>
      </c>
      <c r="L26" s="40">
        <f t="shared" si="17"/>
        <v>0.61371621621621619</v>
      </c>
      <c r="M26" s="40">
        <f t="shared" si="17"/>
        <v>0.4402307692307692</v>
      </c>
      <c r="N26" s="40">
        <f t="shared" si="17"/>
        <v>0.38169030732860515</v>
      </c>
      <c r="O26" s="40">
        <f t="shared" si="17"/>
        <v>0.71951219512195119</v>
      </c>
      <c r="P26" s="4"/>
      <c r="Q26" s="40">
        <f>Q31/Q16</f>
        <v>0.53037146009562341</v>
      </c>
      <c r="R26" s="41">
        <v>0.44469999999999998</v>
      </c>
      <c r="S26" s="43">
        <v>0.69289999999999996</v>
      </c>
      <c r="T26" s="4"/>
      <c r="U26" s="112">
        <v>0.45247152467190999</v>
      </c>
      <c r="V26" s="112">
        <v>0.47649911719150001</v>
      </c>
      <c r="W26" s="112">
        <v>0.48499117191500002</v>
      </c>
      <c r="X26" s="112">
        <v>0.55884991171914999</v>
      </c>
      <c r="Y26" s="112">
        <v>0.57884991171915001</v>
      </c>
      <c r="Z26" s="112">
        <v>0.59884991171915003</v>
      </c>
      <c r="AA26" s="112">
        <v>0.53384991171914997</v>
      </c>
      <c r="AB26" s="112">
        <v>0</v>
      </c>
      <c r="AC26" s="112">
        <v>0.59</v>
      </c>
      <c r="AD26" s="112">
        <v>0.62565217391304295</v>
      </c>
      <c r="AE26" s="112">
        <v>0.70454545454545503</v>
      </c>
      <c r="AF26" s="112">
        <v>0.65230769230769203</v>
      </c>
      <c r="AG26" s="4"/>
      <c r="AH26" s="40"/>
      <c r="AI26" s="41"/>
      <c r="AJ26" s="43"/>
    </row>
    <row r="27" spans="2:36" ht="15.75" customHeight="1">
      <c r="B27" s="4" t="s">
        <v>50</v>
      </c>
      <c r="C27" s="4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"/>
      <c r="Q27" s="42"/>
      <c r="R27" s="41"/>
      <c r="S27" s="43"/>
      <c r="T27" s="4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20"/>
      <c r="AG27" s="4"/>
      <c r="AH27" s="42"/>
      <c r="AI27" s="41"/>
      <c r="AJ27" s="43"/>
    </row>
    <row r="28" spans="2:36" ht="15.75" customHeight="1">
      <c r="B28" s="4"/>
      <c r="C28" s="4"/>
      <c r="D28" s="4"/>
      <c r="E28" s="4"/>
      <c r="F28" s="4"/>
      <c r="G28" s="44"/>
      <c r="H28" s="4"/>
      <c r="I28" s="4"/>
      <c r="J28" s="4"/>
      <c r="K28" s="46"/>
      <c r="L28" s="46"/>
      <c r="M28" s="46"/>
      <c r="N28" s="46"/>
      <c r="O28" s="4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6" ht="13.8">
      <c r="B29" s="16" t="s">
        <v>54</v>
      </c>
      <c r="C29" s="16"/>
      <c r="D29" s="10">
        <v>174</v>
      </c>
      <c r="E29" s="139">
        <v>337</v>
      </c>
      <c r="F29" s="139">
        <v>447</v>
      </c>
      <c r="G29" s="139">
        <v>357</v>
      </c>
      <c r="H29" s="139">
        <v>446</v>
      </c>
      <c r="I29" s="139">
        <v>386</v>
      </c>
      <c r="J29" s="139">
        <v>265</v>
      </c>
      <c r="K29" s="139">
        <f>SUM(K30:K32)</f>
        <v>115</v>
      </c>
      <c r="L29" s="139">
        <f t="shared" ref="L29:O29" si="19">SUM(L30:L32)</f>
        <v>293</v>
      </c>
      <c r="M29" s="139">
        <f t="shared" si="19"/>
        <v>295</v>
      </c>
      <c r="N29" s="139">
        <f t="shared" si="19"/>
        <v>658.99999999999989</v>
      </c>
      <c r="O29" s="139">
        <f t="shared" si="19"/>
        <v>295</v>
      </c>
      <c r="P29" s="4"/>
      <c r="Q29" s="25">
        <f>SUM(D29:I29)</f>
        <v>2147</v>
      </c>
      <c r="R29" s="26">
        <f>SUM(J29:O29)</f>
        <v>1922</v>
      </c>
      <c r="S29" s="27">
        <f>SUM(Q29+R29)</f>
        <v>4069</v>
      </c>
      <c r="T29" s="16"/>
      <c r="U29" s="89">
        <f>U31</f>
        <v>247.53233856583384</v>
      </c>
      <c r="V29" s="89">
        <f t="shared" ref="V29:AE29" si="20">V31</f>
        <v>215.95260086408092</v>
      </c>
      <c r="W29" s="89">
        <f t="shared" si="20"/>
        <v>246.47075048164859</v>
      </c>
      <c r="X29" s="89">
        <f t="shared" si="20"/>
        <v>293.67675219086738</v>
      </c>
      <c r="Y29" s="89">
        <f t="shared" si="20"/>
        <v>351.26861627353975</v>
      </c>
      <c r="Z29" s="89">
        <f t="shared" si="20"/>
        <v>422.67286552792046</v>
      </c>
      <c r="AA29" s="89">
        <f t="shared" si="20"/>
        <v>337.64637294629387</v>
      </c>
      <c r="AB29" s="89">
        <f t="shared" si="20"/>
        <v>0</v>
      </c>
      <c r="AC29" s="89">
        <f t="shared" si="20"/>
        <v>479.25850253333323</v>
      </c>
      <c r="AD29" s="89">
        <f t="shared" si="20"/>
        <v>643.99655256059725</v>
      </c>
      <c r="AE29" s="89">
        <f t="shared" si="20"/>
        <v>1332.9601268077661</v>
      </c>
      <c r="AF29" s="229">
        <v>653</v>
      </c>
      <c r="AG29" s="4"/>
      <c r="AH29" s="25">
        <f>SUM(U29:Z29)</f>
        <v>1777.573923903891</v>
      </c>
      <c r="AI29" s="26">
        <f>SUM(AA29:AF29)</f>
        <v>3446.8615548479902</v>
      </c>
      <c r="AJ29" s="27">
        <f>SUM(AH29+AI29)</f>
        <v>5224.4354787518814</v>
      </c>
    </row>
    <row r="30" spans="2:36" ht="13.8">
      <c r="B30" s="4" t="s">
        <v>118</v>
      </c>
      <c r="C30" s="4"/>
      <c r="D30" s="140">
        <v>31.400000000000002</v>
      </c>
      <c r="E30" s="140">
        <v>46.88</v>
      </c>
      <c r="F30" s="140">
        <v>60.480000000000011</v>
      </c>
      <c r="G30" s="140">
        <v>65.12</v>
      </c>
      <c r="H30" s="140">
        <v>82.88000000000001</v>
      </c>
      <c r="I30" s="140">
        <v>73.760000000000005</v>
      </c>
      <c r="J30" s="140">
        <v>42.400000000000006</v>
      </c>
      <c r="K30" s="140">
        <v>5.75</v>
      </c>
      <c r="L30" s="140">
        <v>20.51</v>
      </c>
      <c r="M30" s="140">
        <v>8.85</v>
      </c>
      <c r="N30" s="140">
        <v>13.18</v>
      </c>
      <c r="O30" s="140"/>
      <c r="P30" s="4"/>
      <c r="Q30" s="29">
        <f>SUM(D30:I30)</f>
        <v>360.52000000000004</v>
      </c>
      <c r="R30" s="31">
        <f>SUM(E30:J30)</f>
        <v>371.52</v>
      </c>
      <c r="S30" s="32">
        <f t="shared" ref="S30:S32" si="21">SUM(Q30+R30)</f>
        <v>732.04</v>
      </c>
      <c r="T30" s="4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230"/>
      <c r="AG30" s="4"/>
      <c r="AH30" s="29"/>
      <c r="AI30" s="31"/>
      <c r="AJ30" s="32"/>
    </row>
    <row r="31" spans="2:36" ht="13.8">
      <c r="B31" s="4" t="s">
        <v>40</v>
      </c>
      <c r="C31" s="4"/>
      <c r="D31" s="140">
        <v>125.60000000000001</v>
      </c>
      <c r="E31" s="140">
        <v>187.52</v>
      </c>
      <c r="F31" s="140">
        <v>241.92000000000004</v>
      </c>
      <c r="G31" s="140">
        <v>260.48</v>
      </c>
      <c r="H31" s="140">
        <v>331.52000000000004</v>
      </c>
      <c r="I31" s="140">
        <v>295.04000000000002</v>
      </c>
      <c r="J31" s="140">
        <v>169.60000000000002</v>
      </c>
      <c r="K31" s="140">
        <v>109.25</v>
      </c>
      <c r="L31" s="140">
        <v>272.49</v>
      </c>
      <c r="M31" s="140">
        <v>286.14999999999998</v>
      </c>
      <c r="N31" s="140">
        <v>645.81999999999994</v>
      </c>
      <c r="O31" s="140">
        <v>295</v>
      </c>
      <c r="P31" s="4"/>
      <c r="Q31" s="29">
        <f>SUM(D31:I31)</f>
        <v>1442.0800000000002</v>
      </c>
      <c r="R31" s="31">
        <f>SUM(E31:J31)</f>
        <v>1486.08</v>
      </c>
      <c r="S31" s="32">
        <f t="shared" si="21"/>
        <v>2928.16</v>
      </c>
      <c r="T31" s="4"/>
      <c r="U31" s="92">
        <f>U14*U24</f>
        <v>247.53233856583384</v>
      </c>
      <c r="V31" s="92">
        <f t="shared" ref="V31:AF31" si="22">V14*V24</f>
        <v>215.95260086408092</v>
      </c>
      <c r="W31" s="92">
        <f t="shared" si="22"/>
        <v>246.47075048164859</v>
      </c>
      <c r="X31" s="92">
        <f t="shared" si="22"/>
        <v>293.67675219086738</v>
      </c>
      <c r="Y31" s="92">
        <f t="shared" si="22"/>
        <v>351.26861627353975</v>
      </c>
      <c r="Z31" s="92">
        <f t="shared" si="22"/>
        <v>422.67286552792046</v>
      </c>
      <c r="AA31" s="92">
        <f t="shared" si="22"/>
        <v>337.64637294629387</v>
      </c>
      <c r="AB31" s="92">
        <f t="shared" si="22"/>
        <v>0</v>
      </c>
      <c r="AC31" s="92">
        <f t="shared" si="22"/>
        <v>479.25850253333323</v>
      </c>
      <c r="AD31" s="92">
        <f t="shared" si="22"/>
        <v>643.99655256059725</v>
      </c>
      <c r="AE31" s="92">
        <f t="shared" si="22"/>
        <v>1332.9601268077661</v>
      </c>
      <c r="AF31" s="92">
        <f t="shared" si="22"/>
        <v>675.95747008546971</v>
      </c>
      <c r="AG31" s="4"/>
      <c r="AH31" s="29"/>
      <c r="AI31" s="31"/>
      <c r="AJ31" s="32"/>
    </row>
    <row r="32" spans="2:36" ht="13.8">
      <c r="B32" s="4" t="s">
        <v>51</v>
      </c>
      <c r="C32" s="4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4"/>
      <c r="Q32" s="29">
        <f>SUM(D32:I32)</f>
        <v>0</v>
      </c>
      <c r="R32" s="31">
        <f>SUM(E32:J32)</f>
        <v>0</v>
      </c>
      <c r="S32" s="32">
        <f t="shared" si="21"/>
        <v>0</v>
      </c>
      <c r="T32" s="4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230"/>
      <c r="AG32" s="4"/>
      <c r="AH32" s="29"/>
      <c r="AI32" s="31"/>
      <c r="AJ32" s="32"/>
    </row>
    <row r="33" spans="2:36" ht="13.8">
      <c r="B33" s="4"/>
      <c r="C33" s="4"/>
      <c r="D33" s="4"/>
      <c r="E33" s="4"/>
      <c r="F33" s="4"/>
      <c r="G33" s="13">
        <v>181</v>
      </c>
      <c r="H33" s="4"/>
      <c r="I33" s="4"/>
      <c r="J33" s="4"/>
      <c r="K33" s="15">
        <v>0.3</v>
      </c>
      <c r="L33" s="14">
        <v>0.8</v>
      </c>
      <c r="M33" s="14">
        <v>1</v>
      </c>
      <c r="N33" s="14">
        <v>1.4</v>
      </c>
      <c r="O33" s="14"/>
      <c r="P33" s="4"/>
      <c r="Q33" s="4"/>
      <c r="R33" s="4"/>
      <c r="S33" s="4"/>
      <c r="T33" s="4"/>
      <c r="U33" s="4"/>
      <c r="V33" s="4"/>
      <c r="W33" s="4"/>
      <c r="X33" s="13"/>
      <c r="Y33" s="4"/>
      <c r="Z33" s="4"/>
      <c r="AA33" s="4"/>
      <c r="AB33" s="15"/>
      <c r="AC33" s="14"/>
      <c r="AD33" s="14"/>
      <c r="AE33" s="14"/>
      <c r="AF33" s="231"/>
      <c r="AG33" s="4"/>
      <c r="AH33" s="4"/>
      <c r="AI33" s="4"/>
      <c r="AJ33" s="4"/>
    </row>
    <row r="34" spans="2:36" ht="13.8">
      <c r="B34" s="4"/>
      <c r="C34" s="4"/>
      <c r="D34" s="4"/>
      <c r="E34" s="4"/>
      <c r="F34" s="4"/>
      <c r="G34" s="13"/>
      <c r="H34" s="4"/>
      <c r="I34" s="4"/>
      <c r="J34" s="4"/>
      <c r="K34" s="15"/>
      <c r="L34" s="14"/>
      <c r="M34" s="14"/>
      <c r="N34" s="14"/>
      <c r="O34" s="14"/>
      <c r="P34" s="4"/>
      <c r="Q34" s="4"/>
      <c r="R34" s="4"/>
      <c r="S34" s="4"/>
      <c r="T34" s="4"/>
      <c r="U34" s="214"/>
      <c r="V34" s="214"/>
      <c r="W34" s="214"/>
      <c r="X34" s="214"/>
      <c r="Y34" s="214"/>
      <c r="Z34" s="214"/>
      <c r="AA34" s="214"/>
      <c r="AB34" s="214"/>
      <c r="AC34" s="14"/>
      <c r="AD34" s="14"/>
      <c r="AE34" s="14"/>
      <c r="AF34" s="231"/>
      <c r="AG34" s="4"/>
      <c r="AH34" s="4"/>
      <c r="AI34" s="4"/>
      <c r="AJ34" s="4"/>
    </row>
    <row r="35" spans="2:36" ht="13.8">
      <c r="B35" s="16" t="s">
        <v>55</v>
      </c>
      <c r="C35" s="16"/>
      <c r="D35" s="10">
        <v>252</v>
      </c>
      <c r="E35" s="139">
        <v>405</v>
      </c>
      <c r="F35" s="139">
        <v>570</v>
      </c>
      <c r="G35" s="139">
        <v>530</v>
      </c>
      <c r="H35" s="139">
        <v>652</v>
      </c>
      <c r="I35" s="139">
        <v>691</v>
      </c>
      <c r="J35" s="139">
        <v>513</v>
      </c>
      <c r="K35" s="139">
        <v>0</v>
      </c>
      <c r="L35" s="139">
        <v>591</v>
      </c>
      <c r="M35" s="139">
        <v>288</v>
      </c>
      <c r="N35" s="139">
        <v>663</v>
      </c>
      <c r="O35" s="139">
        <v>357</v>
      </c>
      <c r="P35" s="4"/>
      <c r="Q35" s="25">
        <f>SUM(D35:I35)</f>
        <v>3100</v>
      </c>
      <c r="R35" s="26">
        <f>SUM(J35:O35)</f>
        <v>2412</v>
      </c>
      <c r="S35" s="27">
        <f>SUM(Q35+R35)</f>
        <v>5512</v>
      </c>
      <c r="T35" s="16"/>
      <c r="U35" s="211"/>
      <c r="V35" s="211">
        <f>+(U29*0.25)+(V29*0.75)</f>
        <v>223.84753528951913</v>
      </c>
      <c r="W35" s="211">
        <f t="shared" ref="W35:AF35" si="23">+(V29*0.25)+(W29*0.75)</f>
        <v>238.84121307725667</v>
      </c>
      <c r="X35" s="211">
        <f t="shared" si="23"/>
        <v>281.87525176356269</v>
      </c>
      <c r="Y35" s="211">
        <f t="shared" si="23"/>
        <v>336.87065025287166</v>
      </c>
      <c r="Z35" s="211">
        <f t="shared" si="23"/>
        <v>404.82180321432526</v>
      </c>
      <c r="AA35" s="211">
        <f t="shared" si="23"/>
        <v>358.90299609170052</v>
      </c>
      <c r="AB35" s="211">
        <v>0</v>
      </c>
      <c r="AC35" s="211">
        <f t="shared" si="23"/>
        <v>359.44387689999991</v>
      </c>
      <c r="AD35" s="211">
        <f t="shared" si="23"/>
        <v>602.81204005378129</v>
      </c>
      <c r="AE35" s="211">
        <f t="shared" si="23"/>
        <v>1160.719233245974</v>
      </c>
      <c r="AF35" s="211">
        <f t="shared" si="23"/>
        <v>822.99003170194146</v>
      </c>
      <c r="AG35" s="4"/>
      <c r="AH35" s="25">
        <f>SUM(U35:Z35)</f>
        <v>1486.2564535975355</v>
      </c>
      <c r="AI35" s="26">
        <f>SUM(AA35:AF35)</f>
        <v>3304.8681779933972</v>
      </c>
      <c r="AJ35" s="27">
        <f>SUM(AH35+AI35)</f>
        <v>4791.1246315909329</v>
      </c>
    </row>
    <row r="36" spans="2:36" ht="13.8">
      <c r="B36" s="4" t="s">
        <v>118</v>
      </c>
      <c r="C36" s="4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4"/>
      <c r="Q36" s="29">
        <f>SUM(D36:I36)</f>
        <v>0</v>
      </c>
      <c r="R36" s="31">
        <f>SUM(E36:J36)</f>
        <v>0</v>
      </c>
      <c r="S36" s="32">
        <f t="shared" ref="S36:S38" si="24">SUM(Q36+R36)</f>
        <v>0</v>
      </c>
      <c r="T36" s="4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4"/>
      <c r="AH36" s="29"/>
      <c r="AI36" s="31"/>
      <c r="AJ36" s="32"/>
    </row>
    <row r="37" spans="2:36" ht="13.8">
      <c r="B37" s="4" t="s">
        <v>40</v>
      </c>
      <c r="C37" s="4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4"/>
      <c r="Q37" s="29">
        <f>SUM(D37:I37)</f>
        <v>0</v>
      </c>
      <c r="R37" s="31">
        <f>SUM(E37:J37)</f>
        <v>0</v>
      </c>
      <c r="S37" s="32">
        <f t="shared" si="24"/>
        <v>0</v>
      </c>
      <c r="T37" s="4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4"/>
      <c r="AH37" s="29"/>
      <c r="AI37" s="31"/>
      <c r="AJ37" s="32"/>
    </row>
    <row r="38" spans="2:36" ht="13.8">
      <c r="B38" s="4" t="s">
        <v>51</v>
      </c>
      <c r="C38" s="4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4"/>
      <c r="Q38" s="29">
        <f>SUM(D38:I38)</f>
        <v>0</v>
      </c>
      <c r="R38" s="31">
        <f>SUM(E38:J38)</f>
        <v>0</v>
      </c>
      <c r="S38" s="32">
        <f t="shared" si="24"/>
        <v>0</v>
      </c>
      <c r="T38" s="4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4"/>
      <c r="AH38" s="29"/>
      <c r="AI38" s="31"/>
      <c r="AJ38" s="32"/>
    </row>
    <row r="39" spans="2:36" ht="13.8">
      <c r="B39" s="4"/>
      <c r="C39" s="4"/>
      <c r="D39" s="4"/>
      <c r="E39" s="4"/>
      <c r="F39" s="4"/>
      <c r="G39" s="13"/>
      <c r="H39" s="4"/>
      <c r="I39" s="4"/>
      <c r="J39" s="4"/>
      <c r="K39" s="15"/>
      <c r="L39" s="14"/>
      <c r="M39" s="14"/>
      <c r="N39" s="14"/>
      <c r="O39" s="14"/>
      <c r="P39" s="4"/>
      <c r="Q39" s="4"/>
      <c r="R39" s="4"/>
      <c r="S39" s="4"/>
      <c r="T39" s="4"/>
      <c r="U39" s="4"/>
      <c r="V39" s="4"/>
      <c r="W39" s="4"/>
      <c r="X39" s="13"/>
      <c r="Y39" s="4"/>
      <c r="Z39" s="4"/>
      <c r="AA39" s="4"/>
      <c r="AB39" s="15"/>
      <c r="AC39" s="14"/>
      <c r="AD39" s="14"/>
      <c r="AE39" s="14"/>
      <c r="AF39" s="14"/>
      <c r="AG39" s="4"/>
      <c r="AH39" s="4"/>
      <c r="AI39" s="4"/>
      <c r="AJ39" s="4"/>
    </row>
    <row r="40" spans="2:36" ht="13.8">
      <c r="B40" s="4"/>
      <c r="C40" s="4"/>
      <c r="D40" s="4"/>
      <c r="E40" s="4"/>
      <c r="F40" s="4"/>
      <c r="G40" s="13"/>
      <c r="H40" s="4"/>
      <c r="I40" s="4"/>
      <c r="J40" s="4"/>
      <c r="K40" s="15"/>
      <c r="L40" s="14"/>
      <c r="M40" s="14"/>
      <c r="N40" s="14"/>
      <c r="O40" s="14"/>
      <c r="P40" s="4"/>
      <c r="Q40" s="4"/>
      <c r="R40" s="4"/>
      <c r="S40" s="4"/>
      <c r="T40" s="4"/>
      <c r="U40" s="4"/>
      <c r="V40" s="4"/>
      <c r="W40" s="4"/>
      <c r="X40" s="13"/>
      <c r="Y40" s="4"/>
      <c r="Z40" s="4"/>
      <c r="AA40" s="4"/>
      <c r="AB40" s="15"/>
      <c r="AC40" s="14"/>
      <c r="AD40" s="14"/>
      <c r="AE40" s="14"/>
      <c r="AF40" s="14"/>
      <c r="AG40" s="4"/>
      <c r="AH40" s="4"/>
      <c r="AI40" s="4"/>
      <c r="AJ40" s="4"/>
    </row>
    <row r="41" spans="2:36" ht="19.2" customHeight="1">
      <c r="B41" s="16" t="s">
        <v>28</v>
      </c>
      <c r="C41" s="16"/>
      <c r="D41" s="33">
        <f t="shared" ref="D41:O41" si="25">D9/D35</f>
        <v>103.46031746031746</v>
      </c>
      <c r="E41" s="33">
        <f t="shared" si="25"/>
        <v>130.8074074074074</v>
      </c>
      <c r="F41" s="33">
        <f t="shared" si="25"/>
        <v>135.35438596491227</v>
      </c>
      <c r="G41" s="33">
        <f t="shared" si="25"/>
        <v>106.69245283018869</v>
      </c>
      <c r="H41" s="33">
        <f t="shared" si="25"/>
        <v>166.01993865030676</v>
      </c>
      <c r="I41" s="33">
        <f t="shared" si="25"/>
        <v>133.53111432706223</v>
      </c>
      <c r="J41" s="33">
        <f t="shared" si="25"/>
        <v>58.705653021442494</v>
      </c>
      <c r="K41" s="33">
        <v>0</v>
      </c>
      <c r="L41" s="33">
        <f t="shared" si="25"/>
        <v>62.271302876480547</v>
      </c>
      <c r="M41" s="33">
        <f t="shared" si="25"/>
        <v>187.69739583333333</v>
      </c>
      <c r="N41" s="33">
        <f t="shared" si="25"/>
        <v>117.70209653092007</v>
      </c>
      <c r="O41" s="33">
        <f t="shared" si="25"/>
        <v>123.66859943977592</v>
      </c>
      <c r="P41" s="4"/>
      <c r="Q41" s="4"/>
      <c r="R41" s="4"/>
      <c r="S41" s="4"/>
      <c r="T41" s="16"/>
      <c r="U41" s="76">
        <f>U9/U29</f>
        <v>176.80670636236945</v>
      </c>
      <c r="V41" s="76">
        <f t="shared" ref="V41:AF41" si="26">V9/V29</f>
        <v>188.74971098706368</v>
      </c>
      <c r="W41" s="76">
        <f t="shared" si="26"/>
        <v>175.26092209962366</v>
      </c>
      <c r="X41" s="76">
        <f t="shared" si="26"/>
        <v>169.99197460326744</v>
      </c>
      <c r="Y41" s="76">
        <f t="shared" si="26"/>
        <v>164.11853587030117</v>
      </c>
      <c r="Z41" s="76">
        <f t="shared" si="26"/>
        <v>150.28807425492016</v>
      </c>
      <c r="AA41" s="76">
        <f t="shared" si="26"/>
        <v>168.5867095307259</v>
      </c>
      <c r="AB41" s="76">
        <v>0</v>
      </c>
      <c r="AC41" s="76">
        <f t="shared" si="26"/>
        <v>127.11864406779662</v>
      </c>
      <c r="AD41" s="76">
        <f t="shared" si="26"/>
        <v>127.86657400972908</v>
      </c>
      <c r="AE41" s="76">
        <f t="shared" si="26"/>
        <v>85.161290322580584</v>
      </c>
      <c r="AF41" s="76">
        <f t="shared" si="26"/>
        <v>142.82235834609494</v>
      </c>
      <c r="AG41" s="4"/>
      <c r="AH41" s="17">
        <f>AH9/AH29</f>
        <v>168.10447570233163</v>
      </c>
      <c r="AI41" s="8">
        <f>AI9/AI29</f>
        <v>126.72979266693065</v>
      </c>
      <c r="AJ41" s="18">
        <f>AJ9/AJ29</f>
        <v>140.80720982953818</v>
      </c>
    </row>
    <row r="42" spans="2:36" ht="13.8">
      <c r="B42" s="4" t="s">
        <v>41</v>
      </c>
      <c r="C42" s="4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4"/>
      <c r="S42" s="4"/>
      <c r="T42" s="4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4"/>
      <c r="AH42" s="19"/>
      <c r="AI42" s="20"/>
      <c r="AJ42" s="21"/>
    </row>
    <row r="43" spans="2:36" ht="13.8">
      <c r="B43" s="4" t="s">
        <v>53</v>
      </c>
      <c r="C43" s="4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17">
        <f>Q9/Q29</f>
        <v>192.48393106660455</v>
      </c>
      <c r="R43" s="8">
        <f>R9/R29</f>
        <v>135.94761186264307</v>
      </c>
      <c r="S43" s="18">
        <f>S9/S29</f>
        <v>165.77889161956256</v>
      </c>
      <c r="T43" s="4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4"/>
      <c r="AH43" s="19"/>
      <c r="AI43" s="20"/>
      <c r="AJ43" s="21"/>
    </row>
    <row r="44" spans="2:36" ht="13.8">
      <c r="B44" s="4" t="s">
        <v>52</v>
      </c>
      <c r="C44" s="4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19"/>
      <c r="R44" s="20"/>
      <c r="S44" s="21"/>
      <c r="T44" s="4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46"/>
      <c r="AH44" s="19"/>
      <c r="AI44" s="20"/>
      <c r="AJ44" s="21"/>
    </row>
    <row r="45" spans="2:36" ht="13.8">
      <c r="B45" s="5" t="s">
        <v>31</v>
      </c>
      <c r="C45" s="5"/>
      <c r="P45" s="4"/>
      <c r="Q45" s="19"/>
      <c r="R45" s="20"/>
      <c r="S45" s="21"/>
      <c r="T45" s="5"/>
      <c r="U45" s="47"/>
      <c r="V45" s="47"/>
      <c r="W45" s="47"/>
      <c r="X45" s="47"/>
      <c r="Y45" s="47"/>
      <c r="Z45" s="48">
        <v>65</v>
      </c>
      <c r="AA45" s="48">
        <v>54</v>
      </c>
      <c r="AB45" s="48">
        <v>24</v>
      </c>
      <c r="AC45" s="48">
        <v>67</v>
      </c>
      <c r="AD45" s="48">
        <v>90</v>
      </c>
      <c r="AE45" s="48">
        <v>146</v>
      </c>
      <c r="AF45" s="48">
        <v>113</v>
      </c>
      <c r="AG45" s="48">
        <v>494</v>
      </c>
      <c r="AH45" s="47"/>
      <c r="AI45" s="4"/>
      <c r="AJ45" s="4"/>
    </row>
    <row r="46" spans="2:36" ht="13.8">
      <c r="B46" s="5" t="s">
        <v>32</v>
      </c>
      <c r="C46" s="5"/>
      <c r="P46" s="46"/>
      <c r="Q46" s="19"/>
      <c r="R46" s="20"/>
      <c r="S46" s="21"/>
      <c r="T46" s="5"/>
      <c r="U46" s="47"/>
      <c r="V46" s="47"/>
      <c r="W46" s="47"/>
      <c r="X46" s="47"/>
      <c r="Y46" s="47"/>
      <c r="Z46" s="49">
        <v>226800</v>
      </c>
      <c r="AA46" s="49">
        <v>189268</v>
      </c>
      <c r="AB46" s="49">
        <v>84425</v>
      </c>
      <c r="AC46" s="49">
        <v>236195</v>
      </c>
      <c r="AD46" s="49">
        <v>314934</v>
      </c>
      <c r="AE46" s="49">
        <v>509464</v>
      </c>
      <c r="AF46" s="49">
        <v>393808</v>
      </c>
      <c r="AG46" s="49">
        <v>1728095</v>
      </c>
      <c r="AH46" s="47"/>
      <c r="AI46" s="4"/>
      <c r="AJ46" s="4"/>
    </row>
    <row r="47" spans="2:36" ht="13.8">
      <c r="B47" s="5" t="s">
        <v>33</v>
      </c>
      <c r="C47" s="5"/>
      <c r="D47" s="47"/>
      <c r="E47" s="47"/>
      <c r="F47" s="47"/>
      <c r="G47" s="47"/>
      <c r="H47" s="47"/>
      <c r="I47" s="48">
        <v>65</v>
      </c>
      <c r="J47" s="48">
        <v>54</v>
      </c>
      <c r="K47" s="48">
        <v>24</v>
      </c>
      <c r="L47" s="48">
        <v>67</v>
      </c>
      <c r="M47" s="48">
        <v>90</v>
      </c>
      <c r="N47" s="48">
        <v>146</v>
      </c>
      <c r="O47" s="48">
        <v>113</v>
      </c>
      <c r="P47" s="48">
        <v>494</v>
      </c>
      <c r="Q47" s="47"/>
      <c r="R47" s="4"/>
      <c r="S47" s="4"/>
      <c r="T47" s="5"/>
      <c r="U47" s="47"/>
      <c r="V47" s="47"/>
      <c r="W47" s="47"/>
      <c r="X47" s="47"/>
      <c r="Y47" s="47"/>
      <c r="Z47" s="5"/>
      <c r="AA47" s="48">
        <v>54</v>
      </c>
      <c r="AB47" s="48">
        <v>24</v>
      </c>
      <c r="AC47" s="48">
        <v>68</v>
      </c>
      <c r="AD47" s="48">
        <v>90</v>
      </c>
      <c r="AE47" s="48">
        <v>146</v>
      </c>
      <c r="AF47" s="48">
        <v>113</v>
      </c>
      <c r="AG47" s="5"/>
      <c r="AH47" s="47"/>
      <c r="AI47" s="4"/>
      <c r="AJ47" s="4"/>
    </row>
    <row r="48" spans="2:36" ht="13.8">
      <c r="B48" s="5" t="s">
        <v>34</v>
      </c>
      <c r="C48" s="5"/>
      <c r="D48" s="47"/>
      <c r="E48" s="47"/>
      <c r="F48" s="47"/>
      <c r="G48" s="47"/>
      <c r="H48" s="47"/>
      <c r="I48" s="49">
        <v>226800</v>
      </c>
      <c r="J48" s="49">
        <v>189268</v>
      </c>
      <c r="K48" s="49">
        <v>84425</v>
      </c>
      <c r="L48" s="49">
        <v>236195</v>
      </c>
      <c r="M48" s="49">
        <v>314934</v>
      </c>
      <c r="N48" s="49">
        <v>509464</v>
      </c>
      <c r="O48" s="49">
        <v>393808</v>
      </c>
      <c r="P48" s="49">
        <v>1728095</v>
      </c>
      <c r="Q48" s="47"/>
      <c r="R48" s="4"/>
      <c r="S48" s="4"/>
      <c r="T48" s="5"/>
      <c r="U48" s="47"/>
      <c r="V48" s="47"/>
      <c r="W48" s="47"/>
      <c r="X48" s="47"/>
      <c r="Y48" s="47"/>
      <c r="Z48" s="5"/>
      <c r="AA48" s="48">
        <v>541</v>
      </c>
      <c r="AB48" s="48">
        <v>241</v>
      </c>
      <c r="AC48" s="48">
        <v>675</v>
      </c>
      <c r="AD48" s="48">
        <v>900</v>
      </c>
      <c r="AE48" s="49">
        <v>1456</v>
      </c>
      <c r="AF48" s="49">
        <v>1125</v>
      </c>
      <c r="AG48" s="5"/>
      <c r="AH48" s="47"/>
      <c r="AI48" s="4"/>
      <c r="AJ48" s="4"/>
    </row>
    <row r="49" spans="2:36" ht="13.8">
      <c r="B49" s="50"/>
      <c r="C49" s="50"/>
      <c r="D49" s="47"/>
      <c r="E49" s="47"/>
      <c r="F49" s="47"/>
      <c r="G49" s="47"/>
      <c r="H49" s="47"/>
      <c r="I49" s="5"/>
      <c r="J49" s="48">
        <v>54</v>
      </c>
      <c r="K49" s="48">
        <v>24</v>
      </c>
      <c r="L49" s="48">
        <v>68</v>
      </c>
      <c r="M49" s="48">
        <v>90</v>
      </c>
      <c r="N49" s="48">
        <v>146</v>
      </c>
      <c r="O49" s="48">
        <v>113</v>
      </c>
      <c r="P49" s="5"/>
      <c r="Q49" s="47"/>
      <c r="R49" s="4"/>
      <c r="S49" s="4"/>
      <c r="T49" s="50"/>
      <c r="U49" s="50"/>
      <c r="V49" s="50"/>
      <c r="W49" s="50"/>
      <c r="X49" s="50"/>
      <c r="Y49" s="50"/>
      <c r="Z49" s="51"/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/>
      <c r="AH49" s="47"/>
      <c r="AI49" s="4"/>
      <c r="AJ49" s="4"/>
    </row>
    <row r="50" spans="2:36" ht="14.4" thickBot="1">
      <c r="B50" s="52"/>
      <c r="C50" s="52"/>
      <c r="D50" s="47"/>
      <c r="E50" s="47"/>
      <c r="F50" s="47"/>
      <c r="G50" s="47"/>
      <c r="H50" s="47"/>
      <c r="I50" s="5"/>
      <c r="J50" s="48">
        <v>541</v>
      </c>
      <c r="K50" s="48">
        <v>241</v>
      </c>
      <c r="L50" s="48">
        <v>675</v>
      </c>
      <c r="M50" s="48">
        <v>900</v>
      </c>
      <c r="N50" s="49">
        <v>1456</v>
      </c>
      <c r="O50" s="49">
        <v>1125</v>
      </c>
      <c r="P50" s="5"/>
      <c r="Q50" s="47"/>
      <c r="R50" s="4"/>
      <c r="S50" s="4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4"/>
      <c r="AI50" s="4"/>
      <c r="AJ50" s="4"/>
    </row>
    <row r="51" spans="2:36" ht="13.8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2:36" ht="13.8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2:36" ht="13.8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2:36" ht="13.8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2:36" ht="13.8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2:36" ht="13.8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2:36" ht="13.8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2:36" ht="13.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2:36" ht="13.8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2:36" ht="13.8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2:36" ht="13.8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2:36" ht="13.8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2:36" ht="13.8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2:36" ht="13.8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2:36" ht="13.8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2:36" ht="13.8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2:36" ht="13.8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2:36" ht="13.8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2:36" ht="13.8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2:36" ht="13.8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2:36" ht="13.8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2:36" ht="13.8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2:36" ht="13.8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2:36" ht="13.8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2:36" ht="13.8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2:36" ht="13.8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2:36" ht="13.8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2:36" ht="13.8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2:36" ht="13.8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2:36" ht="13.8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2:36" ht="13.8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2:36" ht="13.8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2:36" ht="13.8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2:36" ht="13.8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2:36" ht="13.8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2:36" ht="13.8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2:36" ht="13.8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2:36" ht="13.8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2:36" ht="13.8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2:36" ht="13.8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2:36" ht="13.8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2:36" ht="13.8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2:36" ht="13.8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2:36" ht="13.8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2:36" ht="13.8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2:36" ht="13.8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2:36" ht="13.8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2:36" ht="13.8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2:36" ht="13.8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2:36" ht="13.8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2:36" ht="13.8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2:36" ht="13.8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2:36" ht="13.8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2:36" ht="13.8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2:36" ht="13.8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2:36" ht="13.8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2:36" ht="13.8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2:36" ht="13.8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2:36" ht="13.8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2:36" ht="13.8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2:36" ht="13.8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2:36" ht="13.8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2:36" ht="13.8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2:36" ht="13.8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2:36" ht="13.8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2:36" ht="13.8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2:36" ht="13.8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2:36" ht="13.8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2:36" ht="13.8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2:36" ht="13.8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2:36" ht="13.8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2:36" ht="13.8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2:36" ht="13.8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2:36" ht="13.8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2:36" ht="13.8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2:36" ht="13.8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2:36" ht="13.8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2:36" ht="13.8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2:36" ht="13.8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2:36" ht="13.8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2:36" ht="13.8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2:36" ht="13.8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2:36" ht="13.8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2:36" ht="13.8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2:36" ht="13.8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2:36" ht="13.8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2:36" ht="13.8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2:36" ht="13.8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2:36" ht="13.8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2:36" ht="13.8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2:36" ht="13.8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2:36" ht="13.8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2:36" ht="13.8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2:36" ht="13.8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2:36" ht="13.8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2:36" ht="13.8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2:36" ht="13.8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2:36" ht="13.8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2:36" ht="13.8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2:36" ht="13.8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2:36" ht="13.8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2:36" ht="13.8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2:36" ht="13.8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2:36" ht="13.8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2:36" ht="13.8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2:36" ht="13.8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2:36" ht="13.8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2:36" ht="13.8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2:36" ht="13.8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2:36" ht="13.8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2:36" ht="13.8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2:36" ht="13.8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2:36" ht="13.8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2:36" ht="13.8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2:36" ht="13.8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2:36" ht="13.8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2:36" ht="13.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2:36" ht="13.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2:36" ht="13.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2:36" ht="13.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2:36" ht="13.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2:36" ht="13.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2:36" ht="13.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2:36" ht="13.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2:36" ht="13.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2:36" ht="13.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2:36" ht="13.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2:36" ht="13.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2:36" ht="13.8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2:36" ht="13.8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2:36" ht="13.8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2:36" ht="13.8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2:36" ht="13.8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2:36" ht="13.8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2:36" ht="13.8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2:36" ht="13.8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2:36" ht="13.8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2:36" ht="13.8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2:36" ht="13.8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2:36" ht="13.8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2:36" ht="13.8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2:36" ht="13.8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2:36" ht="13.8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2:36" ht="13.8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2:36" ht="13.8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2:36" ht="13.8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2:36" ht="13.8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2:36" ht="13.8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2:36" ht="13.8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2:36" ht="13.8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2:36" ht="13.8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2:36" ht="13.8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2:36" ht="13.8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2:36" ht="13.8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2:36" ht="13.8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2:36" ht="13.8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2:36" ht="13.8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2:36" ht="13.8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2:36" ht="13.8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2:36" ht="13.8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2:36" ht="13.8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2:36" ht="13.8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2:36" ht="13.8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2:36" ht="13.8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2:36" ht="13.8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2:36" ht="13.8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2:36" ht="13.8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2:36" ht="13.8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2:36" ht="13.8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2:36" ht="13.8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2:36" ht="13.8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2:36" ht="13.8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2:36" ht="13.8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2:36" ht="13.8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2:36" ht="13.8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2:36" ht="13.8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2:36" ht="13.8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2:36" ht="13.8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2:36" ht="13.8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2:36" ht="13.8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2:36" ht="13.8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2:36" ht="13.8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2:36" ht="13.8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2:36" ht="13.8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2:36" ht="13.8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2:36" ht="13.8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2:36" ht="13.8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2:36" ht="13.8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2:36" ht="13.8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2:36" ht="13.8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2:36" ht="13.8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2:36" ht="13.8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2:36" ht="13.8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2:36" ht="13.8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2:36" ht="13.8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2:36" ht="13.8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2:36" ht="13.8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2:36" ht="13.8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2:36" ht="13.8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2:36" ht="13.8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2:36" ht="13.8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2:36" ht="13.8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2:36" ht="13.8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2:36" ht="13.8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2:36" ht="13.8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2:36" ht="13.8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2:36" ht="13.8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2:36" ht="13.8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2:36" ht="13.8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2:36" ht="13.8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2:36" ht="13.8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2:36" ht="13.8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2:36" ht="13.8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2:36" ht="13.8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2:36" ht="13.8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2:36" ht="13.8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2:36" ht="13.8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2:36" ht="13.8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2:36" ht="13.8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2:36" ht="13.8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2:36" ht="13.8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2:36" ht="13.8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2:36" ht="13.8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2:36" ht="13.8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2:36" ht="13.8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2:36" ht="13.8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2:36" ht="13.8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2:36" ht="13.8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2:36" ht="13.8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2:36" ht="13.8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2:36" ht="13.8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2:36" ht="13.8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2:36" ht="13.8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2:36" ht="13.8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2:36" ht="13.8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2:36" ht="13.8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2:36" ht="13.8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2:36" ht="13.8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2:36" ht="13.8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2:36" ht="13.8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2:36" ht="13.8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2:36" ht="13.8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2:36" ht="13.8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2:36" ht="13.8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2:36" ht="13.8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2:36" ht="13.8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2:36" ht="13.8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2:36" ht="13.8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2:36" ht="13.8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2:36" ht="13.8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2:36" ht="13.8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2:36" ht="13.8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2:36" ht="13.8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2:36" ht="13.8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2:36" ht="13.8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2:36" ht="13.8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2:36" ht="13.8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2:36" ht="13.8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2:36" ht="13.8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2:36" ht="13.8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2:36" ht="13.8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2:36" ht="13.8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2:36" ht="13.8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2:36" ht="13.8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2:36" ht="13.8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2:36" ht="13.8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2:36" ht="13.8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2:36" ht="13.8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2:36" ht="13.8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2:36" ht="13.8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2:36" ht="13.8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2:36" ht="13.8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2:36" ht="13.8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2:36" ht="13.8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2:36" ht="13.8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2:36" ht="13.8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2:36" ht="13.8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2:36" ht="13.8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2:36" ht="13.8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2:36" ht="13.8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2:36" ht="13.8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2:36" ht="13.8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2:36" ht="13.8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2:36" ht="13.8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2:36" ht="13.8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2:36" ht="13.8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2:36" ht="13.8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2:36" ht="13.8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2:36" ht="13.8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2:36" ht="13.8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2:36" ht="13.8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2:36" ht="13.8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2:36" ht="13.8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2:36" ht="13.8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2:36" ht="13.8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2:36" ht="13.8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2:36" ht="13.8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2:36" ht="13.8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2:36" ht="13.8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2:36" ht="13.8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2:36" ht="13.8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2:36" ht="13.8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2:36" ht="13.8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2:36" ht="13.8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2:36" ht="13.8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2:36" ht="13.8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2:36" ht="13.8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2:36" ht="13.8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2:36" ht="13.8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2:36" ht="13.8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2:36" ht="13.8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2:36" ht="13.8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2:36" ht="13.8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2:36" ht="13.8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2:36" ht="13.8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2:36" ht="13.8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2:36" ht="13.8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2:36" ht="13.8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2:36" ht="13.8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2:36" ht="13.8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2:36" ht="13.8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2:36" ht="13.8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2:36" ht="13.8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2:36" ht="13.8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2:36" ht="13.8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2:36" ht="13.8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2:36" ht="13.8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2:36" ht="13.8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2:36" ht="13.8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2:36" ht="13.8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2:36" ht="13.8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2:36" ht="13.8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2:36" ht="13.8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2:36" ht="13.8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2:36" ht="13.8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2:36" ht="13.8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2:36" ht="13.8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2:36" ht="13.8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2:36" ht="13.8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2:36" ht="13.8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2:36" ht="13.8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2:36" ht="13.8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2:36" ht="13.8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2:36" ht="13.8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2:36" ht="13.8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2:36" ht="13.8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2:36" ht="13.8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2:36" ht="13.8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2:36" ht="13.8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2:36" ht="13.8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2:36" ht="13.8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2:36" ht="13.8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2:36" ht="13.8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2:36" ht="13.8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2:36" ht="13.8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2:36" ht="13.8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2:36" ht="13.8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2:36" ht="13.8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2:36" ht="13.8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2:36" ht="13.8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2:36" ht="13.8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2:36" ht="13.8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2:36" ht="13.8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2:36" ht="13.8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2:36" ht="13.8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2:36" ht="13.8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2:36" ht="13.8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2:36" ht="13.8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2:36" ht="13.8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2:36" ht="13.8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2:36" ht="13.8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2:36" ht="13.8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2:36" ht="13.8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2:36" ht="13.8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2:36" ht="13.8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2:36" ht="13.8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2:36" ht="13.8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2:36" ht="13.8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2:36" ht="13.8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2:36" ht="13.8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2:36" ht="13.8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2:36" ht="13.8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2:36" ht="13.8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2:36" ht="13.8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2:36" ht="13.8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2:36" ht="13.8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2:36" ht="13.8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2:36" ht="13.8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2:36" ht="13.8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2:36" ht="13.8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2:36" ht="13.8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2:36" ht="13.8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2:36" ht="13.8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2:36" ht="13.8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2:36" ht="13.8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2:36" ht="13.8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2:36" ht="13.8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2:36" ht="13.8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2:36" ht="13.8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2:36" ht="13.8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2:36" ht="13.8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2:36" ht="13.8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2:36" ht="13.8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2:36" ht="13.8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2:36" ht="13.8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2:36" ht="13.8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2:36" ht="13.8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2:36" ht="13.8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2:36" ht="13.8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2:36" ht="13.8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2:36" ht="13.8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2:36" ht="13.8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2:36" ht="13.8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2:36" ht="13.8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2:36" ht="13.8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2:36" ht="13.8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2:36" ht="13.8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2:36" ht="13.8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2:36" ht="13.8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2:36" ht="13.8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2:36" ht="13.8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2:36" ht="13.8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2:36" ht="13.8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2:36" ht="13.8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2:36" ht="13.8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2:36" ht="13.8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2:36" ht="13.8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2:36" ht="13.8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2:36" ht="13.8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2:36" ht="13.8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2:36" ht="13.8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2:36" ht="13.8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2:36" ht="13.8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2:36" ht="13.8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2:36" ht="13.8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2:36" ht="13.8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2:36" ht="13.8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2:36" ht="13.8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2:36" ht="13.8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2:36" ht="13.8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2:36" ht="13.8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2:36" ht="13.8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2:36" ht="13.8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2:36" ht="13.8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2:36" ht="13.8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2:36" ht="13.8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2:36" ht="13.8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2:36" ht="13.8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2:36" ht="13.8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2:36" ht="13.8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2:36" ht="13.8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2:36" ht="13.8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2:36" ht="13.8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2:36" ht="13.8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2:36" ht="13.8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2:36" ht="13.8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2:36" ht="13.8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2:36" ht="13.8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2:36" ht="13.8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2:36" ht="13.8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2:36" ht="13.8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2:36" ht="13.8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2:36" ht="13.8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2:36" ht="13.8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2:36" ht="13.8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2:36" ht="13.8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2:36" ht="13.8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2:36" ht="13.8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2:36" ht="13.8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2:36" ht="13.8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2:36" ht="13.8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2:36" ht="13.8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2:36" ht="13.8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2:36" ht="13.8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2:36" ht="13.8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2:36" ht="13.8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2:36" ht="13.8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2:36" ht="13.8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2:36" ht="13.8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2:36" ht="13.8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2:36" ht="13.8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2:36" ht="13.8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2:36" ht="13.8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2:36" ht="13.8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2:36" ht="13.8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2:36" ht="13.8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2:36" ht="13.8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2:36" ht="13.8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2:36" ht="13.8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2:36" ht="13.8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2:36" ht="13.8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2:36" ht="13.8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2:36" ht="13.8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2:36" ht="13.8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2:36" ht="13.8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2:36" ht="13.8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2:36" ht="13.8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2:36" ht="13.8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2:36" ht="13.8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2:36" ht="13.8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2:36" ht="13.8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2:36" ht="13.8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2:36" ht="13.8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2:36" ht="13.8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2:36" ht="13.8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2:36" ht="13.8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2:36" ht="13.8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2:36" ht="13.8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2:36" ht="13.8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2:36" ht="13.8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2:36" ht="13.8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2:36" ht="13.8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2:36" ht="13.8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2:36" ht="13.8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2:36" ht="13.8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2:36" ht="13.8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2:36" ht="13.8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2:36" ht="13.8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2:36" ht="13.8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2:36" ht="13.8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2:36" ht="13.8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2:36" ht="13.8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2:36" ht="13.8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2:36" ht="13.8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2:36" ht="13.8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2:36" ht="13.8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2:36" ht="13.8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2:36" ht="13.8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2:36" ht="13.8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2:36" ht="13.8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2:36" ht="13.8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2:36" ht="13.8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2:36" ht="13.8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2:36" ht="13.8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2:36" ht="13.8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2:36" ht="13.8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2:36" ht="13.8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2:36" ht="13.8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2:36" ht="13.8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2:36" ht="13.8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2:36" ht="13.8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2:36" ht="13.8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2:36" ht="13.8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2:36" ht="13.8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2:36" ht="13.8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2:36" ht="13.8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2:36" ht="13.8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2:36" ht="13.8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2:36" ht="13.8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2:36" ht="13.8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2:36" ht="13.8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2:36" ht="13.8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2:36" ht="13.8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2:36" ht="13.8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2:36" ht="13.8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2:36" ht="13.8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2:36" ht="13.8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2:36" ht="13.8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2:36" ht="13.8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2:36" ht="13.8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2:36" ht="13.8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2:36" ht="13.8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2:36" ht="13.8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2:36" ht="13.8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2:36" ht="13.8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2:36" ht="13.8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2:36" ht="13.8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2:36" ht="13.8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2:36" ht="13.8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2:36" ht="13.8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2:36" ht="13.8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2:36" ht="13.8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2:36" ht="13.8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2:36" ht="13.8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2:36" ht="13.8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2:36" ht="13.8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2:36" ht="13.8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2:36" ht="13.8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2:36" ht="13.8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2:36" ht="13.8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2:36" ht="13.8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2:36" ht="13.8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2:36" ht="13.8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2:36" ht="13.8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2:36" ht="13.8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2:36" ht="13.8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2:36" ht="13.8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2:36" ht="13.8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2:36" ht="13.8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2:36" ht="13.8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2:36" ht="13.8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2:36" ht="13.8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2:36" ht="13.8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2:36" ht="13.8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2:36" ht="13.8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2:36" ht="13.8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2:36" ht="13.8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2:36" ht="13.8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2:36" ht="13.8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2:36" ht="13.8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2:36" ht="13.8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2:36" ht="13.8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2:36" ht="13.8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2:36" ht="13.8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2:36" ht="13.8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2:36" ht="13.8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2:36" ht="13.8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2:36" ht="13.8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2:36" ht="13.8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2:36" ht="13.8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2:36" ht="13.8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2:36" ht="13.8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2:36" ht="13.8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2:36" ht="13.8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2:36" ht="13.8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2:36" ht="13.8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2:36" ht="13.8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2:36" ht="13.8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2:36" ht="13.8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2:36" ht="13.8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2:36" ht="13.8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2:36" ht="13.8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2:36" ht="13.8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2:36" ht="13.8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2:36" ht="13.8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2:36" ht="13.8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2:36" ht="13.8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2:36" ht="13.8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2:36" ht="13.8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2:36" ht="13.8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2:36" ht="13.8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2:36" ht="13.8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2:36" ht="13.8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2:36" ht="13.8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2:36" ht="13.8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2:36" ht="13.8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2:36" ht="13.8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2:36" ht="13.8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2:36" ht="13.8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2:36" ht="13.8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2:36" ht="13.8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2:36" ht="13.8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2:36" ht="13.8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2:36" ht="13.8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2:36" ht="13.8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2:36" ht="13.8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2:36" ht="13.8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2:36" ht="13.8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2:36" ht="13.8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2:36" ht="13.8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2:36" ht="13.8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2:36" ht="13.8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2:36" ht="13.8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2:36" ht="13.8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2:36" ht="13.8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2:36" ht="13.8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2:36" ht="13.8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2:36" ht="13.8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2:36" ht="13.8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2:36" ht="13.8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2:36" ht="13.8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2:36" ht="13.8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2:36" ht="13.8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2:36" ht="13.8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2:36" ht="13.8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2:36" ht="13.8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2:36" ht="13.8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2:36" ht="13.8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2:36" ht="13.8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2:36" ht="13.8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2:36" ht="13.8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2:36" ht="13.8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2:36" ht="13.8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2:36" ht="13.8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2:36" ht="13.8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2:36" ht="13.8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2:36" ht="13.8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2:36" ht="13.8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2:36" ht="13.8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2:36" ht="13.8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2:36" ht="13.8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2:36" ht="13.8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2:36" ht="13.8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2:36" ht="13.8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2:36" ht="13.8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2:36" ht="13.8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2:36" ht="13.8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2:36" ht="13.8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2:36" ht="13.8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2:36" ht="13.8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2:36" ht="13.8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2:36" ht="13.8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2:36" ht="13.8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2:36" ht="13.8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2:36" ht="13.8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2:36" ht="13.8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2:36" ht="13.8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2:36" ht="13.8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2:36" ht="13.8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2:36" ht="13.8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2:36" ht="13.8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2:36" ht="13.8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2:36" ht="13.8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2:36" ht="13.8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2:36" ht="13.8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2:36" ht="13.8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2:36" ht="13.8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2:36" ht="13.8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2:36" ht="13.8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2:36" ht="13.8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2:36" ht="13.8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2:36" ht="13.8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2:36" ht="13.8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2:36" ht="13.8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2:36" ht="13.8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2:36" ht="13.8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2:36" ht="13.8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2:36" ht="13.8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2:36" ht="13.8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2:36" ht="13.8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2:36" ht="13.8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2:36" ht="13.8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2:36" ht="13.8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2:36" ht="13.8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2:36" ht="13.8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2:36" ht="13.8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2:36" ht="13.8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2:36" ht="13.8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2:36" ht="13.8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2:36" ht="13.8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2:36" ht="13.8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2:36" ht="13.8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2:36" ht="13.8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2:36" ht="13.8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2:36" ht="13.8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2:36" ht="13.8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2:36" ht="13.8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2:36" ht="13.8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2:36" ht="13.8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2:36" ht="13.8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2:36" ht="13.8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2:36" ht="13.8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2:36" ht="13.8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2:36" ht="13.8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2:36" ht="13.8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2:36" ht="13.8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2:36" ht="13.8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2:36" ht="13.8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2:36" ht="13.8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2:36" ht="13.8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2:36" ht="13.8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2:36" ht="13.8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2:36" ht="13.8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2:36" ht="13.8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2:36" ht="13.8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2:36" ht="13.8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2:36" ht="13.8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2:36" ht="13.8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2:36" ht="13.8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2:36" ht="13.8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2:36" ht="13.8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2:36" ht="13.8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2:36" ht="13.8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2:36" ht="13.8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2:36" ht="13.8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2:36" ht="13.8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2:36" ht="13.8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2:36" ht="13.8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2:36" ht="13.8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2:36" ht="13.8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2:36" ht="13.8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2:36" ht="13.8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2:36" ht="13.8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2:36" ht="13.8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2:36" ht="13.8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2:36" ht="13.8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2:36" ht="13.8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2:36" ht="13.8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2:36" ht="13.8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2:36" ht="13.8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2:36" ht="13.8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2:36" ht="13.8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2:36" ht="13.8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2:36" ht="13.8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2:36" ht="13.8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2:36" ht="13.8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2:36" ht="13.8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2:36" ht="13.8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2:36" ht="13.8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2:36" ht="13.8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2:36" ht="13.8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2:36" ht="13.8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2:36" ht="13.8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2:36" ht="13.8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2:36" ht="13.8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2:36" ht="13.8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2:36" ht="13.8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2:36" ht="13.8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2:36" ht="13.8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2:36" ht="13.8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2:36" ht="13.8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2:36" ht="13.8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2:36" ht="13.8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2:36" ht="13.8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2:36" ht="13.8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2:36" ht="13.8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2:36" ht="13.8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2:36" ht="13.8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2:36" ht="13.8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2:36" ht="13.8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2:36" ht="13.8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2:36" ht="13.8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2:36" ht="13.8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2:36" ht="13.8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2:36" ht="13.8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2:36" ht="13.8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2:36" ht="13.8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2:36" ht="13.8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2:36" ht="13.8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2:36" ht="13.8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2:36" ht="13.8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2:36" ht="13.8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2:36" ht="13.8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2:36" ht="13.8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2:36" ht="13.8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2:36" ht="13.8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2:36" ht="13.8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2:36" ht="13.8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2:36" ht="13.8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2:36" ht="13.8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2:36" ht="13.8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2:36" ht="13.8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2:36" ht="13.8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2:36" ht="13.8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2:36" ht="13.8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2:36" ht="13.8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2:36" ht="13.8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2:36" ht="13.8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2:36" ht="13.8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2:36" ht="13.8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2:36" ht="13.8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2:36" ht="13.8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2:36" ht="13.8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2:36" ht="13.8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2:36" ht="13.8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2:36" ht="13.8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2:36" ht="13.8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2:36" ht="13.8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2:36" ht="13.8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2:36" ht="13.8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2:36" ht="13.8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2:36" ht="13.8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2:36" ht="13.8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2:36" ht="13.8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2:36" ht="13.8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2:36" ht="13.8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2:36" ht="13.8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2:36" ht="13.8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2:36" ht="13.8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2:36" ht="13.8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2:36" ht="13.8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2:36" ht="13.8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2:36" ht="13.8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2:36" ht="13.8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2:36" ht="13.8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2:36" ht="13.8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2:36" ht="13.8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2:36" ht="13.8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2:36" ht="13.8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2:36" ht="13.8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2:36" ht="13.8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2:36" ht="13.8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2:36" ht="13.8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2:36" ht="13.8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2:36" ht="13.8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2:36" ht="13.8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2:36" ht="13.8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2:36" ht="13.8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2:36" ht="13.8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2:36" ht="13.8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2:36" ht="13.8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2:36" ht="13.8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2:36" ht="13.8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2:36" ht="13.8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2:36" ht="13.8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2:36" ht="13.8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2:36" ht="13.8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2:36" ht="13.8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2:36" ht="13.8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2:36" ht="13.8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2:36" ht="13.8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2:36" ht="13.8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2:36" ht="13.8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2:36" ht="13.8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2:36" ht="13.8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2:36" ht="13.8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2:36" ht="13.8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2:36" ht="13.8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2:36" ht="13.8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2:36" ht="13.8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2:36" ht="13.8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2:36" ht="13.8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2:36" ht="13.8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2:36" ht="13.8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2:36" ht="13.8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2:36" ht="13.8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2:36" ht="13.8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2:36" ht="13.8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2:36" ht="13.8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2:36" ht="13.8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2:36" ht="13.8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2:36" ht="13.8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2:36" ht="13.8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spans="2:36" ht="13.8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spans="2:36" ht="13.8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spans="2:36" ht="13.8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spans="2:36" ht="13.8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spans="2:36" ht="13.8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spans="2:36" ht="13.8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spans="2:36" ht="13.8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spans="2:36" ht="13.8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spans="2:36" ht="13.8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spans="2:36" ht="13.8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spans="2:36" ht="13.8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spans="2:36" ht="13.8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spans="2:36" ht="13.8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spans="2:36" ht="13.8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spans="2:36" ht="13.8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spans="2:36" ht="13.8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spans="2:36" ht="13.8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spans="2:36" ht="13.8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spans="2:36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spans="2:36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</sheetData>
  <mergeCells count="9">
    <mergeCell ref="AH5:AH6"/>
    <mergeCell ref="AI5:AI6"/>
    <mergeCell ref="AJ5:AJ6"/>
    <mergeCell ref="B5:B6"/>
    <mergeCell ref="D5:O5"/>
    <mergeCell ref="Q5:Q6"/>
    <mergeCell ref="R5:R6"/>
    <mergeCell ref="S5:S6"/>
    <mergeCell ref="U5:AF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B1:AU843"/>
  <sheetViews>
    <sheetView showGridLines="0" zoomScale="68" zoomScaleNormal="68" workbookViewId="0">
      <selection activeCell="B3" sqref="B3"/>
    </sheetView>
  </sheetViews>
  <sheetFormatPr baseColWidth="10" defaultColWidth="12.6640625" defaultRowHeight="13.2"/>
  <cols>
    <col min="1" max="1" width="12.6640625" style="62"/>
    <col min="2" max="2" width="35" style="62" bestFit="1" customWidth="1"/>
    <col min="3" max="8" width="12.6640625" style="62" hidden="1" customWidth="1"/>
    <col min="9" max="9" width="14.5546875" style="62" hidden="1" customWidth="1"/>
    <col min="10" max="21" width="12.6640625" style="62" hidden="1" customWidth="1"/>
    <col min="22" max="22" width="5.109375" style="62" customWidth="1"/>
    <col min="23" max="28" width="12.6640625" style="62" customWidth="1"/>
    <col min="29" max="29" width="14.5546875" style="62" customWidth="1"/>
    <col min="30" max="30" width="12.6640625" style="62" customWidth="1"/>
    <col min="31" max="31" width="13.5546875" style="62" customWidth="1"/>
    <col min="32" max="45" width="12.6640625" style="62" customWidth="1"/>
    <col min="46" max="16384" width="12.6640625" style="62"/>
  </cols>
  <sheetData>
    <row r="1" spans="2:47" ht="15.75" customHeight="1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1"/>
      <c r="AN1" s="61"/>
      <c r="AO1" s="61"/>
      <c r="AP1" s="61"/>
      <c r="AQ1" s="61"/>
      <c r="AR1" s="61"/>
      <c r="AS1" s="61"/>
      <c r="AT1" s="61"/>
      <c r="AU1" s="61"/>
    </row>
    <row r="2" spans="2:47" ht="15.75" customHeight="1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1"/>
      <c r="AN2" s="61"/>
      <c r="AO2" s="61"/>
      <c r="AP2" s="61"/>
      <c r="AQ2" s="61"/>
      <c r="AR2" s="61"/>
      <c r="AS2" s="61"/>
      <c r="AT2" s="61"/>
      <c r="AU2" s="61"/>
    </row>
    <row r="3" spans="2:47" ht="24" customHeight="1">
      <c r="B3" s="63" t="s">
        <v>291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3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1"/>
      <c r="AN3" s="61"/>
      <c r="AO3" s="61"/>
      <c r="AP3" s="61"/>
      <c r="AQ3" s="61"/>
      <c r="AR3" s="61"/>
      <c r="AS3" s="61"/>
      <c r="AT3" s="61"/>
      <c r="AU3" s="61"/>
    </row>
    <row r="4" spans="2:47" ht="30" customHeight="1">
      <c r="B4" s="63"/>
      <c r="C4" s="244"/>
      <c r="D4" s="245"/>
      <c r="E4" s="245"/>
      <c r="F4" s="245"/>
      <c r="G4" s="245"/>
      <c r="H4" s="245"/>
      <c r="I4" s="246">
        <v>2022</v>
      </c>
      <c r="J4" s="245"/>
      <c r="K4" s="245"/>
      <c r="L4" s="245"/>
      <c r="M4" s="245"/>
      <c r="N4" s="247"/>
      <c r="O4" s="248"/>
      <c r="P4" s="64"/>
      <c r="Q4" s="64"/>
      <c r="R4" s="64"/>
      <c r="S4" s="64"/>
      <c r="T4" s="64"/>
      <c r="U4" s="64"/>
      <c r="V4" s="63"/>
      <c r="W4" s="244"/>
      <c r="X4" s="245"/>
      <c r="Y4" s="245"/>
      <c r="Z4" s="245"/>
      <c r="AA4" s="245"/>
      <c r="AB4" s="245"/>
      <c r="AC4" s="246">
        <v>2023</v>
      </c>
      <c r="AD4" s="245"/>
      <c r="AE4" s="245"/>
      <c r="AF4" s="245"/>
      <c r="AG4" s="245"/>
      <c r="AH4" s="247"/>
      <c r="AI4" s="64"/>
      <c r="AJ4" s="64"/>
      <c r="AK4" s="64"/>
      <c r="AL4" s="64"/>
      <c r="AM4" s="61"/>
      <c r="AN4" s="61"/>
      <c r="AO4" s="61"/>
      <c r="AP4" s="61"/>
      <c r="AQ4" s="61"/>
      <c r="AR4" s="61"/>
      <c r="AS4" s="61"/>
      <c r="AT4" s="61"/>
      <c r="AU4" s="61"/>
    </row>
    <row r="5" spans="2:47" ht="15.75" customHeight="1">
      <c r="B5" s="297" t="s">
        <v>2</v>
      </c>
      <c r="C5" s="304" t="s">
        <v>3</v>
      </c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248"/>
      <c r="P5" s="303" t="s">
        <v>5</v>
      </c>
      <c r="Q5" s="303" t="s">
        <v>6</v>
      </c>
      <c r="R5" s="242"/>
      <c r="S5" s="242"/>
      <c r="T5" s="242"/>
      <c r="U5" s="303" t="s">
        <v>7</v>
      </c>
      <c r="V5" s="60"/>
      <c r="W5" s="304" t="s">
        <v>4</v>
      </c>
      <c r="X5" s="304"/>
      <c r="Y5" s="304"/>
      <c r="Z5" s="304"/>
      <c r="AA5" s="304"/>
      <c r="AB5" s="304"/>
      <c r="AC5" s="304"/>
      <c r="AD5" s="304"/>
      <c r="AE5" s="304"/>
      <c r="AF5" s="304"/>
      <c r="AG5" s="304"/>
      <c r="AH5" s="304"/>
      <c r="AI5" s="65"/>
      <c r="AJ5" s="303" t="s">
        <v>5</v>
      </c>
      <c r="AK5" s="303" t="s">
        <v>6</v>
      </c>
      <c r="AL5" s="303" t="s">
        <v>7</v>
      </c>
      <c r="AM5" s="61"/>
      <c r="AN5" s="61"/>
      <c r="AO5" s="61"/>
      <c r="AP5" s="61"/>
      <c r="AQ5" s="61"/>
      <c r="AR5" s="61"/>
      <c r="AS5" s="61"/>
      <c r="AT5" s="61"/>
      <c r="AU5" s="61"/>
    </row>
    <row r="6" spans="2:47" ht="15.75" customHeight="1">
      <c r="B6" s="298"/>
      <c r="C6" s="66" t="s">
        <v>8</v>
      </c>
      <c r="D6" s="67">
        <v>44614</v>
      </c>
      <c r="E6" s="67">
        <v>44642</v>
      </c>
      <c r="F6" s="66" t="s">
        <v>9</v>
      </c>
      <c r="G6" s="67">
        <v>44703</v>
      </c>
      <c r="H6" s="67">
        <v>44734</v>
      </c>
      <c r="I6" s="249">
        <v>44743</v>
      </c>
      <c r="J6" s="67" t="s">
        <v>10</v>
      </c>
      <c r="K6" s="67" t="s">
        <v>11</v>
      </c>
      <c r="L6" s="249">
        <v>44835</v>
      </c>
      <c r="M6" s="67">
        <v>44887</v>
      </c>
      <c r="N6" s="67" t="s">
        <v>12</v>
      </c>
      <c r="O6" s="248"/>
      <c r="P6" s="298"/>
      <c r="Q6" s="298"/>
      <c r="R6" s="186"/>
      <c r="S6" s="186"/>
      <c r="T6" s="186"/>
      <c r="U6" s="298"/>
      <c r="V6" s="186"/>
      <c r="W6" s="190" t="s">
        <v>111</v>
      </c>
      <c r="X6" s="191">
        <v>44980</v>
      </c>
      <c r="Y6" s="191">
        <v>45008</v>
      </c>
      <c r="Z6" s="190" t="s">
        <v>112</v>
      </c>
      <c r="AA6" s="191">
        <v>45069</v>
      </c>
      <c r="AB6" s="191">
        <v>45100</v>
      </c>
      <c r="AC6" s="250">
        <v>45108</v>
      </c>
      <c r="AD6" s="191" t="s">
        <v>113</v>
      </c>
      <c r="AE6" s="191">
        <v>45170</v>
      </c>
      <c r="AF6" s="250">
        <v>45200</v>
      </c>
      <c r="AG6" s="191">
        <v>45253</v>
      </c>
      <c r="AH6" s="191" t="s">
        <v>114</v>
      </c>
      <c r="AI6" s="65"/>
      <c r="AJ6" s="298"/>
      <c r="AK6" s="298"/>
      <c r="AL6" s="298"/>
      <c r="AM6" s="61"/>
      <c r="AN6" s="61"/>
      <c r="AO6" s="61"/>
      <c r="AP6" s="61"/>
      <c r="AQ6" s="61"/>
      <c r="AR6" s="61"/>
      <c r="AS6" s="61"/>
      <c r="AT6" s="61"/>
      <c r="AU6" s="61"/>
    </row>
    <row r="7" spans="2:47" ht="15.75" customHeight="1">
      <c r="B7" s="68"/>
      <c r="C7" s="69"/>
      <c r="D7" s="69"/>
      <c r="E7" s="69"/>
      <c r="F7" s="70">
        <f>AVERAGE(F10:H10)</f>
        <v>17052</v>
      </c>
      <c r="G7" s="69"/>
      <c r="H7" s="69"/>
      <c r="I7" s="71">
        <v>0.7</v>
      </c>
      <c r="J7" s="72">
        <v>0.4</v>
      </c>
      <c r="K7" s="71">
        <v>1.3</v>
      </c>
      <c r="L7" s="71">
        <v>1.5</v>
      </c>
      <c r="M7" s="71">
        <v>2</v>
      </c>
      <c r="N7" s="71">
        <v>1.6</v>
      </c>
      <c r="O7" s="248"/>
      <c r="P7" s="73"/>
      <c r="Q7" s="73"/>
      <c r="R7" s="73"/>
      <c r="S7" s="73"/>
      <c r="T7" s="73"/>
      <c r="U7" s="69"/>
      <c r="V7" s="68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73"/>
      <c r="AJ7" s="73"/>
      <c r="AK7" s="73"/>
      <c r="AL7" s="69"/>
      <c r="AM7" s="61"/>
      <c r="AN7" s="61"/>
      <c r="AO7" s="61"/>
      <c r="AP7" s="61"/>
      <c r="AQ7" s="61"/>
      <c r="AR7" s="61"/>
      <c r="AS7" s="61"/>
      <c r="AT7" s="61"/>
      <c r="AU7" s="61"/>
    </row>
    <row r="8" spans="2:47" ht="15.75" customHeight="1">
      <c r="B8" s="68"/>
      <c r="C8" s="69"/>
      <c r="D8" s="69"/>
      <c r="E8" s="69"/>
      <c r="F8" s="70">
        <f>AVERAGE(F11:H11)</f>
        <v>13577</v>
      </c>
      <c r="G8" s="69"/>
      <c r="H8" s="69"/>
      <c r="I8" s="71">
        <v>0.6</v>
      </c>
      <c r="J8" s="72">
        <v>0.4</v>
      </c>
      <c r="K8" s="71">
        <v>0.8</v>
      </c>
      <c r="L8" s="71">
        <v>1</v>
      </c>
      <c r="M8" s="71">
        <v>1.3</v>
      </c>
      <c r="N8" s="71">
        <v>0.9</v>
      </c>
      <c r="O8" s="248"/>
      <c r="P8" s="73"/>
      <c r="Q8" s="73"/>
      <c r="R8" s="73"/>
      <c r="S8" s="73"/>
      <c r="T8" s="73"/>
      <c r="U8" s="69"/>
      <c r="V8" s="68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73"/>
      <c r="AJ8" s="73"/>
      <c r="AK8" s="73"/>
      <c r="AL8" s="69"/>
      <c r="AM8" s="61"/>
      <c r="AN8" s="61"/>
      <c r="AO8" s="61"/>
      <c r="AP8" s="61"/>
      <c r="AQ8" s="61"/>
      <c r="AR8" s="61"/>
      <c r="AS8" s="61"/>
      <c r="AT8" s="61"/>
      <c r="AU8" s="61"/>
    </row>
    <row r="9" spans="2:47" ht="15.75" customHeight="1">
      <c r="B9" s="74" t="s">
        <v>13</v>
      </c>
      <c r="C9" s="75">
        <f>SUM(C10:C18)</f>
        <v>33020</v>
      </c>
      <c r="D9" s="75">
        <f t="shared" ref="D9:N9" si="0">SUM(D10:D18)</f>
        <v>67083</v>
      </c>
      <c r="E9" s="75">
        <f t="shared" si="0"/>
        <v>125578</v>
      </c>
      <c r="F9" s="75">
        <f t="shared" si="0"/>
        <v>113740</v>
      </c>
      <c r="G9" s="75">
        <f t="shared" si="0"/>
        <v>145816</v>
      </c>
      <c r="H9" s="75">
        <f t="shared" si="0"/>
        <v>119888</v>
      </c>
      <c r="I9" s="75">
        <f t="shared" si="0"/>
        <v>54220</v>
      </c>
      <c r="J9" s="75">
        <f t="shared" si="0"/>
        <v>31036</v>
      </c>
      <c r="K9" s="75">
        <f t="shared" si="0"/>
        <v>64779</v>
      </c>
      <c r="L9" s="75">
        <f t="shared" si="0"/>
        <v>96263</v>
      </c>
      <c r="M9" s="75">
        <f t="shared" si="0"/>
        <v>151357</v>
      </c>
      <c r="N9" s="75">
        <f t="shared" si="0"/>
        <v>94404</v>
      </c>
      <c r="O9" s="248"/>
      <c r="P9" s="75">
        <f>SUM(C9:H9)</f>
        <v>605125</v>
      </c>
      <c r="Q9" s="76">
        <f>SUM(I9:N9)</f>
        <v>492059</v>
      </c>
      <c r="R9" s="76"/>
      <c r="S9" s="76"/>
      <c r="T9" s="76"/>
      <c r="U9" s="78">
        <f>SUM(C9:N9)</f>
        <v>1097184</v>
      </c>
      <c r="V9" s="74"/>
      <c r="W9" s="76">
        <v>91702.116499999989</v>
      </c>
      <c r="X9" s="76">
        <v>82683.977499999994</v>
      </c>
      <c r="Y9" s="76">
        <v>87419.677499999991</v>
      </c>
      <c r="Z9" s="76">
        <v>93445.677499999991</v>
      </c>
      <c r="AA9" s="76">
        <v>102622.67749999999</v>
      </c>
      <c r="AB9" s="76">
        <v>100345.67749999999</v>
      </c>
      <c r="AC9" s="76">
        <v>89445.677499999991</v>
      </c>
      <c r="AD9" s="76">
        <v>35691.4</v>
      </c>
      <c r="AE9" s="76">
        <v>89445.677499999991</v>
      </c>
      <c r="AF9" s="76">
        <v>120751.664625</v>
      </c>
      <c r="AG9" s="76">
        <v>163014.74724375003</v>
      </c>
      <c r="AH9" s="76">
        <v>137279.93654125</v>
      </c>
      <c r="AI9" s="77"/>
      <c r="AJ9" s="75">
        <f>SUM(W9:AB9)</f>
        <v>558219.804</v>
      </c>
      <c r="AK9" s="76">
        <f>SUM(AC9:AH9)</f>
        <v>635629.10340999998</v>
      </c>
      <c r="AL9" s="78">
        <f>SUM(W9:AH9)</f>
        <v>1193848.90741</v>
      </c>
      <c r="AM9" s="61"/>
      <c r="AN9" s="61"/>
      <c r="AO9" s="61"/>
      <c r="AP9" s="61"/>
      <c r="AQ9" s="61"/>
      <c r="AR9" s="61"/>
      <c r="AS9" s="61"/>
      <c r="AT9" s="61"/>
      <c r="AU9" s="61"/>
    </row>
    <row r="10" spans="2:47" ht="15.75" customHeight="1">
      <c r="B10" s="79" t="s">
        <v>153</v>
      </c>
      <c r="C10" s="80">
        <v>4244</v>
      </c>
      <c r="D10" s="80">
        <v>8885</v>
      </c>
      <c r="E10" s="80">
        <v>16665</v>
      </c>
      <c r="F10" s="80">
        <v>14746</v>
      </c>
      <c r="G10" s="80">
        <v>20311</v>
      </c>
      <c r="H10" s="80">
        <v>16099</v>
      </c>
      <c r="I10" s="80">
        <v>7135</v>
      </c>
      <c r="J10" s="80">
        <v>3543</v>
      </c>
      <c r="K10" s="80">
        <v>7394</v>
      </c>
      <c r="L10" s="80">
        <v>10988</v>
      </c>
      <c r="M10" s="80">
        <v>17277</v>
      </c>
      <c r="N10" s="80">
        <v>10776</v>
      </c>
      <c r="O10" s="248"/>
      <c r="P10" s="80">
        <f>SUM(C10:H10)</f>
        <v>80950</v>
      </c>
      <c r="Q10" s="81">
        <f>SUM(I10:N10)</f>
        <v>57113</v>
      </c>
      <c r="R10" s="251">
        <f>P10/$P$9</f>
        <v>0.1337740136335468</v>
      </c>
      <c r="S10" s="251">
        <f>Q10/$Q$9</f>
        <v>0.11606941444013828</v>
      </c>
      <c r="T10" s="251">
        <f>U10/$U$9</f>
        <v>0.12583395310175868</v>
      </c>
      <c r="U10" s="83">
        <f>SUM(C10:N10)</f>
        <v>138063</v>
      </c>
      <c r="V10" s="79"/>
      <c r="W10" s="81">
        <f>$W$9*T10</f>
        <v>11539.239826993009</v>
      </c>
      <c r="X10" s="81">
        <f>$X$9*T10</f>
        <v>10404.451747001869</v>
      </c>
      <c r="Y10" s="81">
        <f>$Y$9*T10</f>
        <v>11000.363598705868</v>
      </c>
      <c r="Z10" s="81">
        <f>$Z$9*T10</f>
        <v>11758.639000097066</v>
      </c>
      <c r="AA10" s="81">
        <f>$AA$9*T10</f>
        <v>12913.417187711904</v>
      </c>
      <c r="AB10" s="81">
        <f>$AB$9*T10</f>
        <v>12626.893276499201</v>
      </c>
      <c r="AC10" s="81">
        <f>$AC$9*T10</f>
        <v>11255.303187690031</v>
      </c>
      <c r="AD10" s="81">
        <f>$AD$9*T10</f>
        <v>4491.1899537361096</v>
      </c>
      <c r="AE10" s="81">
        <f>$AE$9*T10</f>
        <v>11255.303187690031</v>
      </c>
      <c r="AF10" s="81">
        <f>$AF$9*T10</f>
        <v>15194.659303381544</v>
      </c>
      <c r="AG10" s="81">
        <f>$AG$9*T10</f>
        <v>20512.790059565086</v>
      </c>
      <c r="AH10" s="81">
        <f>$AH$9*T10</f>
        <v>17274.477096544062</v>
      </c>
      <c r="AI10" s="82"/>
      <c r="AJ10" s="80">
        <f>SUM(W10:AB10)</f>
        <v>70243.004637008926</v>
      </c>
      <c r="AK10" s="81">
        <f>SUM(AC10:AH10)</f>
        <v>79983.722788606858</v>
      </c>
      <c r="AL10" s="83">
        <f>SUM(W10:AH10)</f>
        <v>150226.72742561577</v>
      </c>
      <c r="AM10" s="61"/>
      <c r="AN10" s="61"/>
      <c r="AO10" s="61"/>
      <c r="AP10" s="61"/>
      <c r="AQ10" s="61"/>
      <c r="AR10" s="61"/>
      <c r="AS10" s="61"/>
      <c r="AT10" s="61"/>
      <c r="AU10" s="61"/>
    </row>
    <row r="11" spans="2:47" ht="15.75" customHeight="1">
      <c r="B11" s="79" t="s">
        <v>154</v>
      </c>
      <c r="C11" s="80">
        <v>3379</v>
      </c>
      <c r="D11" s="80">
        <v>7075</v>
      </c>
      <c r="E11" s="80">
        <v>13269</v>
      </c>
      <c r="F11" s="80">
        <v>11741</v>
      </c>
      <c r="G11" s="80">
        <v>16172</v>
      </c>
      <c r="H11" s="80">
        <v>12818</v>
      </c>
      <c r="I11" s="80">
        <v>5681</v>
      </c>
      <c r="J11" s="80">
        <v>2821</v>
      </c>
      <c r="K11" s="80">
        <v>5887</v>
      </c>
      <c r="L11" s="80">
        <v>8748</v>
      </c>
      <c r="M11" s="80">
        <v>13755</v>
      </c>
      <c r="N11" s="80">
        <v>8580</v>
      </c>
      <c r="O11" s="248"/>
      <c r="P11" s="80">
        <f>SUM(C11:H11)</f>
        <v>64454</v>
      </c>
      <c r="Q11" s="81">
        <f>SUM(I11:N11)</f>
        <v>45472</v>
      </c>
      <c r="R11" s="251">
        <f t="shared" ref="R11:R18" si="1">P11/$P$9</f>
        <v>0.10651353026234249</v>
      </c>
      <c r="S11" s="251">
        <f t="shared" ref="S11:S17" si="2">Q11/$Q$9</f>
        <v>9.2411682338906509E-2</v>
      </c>
      <c r="T11" s="251">
        <f t="shared" ref="T11:T17" si="3">U11/$U$9</f>
        <v>0.10018921165456296</v>
      </c>
      <c r="U11" s="83">
        <f>SUM(C11:N11)</f>
        <v>109926</v>
      </c>
      <c r="V11" s="79"/>
      <c r="W11" s="81">
        <f t="shared" ref="W11:W17" si="4">$W$9*T11</f>
        <v>9187.5627591898883</v>
      </c>
      <c r="X11" s="81">
        <f t="shared" ref="X11:X17" si="5">$X$9*T11</f>
        <v>8284.0425221886217</v>
      </c>
      <c r="Y11" s="81">
        <f t="shared" ref="Y11:Y17" si="6">$Y$9*T11</f>
        <v>8758.508571821134</v>
      </c>
      <c r="Z11" s="81">
        <f t="shared" ref="Z11:Z17" si="7">$Z$9*T11</f>
        <v>9362.2487612515306</v>
      </c>
      <c r="AA11" s="81">
        <f t="shared" ref="AA11:AA17" si="8">$AA$9*T11</f>
        <v>10281.685156605456</v>
      </c>
      <c r="AB11" s="81">
        <f t="shared" ref="AB11:AB17" si="9">$AB$9*T11</f>
        <v>10053.554321668014</v>
      </c>
      <c r="AC11" s="81">
        <f t="shared" ref="AC11:AC17" si="10">$AC$9*T11</f>
        <v>8961.4919146332795</v>
      </c>
      <c r="AD11" s="81">
        <f t="shared" ref="AD11:AD17" si="11">$AD$9*T11</f>
        <v>3575.8932288476685</v>
      </c>
      <c r="AE11" s="81">
        <f t="shared" ref="AE11:AE17" si="12">$AE$9*T11</f>
        <v>8961.4919146332795</v>
      </c>
      <c r="AF11" s="81">
        <f t="shared" ref="AF11:AF17" si="13">$AF$9*T11</f>
        <v>12098.014084754928</v>
      </c>
      <c r="AG11" s="81">
        <f t="shared" ref="AG11:AG17" si="14">$AG$9*T11</f>
        <v>16332.319014419156</v>
      </c>
      <c r="AH11" s="81">
        <f t="shared" ref="AH11:AH17" si="15">$AH$9*T11</f>
        <v>13753.968618056268</v>
      </c>
      <c r="AI11" s="82"/>
      <c r="AJ11" s="80">
        <f>SUM(W11:AB11)</f>
        <v>55927.602092724643</v>
      </c>
      <c r="AK11" s="81">
        <f>SUM(AC11:AH11)</f>
        <v>63683.178775344582</v>
      </c>
      <c r="AL11" s="83">
        <f>SUM(W11:AH11)</f>
        <v>119610.78086806924</v>
      </c>
      <c r="AM11" s="61"/>
      <c r="AN11" s="61"/>
      <c r="AO11" s="61"/>
      <c r="AP11" s="61"/>
      <c r="AQ11" s="61"/>
      <c r="AR11" s="61"/>
      <c r="AS11" s="61"/>
      <c r="AT11" s="61"/>
      <c r="AU11" s="61"/>
    </row>
    <row r="12" spans="2:47" ht="15.75" customHeight="1">
      <c r="B12" s="79" t="s">
        <v>155</v>
      </c>
      <c r="C12" s="80">
        <v>2387</v>
      </c>
      <c r="D12" s="80">
        <v>4998</v>
      </c>
      <c r="E12" s="80">
        <v>9374</v>
      </c>
      <c r="F12" s="80">
        <v>8295</v>
      </c>
      <c r="G12" s="80">
        <v>1425</v>
      </c>
      <c r="H12" s="80">
        <v>9056</v>
      </c>
      <c r="I12" s="80">
        <v>4013</v>
      </c>
      <c r="J12" s="80">
        <v>1993</v>
      </c>
      <c r="K12" s="80">
        <v>4159</v>
      </c>
      <c r="L12" s="80">
        <v>6181</v>
      </c>
      <c r="M12" s="80">
        <v>9718</v>
      </c>
      <c r="N12" s="80">
        <v>6061</v>
      </c>
      <c r="O12" s="248"/>
      <c r="P12" s="80">
        <f t="shared" ref="P12:P17" si="16">SUM(C12:H12)</f>
        <v>35535</v>
      </c>
      <c r="Q12" s="81">
        <f t="shared" ref="Q12:Q18" si="17">SUM(I12:N12)</f>
        <v>32125</v>
      </c>
      <c r="R12" s="251">
        <f t="shared" si="1"/>
        <v>5.8723404255319148E-2</v>
      </c>
      <c r="S12" s="251">
        <f t="shared" si="2"/>
        <v>6.5286886328671967E-2</v>
      </c>
      <c r="T12" s="251">
        <f t="shared" si="3"/>
        <v>6.1666958322396243E-2</v>
      </c>
      <c r="U12" s="83">
        <f t="shared" ref="U12:U18" si="18">SUM(C12:N12)</f>
        <v>67660</v>
      </c>
      <c r="V12" s="79"/>
      <c r="W12" s="81">
        <f t="shared" si="4"/>
        <v>5654.9905962810244</v>
      </c>
      <c r="X12" s="81">
        <f t="shared" si="5"/>
        <v>5098.8693944224478</v>
      </c>
      <c r="Y12" s="81">
        <f t="shared" si="6"/>
        <v>5390.9056089498199</v>
      </c>
      <c r="Z12" s="81">
        <f t="shared" si="7"/>
        <v>5762.5106998005795</v>
      </c>
      <c r="AA12" s="81">
        <f t="shared" si="8"/>
        <v>6328.4283763252097</v>
      </c>
      <c r="AB12" s="81">
        <f t="shared" si="9"/>
        <v>6188.0127122251142</v>
      </c>
      <c r="AC12" s="81">
        <f t="shared" si="10"/>
        <v>5515.842866510995</v>
      </c>
      <c r="AD12" s="81">
        <f t="shared" si="11"/>
        <v>2200.9800762679733</v>
      </c>
      <c r="AE12" s="81">
        <f t="shared" si="12"/>
        <v>5515.842866510995</v>
      </c>
      <c r="AF12" s="81">
        <f t="shared" si="13"/>
        <v>7446.3878697898444</v>
      </c>
      <c r="AG12" s="81">
        <f t="shared" si="14"/>
        <v>10052.62362421629</v>
      </c>
      <c r="AH12" s="81">
        <f t="shared" si="15"/>
        <v>8465.6361251904655</v>
      </c>
      <c r="AI12" s="82"/>
      <c r="AJ12" s="80">
        <f t="shared" ref="AJ12:AJ17" si="19">SUM(W12:AB12)</f>
        <v>34423.717388004196</v>
      </c>
      <c r="AK12" s="81">
        <f t="shared" ref="AK12:AK17" si="20">SUM(AC12:AH12)</f>
        <v>39197.313428486566</v>
      </c>
      <c r="AL12" s="83">
        <f t="shared" ref="AL12:AL17" si="21">SUM(W12:AH12)</f>
        <v>73621.030816490762</v>
      </c>
      <c r="AM12" s="61"/>
      <c r="AN12" s="61"/>
      <c r="AO12" s="61"/>
      <c r="AP12" s="61"/>
      <c r="AQ12" s="61"/>
      <c r="AR12" s="61"/>
      <c r="AS12" s="61"/>
      <c r="AT12" s="61"/>
      <c r="AU12" s="61"/>
    </row>
    <row r="13" spans="2:47" ht="15.75" customHeight="1">
      <c r="B13" s="79" t="s">
        <v>156</v>
      </c>
      <c r="C13" s="80">
        <v>12894</v>
      </c>
      <c r="D13" s="80">
        <v>17282</v>
      </c>
      <c r="E13" s="80">
        <v>29068</v>
      </c>
      <c r="F13" s="80">
        <v>20995</v>
      </c>
      <c r="G13" s="80">
        <v>32068</v>
      </c>
      <c r="H13" s="80">
        <v>22311</v>
      </c>
      <c r="I13" s="80">
        <v>11814</v>
      </c>
      <c r="J13" s="80">
        <v>5866</v>
      </c>
      <c r="K13" s="80">
        <v>12244</v>
      </c>
      <c r="L13" s="80">
        <v>18195</v>
      </c>
      <c r="M13" s="80">
        <v>28608</v>
      </c>
      <c r="N13" s="80">
        <v>17843</v>
      </c>
      <c r="O13" s="248"/>
      <c r="P13" s="80">
        <f t="shared" si="16"/>
        <v>134618</v>
      </c>
      <c r="Q13" s="81">
        <f t="shared" si="17"/>
        <v>94570</v>
      </c>
      <c r="R13" s="251">
        <f t="shared" si="1"/>
        <v>0.22246312745300559</v>
      </c>
      <c r="S13" s="251">
        <f t="shared" si="2"/>
        <v>0.19219239969190685</v>
      </c>
      <c r="T13" s="251">
        <f t="shared" si="3"/>
        <v>0.20888747921952927</v>
      </c>
      <c r="U13" s="83">
        <f t="shared" si="18"/>
        <v>229188</v>
      </c>
      <c r="V13" s="79"/>
      <c r="W13" s="81">
        <f t="shared" si="4"/>
        <v>19155.423954780599</v>
      </c>
      <c r="X13" s="81">
        <f t="shared" si="5"/>
        <v>17271.647631819273</v>
      </c>
      <c r="Y13" s="81">
        <f t="shared" si="6"/>
        <v>18260.876067159199</v>
      </c>
      <c r="Z13" s="81">
        <v>14639.72401270206</v>
      </c>
      <c r="AA13" s="81">
        <v>16077.444310300278</v>
      </c>
      <c r="AB13" s="81">
        <v>15720.716717663126</v>
      </c>
      <c r="AC13" s="81">
        <v>14013.061575043474</v>
      </c>
      <c r="AD13" s="81">
        <v>5591.6149318619309</v>
      </c>
      <c r="AE13" s="81">
        <v>14013.061575043474</v>
      </c>
      <c r="AF13" s="81">
        <v>18917.633126308694</v>
      </c>
      <c r="AG13" s="81">
        <v>25538.804720516739</v>
      </c>
      <c r="AH13" s="81">
        <v>21507.044918638992</v>
      </c>
      <c r="AI13" s="82"/>
      <c r="AJ13" s="80">
        <f t="shared" si="19"/>
        <v>101125.83269442455</v>
      </c>
      <c r="AK13" s="81">
        <f t="shared" si="20"/>
        <v>99581.220847413293</v>
      </c>
      <c r="AL13" s="83">
        <f t="shared" si="21"/>
        <v>200707.0535418379</v>
      </c>
      <c r="AM13" s="61"/>
      <c r="AN13" s="61"/>
      <c r="AO13" s="61"/>
      <c r="AP13" s="61"/>
      <c r="AQ13" s="61"/>
      <c r="AR13" s="61"/>
      <c r="AS13" s="61"/>
      <c r="AT13" s="61"/>
      <c r="AU13" s="61"/>
    </row>
    <row r="14" spans="2:47" ht="15.75" customHeight="1">
      <c r="B14" s="79" t="s">
        <v>157</v>
      </c>
      <c r="C14" s="80">
        <v>6012</v>
      </c>
      <c r="D14" s="80">
        <v>12747</v>
      </c>
      <c r="E14" s="80">
        <v>21125</v>
      </c>
      <c r="F14" s="80">
        <v>15966</v>
      </c>
      <c r="G14" s="80">
        <v>24435</v>
      </c>
      <c r="H14" s="80">
        <v>18445</v>
      </c>
      <c r="I14" s="80">
        <v>8681</v>
      </c>
      <c r="J14" s="80">
        <v>7173</v>
      </c>
      <c r="K14" s="80">
        <v>14972</v>
      </c>
      <c r="L14" s="80">
        <v>22248</v>
      </c>
      <c r="M14" s="80">
        <v>34982</v>
      </c>
      <c r="N14" s="80">
        <v>21819</v>
      </c>
      <c r="O14" s="248"/>
      <c r="P14" s="80">
        <f t="shared" si="16"/>
        <v>98730</v>
      </c>
      <c r="Q14" s="81">
        <f t="shared" si="17"/>
        <v>109875</v>
      </c>
      <c r="R14" s="251">
        <f t="shared" si="1"/>
        <v>0.16315637265027888</v>
      </c>
      <c r="S14" s="251">
        <f>23%</f>
        <v>0.23</v>
      </c>
      <c r="T14" s="251">
        <v>0.26</v>
      </c>
      <c r="U14" s="83">
        <f t="shared" si="18"/>
        <v>208605</v>
      </c>
      <c r="V14" s="79"/>
      <c r="W14" s="81">
        <f t="shared" si="4"/>
        <v>23842.550289999999</v>
      </c>
      <c r="X14" s="81">
        <f t="shared" si="5"/>
        <v>21497.834149999999</v>
      </c>
      <c r="Y14" s="81">
        <f t="shared" si="6"/>
        <v>22729.116149999998</v>
      </c>
      <c r="Z14" s="81">
        <f t="shared" si="7"/>
        <v>24295.87615</v>
      </c>
      <c r="AA14" s="81">
        <f t="shared" si="8"/>
        <v>26681.896149999997</v>
      </c>
      <c r="AB14" s="81">
        <f t="shared" si="9"/>
        <v>26089.87615</v>
      </c>
      <c r="AC14" s="81">
        <f t="shared" si="10"/>
        <v>23255.87615</v>
      </c>
      <c r="AD14" s="81">
        <f t="shared" si="11"/>
        <v>9279.764000000001</v>
      </c>
      <c r="AE14" s="81">
        <f t="shared" si="12"/>
        <v>23255.87615</v>
      </c>
      <c r="AF14" s="81">
        <f t="shared" si="13"/>
        <v>31395.432802500003</v>
      </c>
      <c r="AG14" s="81">
        <f t="shared" si="14"/>
        <v>42383.834283375007</v>
      </c>
      <c r="AH14" s="81">
        <f t="shared" si="15"/>
        <v>35692.783500725003</v>
      </c>
      <c r="AI14" s="82"/>
      <c r="AJ14" s="80">
        <f t="shared" si="19"/>
        <v>145137.14903999999</v>
      </c>
      <c r="AK14" s="81">
        <f t="shared" si="20"/>
        <v>165263.56688660002</v>
      </c>
      <c r="AL14" s="83">
        <f t="shared" si="21"/>
        <v>310400.71592659998</v>
      </c>
      <c r="AM14" s="61"/>
      <c r="AN14" s="61"/>
      <c r="AO14" s="61"/>
      <c r="AP14" s="61"/>
      <c r="AQ14" s="61"/>
      <c r="AR14" s="61"/>
      <c r="AS14" s="61"/>
      <c r="AT14" s="61"/>
      <c r="AU14" s="61"/>
    </row>
    <row r="15" spans="2:47" ht="15.75" customHeight="1">
      <c r="B15" s="79" t="s">
        <v>158</v>
      </c>
      <c r="C15" s="80">
        <v>0</v>
      </c>
      <c r="D15" s="80">
        <v>7663</v>
      </c>
      <c r="E15" s="80">
        <v>17478</v>
      </c>
      <c r="F15" s="80">
        <v>16638</v>
      </c>
      <c r="G15" s="80">
        <v>18920</v>
      </c>
      <c r="H15" s="80">
        <v>14488</v>
      </c>
      <c r="I15" s="80">
        <v>6638</v>
      </c>
      <c r="J15" s="80">
        <v>7410</v>
      </c>
      <c r="K15" s="80">
        <v>15467</v>
      </c>
      <c r="L15" s="80">
        <v>22985</v>
      </c>
      <c r="M15" s="80">
        <v>36140</v>
      </c>
      <c r="N15" s="80">
        <v>22541</v>
      </c>
      <c r="O15" s="248"/>
      <c r="P15" s="80">
        <f t="shared" si="16"/>
        <v>75187</v>
      </c>
      <c r="Q15" s="81">
        <f t="shared" si="17"/>
        <v>111181</v>
      </c>
      <c r="R15" s="251">
        <f t="shared" si="1"/>
        <v>0.12425036149555876</v>
      </c>
      <c r="S15" s="251">
        <f t="shared" si="2"/>
        <v>0.22595054658079622</v>
      </c>
      <c r="T15" s="251">
        <f t="shared" si="3"/>
        <v>0.1698602969055327</v>
      </c>
      <c r="U15" s="83">
        <f t="shared" si="18"/>
        <v>186368</v>
      </c>
      <c r="V15" s="79"/>
      <c r="W15" s="81">
        <f t="shared" si="4"/>
        <v>15576.548735555747</v>
      </c>
      <c r="X15" s="81">
        <f t="shared" si="5"/>
        <v>14044.724967480384</v>
      </c>
      <c r="Y15" s="81">
        <f t="shared" si="6"/>
        <v>14849.132375535915</v>
      </c>
      <c r="Z15" s="81">
        <f t="shared" si="7"/>
        <v>15872.710524688655</v>
      </c>
      <c r="AA15" s="81">
        <f t="shared" si="8"/>
        <v>17431.518469390729</v>
      </c>
      <c r="AB15" s="81">
        <f t="shared" si="9"/>
        <v>17044.74657333683</v>
      </c>
      <c r="AC15" s="81">
        <f t="shared" si="10"/>
        <v>15193.269337066524</v>
      </c>
      <c r="AD15" s="81">
        <f t="shared" si="11"/>
        <v>6062.5518009741299</v>
      </c>
      <c r="AE15" s="81">
        <f t="shared" si="12"/>
        <v>15193.269337066524</v>
      </c>
      <c r="AF15" s="81">
        <f t="shared" si="13"/>
        <v>20510.913605039812</v>
      </c>
      <c r="AG15" s="81">
        <f t="shared" si="14"/>
        <v>27689.733366803746</v>
      </c>
      <c r="AH15" s="81">
        <f t="shared" si="15"/>
        <v>23318.410780069415</v>
      </c>
      <c r="AI15" s="82"/>
      <c r="AJ15" s="80">
        <f t="shared" si="19"/>
        <v>94819.381645988266</v>
      </c>
      <c r="AK15" s="81">
        <f t="shared" si="20"/>
        <v>107968.14822702015</v>
      </c>
      <c r="AL15" s="83">
        <f t="shared" si="21"/>
        <v>202787.52987300843</v>
      </c>
      <c r="AM15" s="61"/>
      <c r="AN15" s="61"/>
      <c r="AO15" s="61"/>
      <c r="AP15" s="61"/>
      <c r="AQ15" s="61"/>
      <c r="AR15" s="61"/>
      <c r="AS15" s="61"/>
      <c r="AT15" s="61"/>
      <c r="AU15" s="61"/>
    </row>
    <row r="16" spans="2:47" ht="15.75" customHeight="1">
      <c r="B16" s="79" t="s">
        <v>159</v>
      </c>
      <c r="C16" s="80">
        <v>0</v>
      </c>
      <c r="D16" s="80">
        <v>0</v>
      </c>
      <c r="E16" s="80">
        <v>0</v>
      </c>
      <c r="F16" s="80">
        <v>8185</v>
      </c>
      <c r="G16" s="80">
        <v>11274</v>
      </c>
      <c r="H16" s="80">
        <v>8936</v>
      </c>
      <c r="I16" s="80">
        <v>2561</v>
      </c>
      <c r="J16" s="80">
        <v>1271</v>
      </c>
      <c r="K16" s="80">
        <v>2654</v>
      </c>
      <c r="L16" s="80">
        <v>3943</v>
      </c>
      <c r="M16" s="80">
        <v>6200</v>
      </c>
      <c r="N16" s="80">
        <v>3867</v>
      </c>
      <c r="O16" s="248"/>
      <c r="P16" s="80">
        <f t="shared" si="16"/>
        <v>28395</v>
      </c>
      <c r="Q16" s="81">
        <f t="shared" si="17"/>
        <v>20496</v>
      </c>
      <c r="R16" s="251">
        <f t="shared" si="1"/>
        <v>4.6924189217103902E-2</v>
      </c>
      <c r="S16" s="251">
        <f t="shared" si="2"/>
        <v>4.1653541546847021E-2</v>
      </c>
      <c r="T16" s="251">
        <f t="shared" si="3"/>
        <v>4.4560438358561556E-2</v>
      </c>
      <c r="U16" s="83">
        <f t="shared" si="18"/>
        <v>48891</v>
      </c>
      <c r="V16" s="79"/>
      <c r="W16" s="81">
        <f t="shared" si="4"/>
        <v>4086.2865096478799</v>
      </c>
      <c r="X16" s="81">
        <f t="shared" si="5"/>
        <v>3684.4342826294405</v>
      </c>
      <c r="Y16" s="81">
        <f t="shared" si="6"/>
        <v>3895.4591505640801</v>
      </c>
      <c r="Z16" s="81">
        <f t="shared" si="7"/>
        <v>4163.9803521127724</v>
      </c>
      <c r="AA16" s="81">
        <f t="shared" si="8"/>
        <v>4572.9114949292916</v>
      </c>
      <c r="AB16" s="81">
        <f t="shared" si="9"/>
        <v>4471.4473767868467</v>
      </c>
      <c r="AC16" s="81">
        <f t="shared" si="10"/>
        <v>3985.7385986785257</v>
      </c>
      <c r="AD16" s="81">
        <f t="shared" si="11"/>
        <v>1590.4244296307641</v>
      </c>
      <c r="AE16" s="81">
        <f t="shared" si="12"/>
        <v>3985.7385986785257</v>
      </c>
      <c r="AF16" s="81">
        <f t="shared" si="13"/>
        <v>5380.7471082160109</v>
      </c>
      <c r="AG16" s="81">
        <f t="shared" si="14"/>
        <v>7264.0085960916158</v>
      </c>
      <c r="AH16" s="81">
        <f t="shared" si="15"/>
        <v>6117.2541501136129</v>
      </c>
      <c r="AI16" s="82"/>
      <c r="AJ16" s="80">
        <f t="shared" si="19"/>
        <v>24874.519166670314</v>
      </c>
      <c r="AK16" s="81">
        <f t="shared" si="20"/>
        <v>28323.911481409057</v>
      </c>
      <c r="AL16" s="83">
        <f t="shared" si="21"/>
        <v>53198.430648079375</v>
      </c>
      <c r="AM16" s="61"/>
      <c r="AN16" s="61"/>
      <c r="AO16" s="61"/>
      <c r="AP16" s="61"/>
      <c r="AQ16" s="61"/>
      <c r="AR16" s="61"/>
      <c r="AS16" s="61"/>
      <c r="AT16" s="61"/>
      <c r="AU16" s="61"/>
    </row>
    <row r="17" spans="2:47" ht="15.75" customHeight="1">
      <c r="B17" s="79" t="s">
        <v>160</v>
      </c>
      <c r="C17" s="80">
        <v>0</v>
      </c>
      <c r="D17" s="80">
        <v>0</v>
      </c>
      <c r="E17" s="80">
        <v>0</v>
      </c>
      <c r="F17" s="80">
        <v>6175</v>
      </c>
      <c r="G17" s="80">
        <v>8505</v>
      </c>
      <c r="H17" s="80">
        <v>6741</v>
      </c>
      <c r="I17" s="80">
        <v>1932</v>
      </c>
      <c r="J17" s="80">
        <v>959</v>
      </c>
      <c r="K17" s="80">
        <v>2002</v>
      </c>
      <c r="L17" s="80">
        <v>2975</v>
      </c>
      <c r="M17" s="80">
        <v>4677</v>
      </c>
      <c r="N17" s="80">
        <v>2917</v>
      </c>
      <c r="O17" s="248"/>
      <c r="P17" s="80">
        <f t="shared" si="16"/>
        <v>21421</v>
      </c>
      <c r="Q17" s="81">
        <f t="shared" si="17"/>
        <v>15462</v>
      </c>
      <c r="R17" s="251">
        <f t="shared" si="1"/>
        <v>3.5399297665771531E-2</v>
      </c>
      <c r="S17" s="251">
        <f t="shared" si="2"/>
        <v>3.1423061055686409E-2</v>
      </c>
      <c r="T17" s="251">
        <f t="shared" si="3"/>
        <v>3.3616057106191852E-2</v>
      </c>
      <c r="U17" s="83">
        <f t="shared" si="18"/>
        <v>36883</v>
      </c>
      <c r="V17" s="79"/>
      <c r="W17" s="81">
        <f t="shared" si="4"/>
        <v>3082.6635850226576</v>
      </c>
      <c r="X17" s="81">
        <f t="shared" si="5"/>
        <v>2779.5093094070821</v>
      </c>
      <c r="Y17" s="81">
        <f t="shared" si="6"/>
        <v>2938.7048710448748</v>
      </c>
      <c r="Z17" s="81">
        <f t="shared" si="7"/>
        <v>3141.2752311667869</v>
      </c>
      <c r="AA17" s="81">
        <f t="shared" si="8"/>
        <v>3449.7697872303092</v>
      </c>
      <c r="AB17" s="81">
        <f t="shared" si="9"/>
        <v>3373.2260251995103</v>
      </c>
      <c r="AC17" s="81">
        <f t="shared" si="10"/>
        <v>3006.8110027420194</v>
      </c>
      <c r="AD17" s="81">
        <f t="shared" si="11"/>
        <v>1199.8041405999359</v>
      </c>
      <c r="AE17" s="81">
        <f t="shared" si="12"/>
        <v>3006.8110027420194</v>
      </c>
      <c r="AF17" s="81">
        <f t="shared" si="13"/>
        <v>4059.1948537017265</v>
      </c>
      <c r="AG17" s="81">
        <f t="shared" si="14"/>
        <v>5479.9130524973316</v>
      </c>
      <c r="AH17" s="81">
        <f t="shared" si="15"/>
        <v>4614.8101863050533</v>
      </c>
      <c r="AI17" s="82"/>
      <c r="AJ17" s="80">
        <f t="shared" si="19"/>
        <v>18765.148809071219</v>
      </c>
      <c r="AK17" s="81">
        <f t="shared" si="20"/>
        <v>21367.344238588088</v>
      </c>
      <c r="AL17" s="83">
        <f t="shared" si="21"/>
        <v>40132.493047659307</v>
      </c>
      <c r="AM17" s="61"/>
      <c r="AN17" s="61"/>
      <c r="AO17" s="61"/>
      <c r="AP17" s="61"/>
      <c r="AQ17" s="61"/>
      <c r="AR17" s="61"/>
      <c r="AS17" s="61"/>
      <c r="AT17" s="61"/>
      <c r="AU17" s="61"/>
    </row>
    <row r="18" spans="2:47" ht="15.75" customHeight="1">
      <c r="B18" s="79" t="s">
        <v>161</v>
      </c>
      <c r="C18" s="80">
        <v>4104</v>
      </c>
      <c r="D18" s="80">
        <v>8433</v>
      </c>
      <c r="E18" s="80">
        <v>18599</v>
      </c>
      <c r="F18" s="80">
        <v>10999</v>
      </c>
      <c r="G18" s="80">
        <v>12706</v>
      </c>
      <c r="H18" s="80">
        <v>10994</v>
      </c>
      <c r="I18" s="80">
        <v>5765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248"/>
      <c r="P18" s="80">
        <f>SUM(C18:N18)</f>
        <v>71600</v>
      </c>
      <c r="Q18" s="81">
        <f t="shared" si="17"/>
        <v>5765</v>
      </c>
      <c r="R18" s="251">
        <f t="shared" si="1"/>
        <v>0.11832266060731254</v>
      </c>
      <c r="S18" s="251"/>
      <c r="T18" s="251"/>
      <c r="U18" s="83">
        <f t="shared" si="18"/>
        <v>71600</v>
      </c>
      <c r="V18" s="79"/>
      <c r="W18" s="81"/>
      <c r="X18" s="81"/>
      <c r="Y18" s="81"/>
      <c r="Z18" s="81">
        <v>6073.9690375</v>
      </c>
      <c r="AA18" s="81">
        <v>6670.4740374999992</v>
      </c>
      <c r="AB18" s="81">
        <v>6522.4690375</v>
      </c>
      <c r="AC18" s="81">
        <v>5813.9690375</v>
      </c>
      <c r="AD18" s="81">
        <v>2319.9410000000003</v>
      </c>
      <c r="AE18" s="81">
        <v>5813.9690375</v>
      </c>
      <c r="AF18" s="81">
        <v>7848.8582006250008</v>
      </c>
      <c r="AG18" s="81">
        <v>10595.958570843752</v>
      </c>
      <c r="AH18" s="81">
        <v>8923.1958751812508</v>
      </c>
      <c r="AI18" s="82"/>
      <c r="AJ18" s="80">
        <f t="shared" ref="AJ18:AJ21" si="22">SUM(W18:AB18)</f>
        <v>19266.912112499998</v>
      </c>
      <c r="AK18" s="81">
        <f t="shared" ref="AK18:AK21" si="23">SUM(AC18:AH18)</f>
        <v>41315.891721650005</v>
      </c>
      <c r="AL18" s="83">
        <f t="shared" ref="AL18:AL21" si="24">SUM(W18:AH18)</f>
        <v>60582.80383415</v>
      </c>
      <c r="AM18" s="61"/>
      <c r="AN18" s="61"/>
      <c r="AO18" s="61"/>
      <c r="AP18" s="61"/>
      <c r="AQ18" s="61"/>
      <c r="AR18" s="61"/>
      <c r="AS18" s="61"/>
      <c r="AT18" s="61"/>
      <c r="AU18" s="61"/>
    </row>
    <row r="19" spans="2:47" ht="15.75" customHeight="1">
      <c r="B19" s="79" t="s">
        <v>250</v>
      </c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79"/>
      <c r="W19" s="81"/>
      <c r="X19" s="81"/>
      <c r="Y19" s="81"/>
      <c r="Z19" s="81">
        <v>3000</v>
      </c>
      <c r="AA19" s="81">
        <v>5000</v>
      </c>
      <c r="AB19" s="81">
        <v>6000</v>
      </c>
      <c r="AC19" s="81">
        <v>5000</v>
      </c>
      <c r="AD19" s="81">
        <v>4000</v>
      </c>
      <c r="AE19" s="81">
        <v>7000</v>
      </c>
      <c r="AF19" s="81">
        <v>10000</v>
      </c>
      <c r="AG19" s="81">
        <v>14000</v>
      </c>
      <c r="AH19" s="81">
        <v>10000</v>
      </c>
      <c r="AI19" s="82"/>
      <c r="AJ19" s="80">
        <f t="shared" si="22"/>
        <v>14000</v>
      </c>
      <c r="AK19" s="81">
        <f t="shared" si="23"/>
        <v>50000</v>
      </c>
      <c r="AL19" s="83">
        <f t="shared" si="24"/>
        <v>64000</v>
      </c>
      <c r="AM19" s="61"/>
      <c r="AN19" s="61"/>
      <c r="AO19" s="61"/>
      <c r="AP19" s="61"/>
      <c r="AQ19" s="61"/>
      <c r="AR19" s="61"/>
      <c r="AS19" s="61"/>
      <c r="AT19" s="61"/>
      <c r="AU19" s="61"/>
    </row>
    <row r="20" spans="2:47" ht="15.75" customHeight="1">
      <c r="B20" s="79" t="s">
        <v>253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79"/>
      <c r="W20" s="81"/>
      <c r="X20" s="81"/>
      <c r="Y20" s="81"/>
      <c r="Z20" s="81"/>
      <c r="AA20" s="81"/>
      <c r="AB20" s="81">
        <v>3000</v>
      </c>
      <c r="AC20" s="81">
        <v>2500</v>
      </c>
      <c r="AD20" s="81">
        <v>2500</v>
      </c>
      <c r="AE20" s="81">
        <v>3500</v>
      </c>
      <c r="AF20" s="81">
        <v>4500</v>
      </c>
      <c r="AG20" s="81">
        <v>7000</v>
      </c>
      <c r="AH20" s="81">
        <v>6000</v>
      </c>
      <c r="AI20" s="82"/>
      <c r="AJ20" s="80">
        <f t="shared" si="22"/>
        <v>3000</v>
      </c>
      <c r="AK20" s="81">
        <f t="shared" si="23"/>
        <v>26000</v>
      </c>
      <c r="AL20" s="83">
        <f t="shared" si="24"/>
        <v>29000</v>
      </c>
      <c r="AM20" s="61"/>
      <c r="AN20" s="61"/>
      <c r="AO20" s="61"/>
      <c r="AP20" s="61"/>
      <c r="AQ20" s="61"/>
      <c r="AR20" s="61"/>
      <c r="AS20" s="61"/>
      <c r="AT20" s="61"/>
      <c r="AU20" s="61"/>
    </row>
    <row r="21" spans="2:47" ht="15.75" customHeight="1">
      <c r="B21" s="79" t="s">
        <v>254</v>
      </c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79"/>
      <c r="W21" s="81"/>
      <c r="X21" s="81"/>
      <c r="Y21" s="81"/>
      <c r="Z21" s="81"/>
      <c r="AA21" s="81"/>
      <c r="AB21" s="81">
        <v>3000</v>
      </c>
      <c r="AC21" s="81">
        <v>2500</v>
      </c>
      <c r="AD21" s="81">
        <v>2500</v>
      </c>
      <c r="AE21" s="81">
        <v>3500</v>
      </c>
      <c r="AF21" s="81">
        <v>4500</v>
      </c>
      <c r="AG21" s="81">
        <v>7000</v>
      </c>
      <c r="AH21" s="81">
        <v>6000</v>
      </c>
      <c r="AI21" s="82"/>
      <c r="AJ21" s="80">
        <f t="shared" si="22"/>
        <v>3000</v>
      </c>
      <c r="AK21" s="81">
        <f t="shared" si="23"/>
        <v>26000</v>
      </c>
      <c r="AL21" s="83">
        <f t="shared" si="24"/>
        <v>29000</v>
      </c>
      <c r="AM21" s="61"/>
      <c r="AN21" s="61"/>
      <c r="AO21" s="61"/>
      <c r="AP21" s="61"/>
      <c r="AQ21" s="61"/>
      <c r="AR21" s="61"/>
      <c r="AS21" s="61"/>
      <c r="AT21" s="61"/>
      <c r="AU21" s="61"/>
    </row>
    <row r="22" spans="2:47" ht="15.75" customHeight="1">
      <c r="B22" s="79"/>
      <c r="C22" s="84"/>
      <c r="D22" s="84"/>
      <c r="E22" s="84"/>
      <c r="F22" s="85">
        <f>AVERAGE(F25:H25)</f>
        <v>49.469144197223692</v>
      </c>
      <c r="G22" s="84"/>
      <c r="H22" s="84"/>
      <c r="I22" s="84">
        <v>0.7</v>
      </c>
      <c r="J22" s="84">
        <v>0.55000000000000004</v>
      </c>
      <c r="K22" s="84">
        <v>1.25</v>
      </c>
      <c r="L22" s="84">
        <v>1.4</v>
      </c>
      <c r="M22" s="84">
        <v>1.8</v>
      </c>
      <c r="N22" s="86"/>
      <c r="O22" s="248"/>
      <c r="P22" s="84"/>
      <c r="Q22" s="84"/>
      <c r="R22" s="84"/>
      <c r="S22" s="84"/>
      <c r="T22" s="84"/>
      <c r="U22" s="84"/>
      <c r="V22" s="79"/>
      <c r="W22" s="273"/>
      <c r="X22" s="273"/>
      <c r="Y22" s="273"/>
      <c r="Z22" s="274"/>
      <c r="AA22" s="274"/>
      <c r="AB22" s="274"/>
      <c r="AC22" s="274"/>
      <c r="AD22" s="274"/>
      <c r="AE22" s="274"/>
      <c r="AF22" s="274"/>
      <c r="AG22" s="274"/>
      <c r="AH22" s="274"/>
      <c r="AI22" s="84"/>
      <c r="AJ22" s="84"/>
      <c r="AK22" s="84"/>
      <c r="AL22" s="84"/>
      <c r="AM22" s="87"/>
      <c r="AN22" s="61"/>
      <c r="AO22" s="61"/>
      <c r="AP22" s="61"/>
      <c r="AQ22" s="61"/>
      <c r="AR22" s="61"/>
      <c r="AS22" s="61"/>
      <c r="AT22" s="61"/>
      <c r="AU22" s="61"/>
    </row>
    <row r="23" spans="2:47" ht="15.75" customHeight="1">
      <c r="B23" s="79"/>
      <c r="C23" s="200"/>
      <c r="D23" s="200"/>
      <c r="E23" s="200"/>
      <c r="F23" s="201"/>
      <c r="G23" s="200"/>
      <c r="H23" s="200"/>
      <c r="I23" s="200"/>
      <c r="J23" s="200"/>
      <c r="K23" s="200"/>
      <c r="L23" s="200"/>
      <c r="M23" s="200"/>
      <c r="N23" s="84"/>
      <c r="O23" s="248"/>
      <c r="P23" s="84"/>
      <c r="Q23" s="84"/>
      <c r="R23" s="84"/>
      <c r="S23" s="84"/>
      <c r="T23" s="84"/>
      <c r="U23" s="84"/>
      <c r="V23" s="79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84"/>
      <c r="AJ23" s="84"/>
      <c r="AK23" s="84"/>
      <c r="AL23" s="84"/>
      <c r="AM23" s="87"/>
      <c r="AN23" s="61"/>
      <c r="AO23" s="61"/>
      <c r="AP23" s="61"/>
      <c r="AQ23" s="61"/>
      <c r="AR23" s="61"/>
      <c r="AS23" s="61"/>
      <c r="AT23" s="61"/>
      <c r="AU23" s="61"/>
    </row>
    <row r="24" spans="2:47" ht="15.75" customHeight="1">
      <c r="B24" s="74" t="s">
        <v>162</v>
      </c>
      <c r="C24" s="88">
        <f>SUM(C25:C32)</f>
        <v>422</v>
      </c>
      <c r="D24" s="88">
        <f t="shared" ref="D24:N24" si="25">SUM(D25:D32)</f>
        <v>1229</v>
      </c>
      <c r="E24" s="88">
        <f t="shared" si="25"/>
        <v>2697.3555555555558</v>
      </c>
      <c r="F24" s="88">
        <f t="shared" si="25"/>
        <v>1379</v>
      </c>
      <c r="G24" s="88">
        <f t="shared" si="25"/>
        <v>1050</v>
      </c>
      <c r="H24" s="88">
        <f t="shared" si="25"/>
        <v>1323</v>
      </c>
      <c r="I24" s="88">
        <f t="shared" si="25"/>
        <v>804.99999999999989</v>
      </c>
      <c r="J24" s="88">
        <f t="shared" si="25"/>
        <v>487</v>
      </c>
      <c r="K24" s="88">
        <f t="shared" si="25"/>
        <v>789.00000000000011</v>
      </c>
      <c r="L24" s="88">
        <f t="shared" si="25"/>
        <v>1108</v>
      </c>
      <c r="M24" s="88">
        <f t="shared" si="25"/>
        <v>2413.0000000000005</v>
      </c>
      <c r="N24" s="88">
        <f t="shared" si="25"/>
        <v>996</v>
      </c>
      <c r="O24" s="248"/>
      <c r="P24" s="88">
        <f>SUM(C24:H24)</f>
        <v>8100.3555555555558</v>
      </c>
      <c r="Q24" s="89">
        <f>SUM(I24:N24)</f>
        <v>6598</v>
      </c>
      <c r="R24" s="89"/>
      <c r="S24" s="89"/>
      <c r="T24" s="89"/>
      <c r="U24" s="90">
        <f>SUM(C24:N24)</f>
        <v>14698.355555555556</v>
      </c>
      <c r="V24" s="74"/>
      <c r="W24" s="89">
        <v>1092.396064781746</v>
      </c>
      <c r="X24" s="89">
        <v>832.28847027863776</v>
      </c>
      <c r="Y24" s="89">
        <v>911.48864365325062</v>
      </c>
      <c r="Z24" s="89">
        <v>931.62967552631574</v>
      </c>
      <c r="AA24" s="89">
        <v>1047.4665176315789</v>
      </c>
      <c r="AB24" s="89">
        <v>1157.521009356725</v>
      </c>
      <c r="AC24" s="89">
        <v>1059.9771497076022</v>
      </c>
      <c r="AD24" s="89">
        <v>723.25982285714281</v>
      </c>
      <c r="AE24" s="89">
        <v>1353.8060999999998</v>
      </c>
      <c r="AF24" s="89">
        <v>1723.0180578125</v>
      </c>
      <c r="AG24" s="89">
        <v>3403.7018637166666</v>
      </c>
      <c r="AH24" s="89">
        <v>1769.7770726805556</v>
      </c>
      <c r="AI24" s="79"/>
      <c r="AJ24" s="88">
        <f>SUM(W24:AB24)</f>
        <v>5972.7903812282539</v>
      </c>
      <c r="AK24" s="89">
        <f>SUM(AC24:AH24)</f>
        <v>10033.540066774467</v>
      </c>
      <c r="AL24" s="90">
        <f>SUM(W24:AH24)</f>
        <v>16006.33044800272</v>
      </c>
      <c r="AM24" s="61"/>
      <c r="AN24" s="61"/>
      <c r="AO24" s="61"/>
      <c r="AP24" s="61"/>
      <c r="AQ24" s="61"/>
      <c r="AR24" s="61"/>
      <c r="AS24" s="61"/>
      <c r="AT24" s="61"/>
      <c r="AU24" s="61"/>
    </row>
    <row r="25" spans="2:47" ht="15.75" customHeight="1">
      <c r="B25" s="79" t="s">
        <v>163</v>
      </c>
      <c r="C25" s="91">
        <v>32.666666666666664</v>
      </c>
      <c r="D25" s="91">
        <v>3.4905660377358489</v>
      </c>
      <c r="E25" s="91">
        <v>46.044444444444444</v>
      </c>
      <c r="F25" s="91">
        <v>67.305084745762713</v>
      </c>
      <c r="G25" s="91">
        <v>24.22429906542056</v>
      </c>
      <c r="H25" s="91">
        <v>56.878048780487802</v>
      </c>
      <c r="I25" s="91">
        <v>40.571428571428569</v>
      </c>
      <c r="J25" s="91">
        <v>0</v>
      </c>
      <c r="K25" s="91">
        <v>49.795454545454547</v>
      </c>
      <c r="L25" s="91">
        <v>65.962264150943398</v>
      </c>
      <c r="M25" s="91">
        <v>86.875</v>
      </c>
      <c r="N25" s="91">
        <v>34.985074626865668</v>
      </c>
      <c r="O25" s="248"/>
      <c r="P25" s="91">
        <f>SUM(C25:H25)</f>
        <v>230.60910974051802</v>
      </c>
      <c r="Q25" s="92">
        <f>SUM(I25:N25)</f>
        <v>278.1892218946922</v>
      </c>
      <c r="R25" s="251">
        <f>P25/$P$24</f>
        <v>2.846901079328016E-2</v>
      </c>
      <c r="S25" s="251">
        <f>Q25/$Q$24</f>
        <v>4.216265866848927E-2</v>
      </c>
      <c r="T25" s="251">
        <f>U25/$U$24</f>
        <v>3.4616003791179142E-2</v>
      </c>
      <c r="U25" s="94">
        <f>SUM(C25:N25)</f>
        <v>508.79833163521016</v>
      </c>
      <c r="V25" s="79"/>
      <c r="W25" s="252">
        <f>$W$24*T25</f>
        <v>37.814386319954096</v>
      </c>
      <c r="X25" s="252">
        <f>$X$24*T25</f>
        <v>28.810500842520014</v>
      </c>
      <c r="Y25" s="252">
        <f>$Y$24*T25</f>
        <v>31.552094344317659</v>
      </c>
      <c r="Z25" s="252">
        <f>$Z$24*T25</f>
        <v>32.249296379993943</v>
      </c>
      <c r="AA25" s="252">
        <f>$AA$24*T25</f>
        <v>36.259104945467946</v>
      </c>
      <c r="AB25" s="252">
        <f>$AB$24*T25</f>
        <v>40.068751648261902</v>
      </c>
      <c r="AC25" s="252">
        <f>$AC$24*T25</f>
        <v>36.692173032841616</v>
      </c>
      <c r="AD25" s="252">
        <f>$AD$24*T25</f>
        <v>25.03636477003041</v>
      </c>
      <c r="AE25" s="252">
        <f>$AE$24*T25</f>
        <v>46.86335709012144</v>
      </c>
      <c r="AF25" s="252">
        <f>$AF$24*T25</f>
        <v>59.643999621507625</v>
      </c>
      <c r="AG25" s="252">
        <f>$AG$24*T25</f>
        <v>117.82255661845964</v>
      </c>
      <c r="AH25" s="252">
        <f>$AH$24*T25</f>
        <v>61.262609857452041</v>
      </c>
      <c r="AI25" s="93"/>
      <c r="AJ25" s="91">
        <f>SUM(W25:AB25)</f>
        <v>206.75413448051557</v>
      </c>
      <c r="AK25" s="92">
        <f>SUM(AC25:AH25)</f>
        <v>347.32106099041278</v>
      </c>
      <c r="AL25" s="94">
        <f>SUM(W25:AH25)</f>
        <v>554.07519547092841</v>
      </c>
      <c r="AM25" s="61"/>
      <c r="AN25" s="61"/>
      <c r="AO25" s="61"/>
      <c r="AP25" s="61"/>
      <c r="AQ25" s="61"/>
      <c r="AR25" s="61"/>
      <c r="AS25" s="61"/>
      <c r="AT25" s="61"/>
      <c r="AU25" s="61"/>
    </row>
    <row r="26" spans="2:47" ht="15.75" customHeight="1">
      <c r="B26" s="79" t="s">
        <v>164</v>
      </c>
      <c r="C26" s="91">
        <v>32.666666666666664</v>
      </c>
      <c r="D26" s="91">
        <v>24.433962264150942</v>
      </c>
      <c r="E26" s="91">
        <v>90.444444444444443</v>
      </c>
      <c r="F26" s="91">
        <v>147.0084745762712</v>
      </c>
      <c r="G26" s="91">
        <v>80.747663551401857</v>
      </c>
      <c r="H26" s="91">
        <v>175.80487804878049</v>
      </c>
      <c r="I26" s="91">
        <v>137.94285714285715</v>
      </c>
      <c r="J26" s="91">
        <v>61.88</v>
      </c>
      <c r="K26" s="91">
        <v>106.70454545454545</v>
      </c>
      <c r="L26" s="91">
        <v>57.716981132075468</v>
      </c>
      <c r="M26" s="91">
        <v>82.048611111111114</v>
      </c>
      <c r="N26" s="91">
        <v>201.1641791044776</v>
      </c>
      <c r="O26" s="248"/>
      <c r="P26" s="91">
        <f>SUM(C26:H26)</f>
        <v>551.10608955171551</v>
      </c>
      <c r="Q26" s="92">
        <f>SUM(I26:N26)</f>
        <v>647.45717394506687</v>
      </c>
      <c r="R26" s="251">
        <f t="shared" ref="R26:R32" si="26">P26/$P$24</f>
        <v>6.8034802395031208E-2</v>
      </c>
      <c r="S26" s="251">
        <f t="shared" ref="S26:S32" si="27">Q26/$Q$24</f>
        <v>9.8129307963787035E-2</v>
      </c>
      <c r="T26" s="251">
        <f t="shared" ref="T26:T32" si="28">U26/$U$24</f>
        <v>8.1544037968503208E-2</v>
      </c>
      <c r="U26" s="94">
        <f>SUM(C26:N26)</f>
        <v>1198.5632634967824</v>
      </c>
      <c r="V26" s="79"/>
      <c r="W26" s="252">
        <f t="shared" ref="W26:W32" si="29">$W$24*T26</f>
        <v>89.078386183206177</v>
      </c>
      <c r="X26" s="252">
        <f t="shared" ref="X26:X32" si="30">$X$24*T26</f>
        <v>67.868162621148684</v>
      </c>
      <c r="Y26" s="252">
        <f t="shared" ref="Y26:Y32" si="31">$Y$24*T26</f>
        <v>74.326464565920162</v>
      </c>
      <c r="Z26" s="252">
        <f t="shared" ref="Z26:Z32" si="32">$Z$24*T26</f>
        <v>75.968845633702216</v>
      </c>
      <c r="AA26" s="252">
        <f t="shared" ref="AA26:AA32" si="33">$AA$24*T26</f>
        <v>85.414649484485309</v>
      </c>
      <c r="AB26" s="252">
        <f t="shared" ref="AB26:AB32" si="34">$AB$24*T26</f>
        <v>94.388937136324941</v>
      </c>
      <c r="AC26" s="252">
        <f t="shared" ref="AC26:AC32" si="35">$AC$24*T26</f>
        <v>86.434816941502518</v>
      </c>
      <c r="AD26" s="252">
        <f t="shared" ref="AD26:AD32" si="36">$AD$24*T26</f>
        <v>58.977526456155758</v>
      </c>
      <c r="AE26" s="252">
        <f t="shared" ref="AE26:AE32" si="37">$AE$24*T26</f>
        <v>110.39481602039123</v>
      </c>
      <c r="AF26" s="252">
        <f t="shared" ref="AF26:AF32" si="38">$AF$24*T26</f>
        <v>140.50184992667917</v>
      </c>
      <c r="AG26" s="252">
        <f t="shared" ref="AG26:AG32" si="39">$AG$24*T26</f>
        <v>277.55159400837698</v>
      </c>
      <c r="AH26" s="252">
        <f t="shared" ref="AH26:AH32" si="40">$AH$24*T26</f>
        <v>144.31476881044969</v>
      </c>
      <c r="AI26" s="95"/>
      <c r="AJ26" s="91">
        <f>SUM(W26:AB26)</f>
        <v>487.04544562478748</v>
      </c>
      <c r="AK26" s="92">
        <f>SUM(AC26:AH26)</f>
        <v>818.17537216355538</v>
      </c>
      <c r="AL26" s="94">
        <f>SUM(W26:AH26)</f>
        <v>1305.2208177883429</v>
      </c>
      <c r="AM26" s="96"/>
      <c r="AN26" s="61"/>
      <c r="AO26" s="61"/>
      <c r="AP26" s="61"/>
      <c r="AQ26" s="61"/>
      <c r="AR26" s="61"/>
      <c r="AS26" s="61"/>
      <c r="AT26" s="61"/>
      <c r="AU26" s="61"/>
    </row>
    <row r="27" spans="2:47" ht="15.75" customHeight="1">
      <c r="B27" s="79" t="s">
        <v>165</v>
      </c>
      <c r="C27" s="91">
        <v>16.333333333333332</v>
      </c>
      <c r="D27" s="91">
        <v>3.4905660377358489</v>
      </c>
      <c r="E27" s="91">
        <v>11.511111111111111</v>
      </c>
      <c r="F27" s="91">
        <v>23.025423728813561</v>
      </c>
      <c r="G27" s="91">
        <v>16.149532710280372</v>
      </c>
      <c r="H27" s="91">
        <v>51.707317073170735</v>
      </c>
      <c r="I27" s="91">
        <v>26.371428571428574</v>
      </c>
      <c r="J27" s="91">
        <v>4.76</v>
      </c>
      <c r="K27" s="91">
        <v>28.454545454545457</v>
      </c>
      <c r="L27" s="91">
        <v>24.735849056603776</v>
      </c>
      <c r="M27" s="91">
        <v>72.395833333333343</v>
      </c>
      <c r="N27" s="91">
        <v>26.238805970149251</v>
      </c>
      <c r="O27" s="248"/>
      <c r="P27" s="91">
        <f t="shared" ref="P27:P32" si="41">SUM(C27:H27)</f>
        <v>122.21728399444495</v>
      </c>
      <c r="Q27" s="92">
        <f t="shared" ref="Q27:Q32" si="42">SUM(I27:N27)</f>
        <v>182.95646238606039</v>
      </c>
      <c r="R27" s="251">
        <f t="shared" si="26"/>
        <v>1.5087891285293437E-2</v>
      </c>
      <c r="S27" s="251">
        <f t="shared" si="27"/>
        <v>2.7729078870272868E-2</v>
      </c>
      <c r="T27" s="251">
        <f t="shared" si="28"/>
        <v>2.076244143278725E-2</v>
      </c>
      <c r="U27" s="94">
        <f t="shared" ref="U27:U32" si="43">SUM(C27:N27)</f>
        <v>305.17374638050535</v>
      </c>
      <c r="V27" s="79"/>
      <c r="W27" s="252">
        <f t="shared" si="29"/>
        <v>22.680809316438268</v>
      </c>
      <c r="X27" s="252">
        <f t="shared" si="30"/>
        <v>17.280340619344308</v>
      </c>
      <c r="Y27" s="252">
        <f t="shared" si="31"/>
        <v>18.924729580501303</v>
      </c>
      <c r="Z27" s="252">
        <f t="shared" si="32"/>
        <v>19.34290657516172</v>
      </c>
      <c r="AA27" s="252">
        <f t="shared" si="33"/>
        <v>21.747962225131271</v>
      </c>
      <c r="AB27" s="252">
        <f t="shared" si="34"/>
        <v>24.032962163989787</v>
      </c>
      <c r="AC27" s="252">
        <f t="shared" si="35"/>
        <v>22.007713490896855</v>
      </c>
      <c r="AD27" s="252">
        <f t="shared" si="36"/>
        <v>15.016639712759508</v>
      </c>
      <c r="AE27" s="252">
        <f t="shared" si="37"/>
        <v>28.108319862600116</v>
      </c>
      <c r="AF27" s="252">
        <f t="shared" si="38"/>
        <v>35.774061512966867</v>
      </c>
      <c r="AG27" s="252">
        <f t="shared" si="39"/>
        <v>70.669160600086101</v>
      </c>
      <c r="AH27" s="252">
        <f t="shared" si="40"/>
        <v>36.744892820619704</v>
      </c>
      <c r="AI27" s="95"/>
      <c r="AJ27" s="91">
        <f t="shared" ref="AJ27:AJ32" si="44">SUM(W27:AB27)</f>
        <v>124.00971048056667</v>
      </c>
      <c r="AK27" s="92">
        <f t="shared" ref="AK27:AK32" si="45">SUM(AC27:AH27)</f>
        <v>208.32078799992914</v>
      </c>
      <c r="AL27" s="94">
        <f t="shared" ref="AL27:AL32" si="46">SUM(W27:AH27)</f>
        <v>332.33049848049586</v>
      </c>
      <c r="AM27" s="96"/>
      <c r="AN27" s="61"/>
      <c r="AO27" s="61"/>
      <c r="AP27" s="61"/>
      <c r="AQ27" s="61"/>
      <c r="AR27" s="61"/>
      <c r="AS27" s="61"/>
      <c r="AT27" s="61"/>
      <c r="AU27" s="61"/>
    </row>
    <row r="28" spans="2:47" ht="15.75" customHeight="1">
      <c r="B28" s="79" t="s">
        <v>166</v>
      </c>
      <c r="C28" s="91">
        <v>65.333333333333329</v>
      </c>
      <c r="D28" s="91">
        <v>153.58490566037736</v>
      </c>
      <c r="E28" s="91">
        <v>220.35555555555553</v>
      </c>
      <c r="F28" s="91">
        <v>180.66101694915255</v>
      </c>
      <c r="G28" s="91">
        <v>166.87850467289718</v>
      </c>
      <c r="H28" s="91">
        <v>245.60975609756099</v>
      </c>
      <c r="I28" s="91">
        <v>150.11428571428573</v>
      </c>
      <c r="J28" s="91">
        <v>52.36</v>
      </c>
      <c r="K28" s="91">
        <v>128.04545454545456</v>
      </c>
      <c r="L28" s="91">
        <v>288.58490566037733</v>
      </c>
      <c r="M28" s="91">
        <v>453.68055555555554</v>
      </c>
      <c r="N28" s="91">
        <v>323.61194029850748</v>
      </c>
      <c r="O28" s="248"/>
      <c r="P28" s="91">
        <f t="shared" si="41"/>
        <v>1032.4230722688769</v>
      </c>
      <c r="Q28" s="92">
        <f t="shared" si="42"/>
        <v>1396.3971417741807</v>
      </c>
      <c r="R28" s="251">
        <f t="shared" si="26"/>
        <v>0.12745404386117334</v>
      </c>
      <c r="S28" s="251">
        <f t="shared" si="27"/>
        <v>0.21163945768023351</v>
      </c>
      <c r="T28" s="251">
        <f t="shared" si="28"/>
        <v>0.16524435028550066</v>
      </c>
      <c r="U28" s="94">
        <f t="shared" si="43"/>
        <v>2428.8202140430571</v>
      </c>
      <c r="V28" s="79"/>
      <c r="W28" s="252">
        <f t="shared" si="29"/>
        <v>180.51227797929729</v>
      </c>
      <c r="X28" s="252">
        <f t="shared" si="30"/>
        <v>137.53096752130674</v>
      </c>
      <c r="Y28" s="252">
        <f t="shared" si="31"/>
        <v>150.61834871309364</v>
      </c>
      <c r="Z28" s="252">
        <f t="shared" si="32"/>
        <v>153.94654043903785</v>
      </c>
      <c r="AA28" s="252">
        <f t="shared" si="33"/>
        <v>173.08792415184618</v>
      </c>
      <c r="AB28" s="252">
        <f t="shared" si="34"/>
        <v>191.27380713296895</v>
      </c>
      <c r="AC28" s="252">
        <f t="shared" si="35"/>
        <v>175.15523542090958</v>
      </c>
      <c r="AD28" s="252">
        <f t="shared" si="36"/>
        <v>119.51459951563487</v>
      </c>
      <c r="AE28" s="252">
        <f t="shared" si="37"/>
        <v>223.70880940704751</v>
      </c>
      <c r="AF28" s="252">
        <f t="shared" si="38"/>
        <v>284.71899949341179</v>
      </c>
      <c r="AG28" s="252">
        <f t="shared" si="39"/>
        <v>562.44250303540832</v>
      </c>
      <c r="AH28" s="252">
        <f t="shared" si="40"/>
        <v>292.44566252527369</v>
      </c>
      <c r="AI28" s="95"/>
      <c r="AJ28" s="91">
        <f t="shared" si="44"/>
        <v>986.96986593755071</v>
      </c>
      <c r="AK28" s="92">
        <f t="shared" si="45"/>
        <v>1657.9858093976859</v>
      </c>
      <c r="AL28" s="94">
        <f t="shared" si="46"/>
        <v>2644.9556753352367</v>
      </c>
      <c r="AM28" s="96"/>
      <c r="AN28" s="61"/>
      <c r="AO28" s="61"/>
      <c r="AP28" s="61"/>
      <c r="AQ28" s="61"/>
      <c r="AR28" s="61"/>
      <c r="AS28" s="61"/>
      <c r="AT28" s="61"/>
      <c r="AU28" s="61"/>
    </row>
    <row r="29" spans="2:47" ht="15.75" customHeight="1">
      <c r="B29" s="79" t="s">
        <v>167</v>
      </c>
      <c r="C29" s="91">
        <v>275</v>
      </c>
      <c r="D29" s="91">
        <v>602.07765754296634</v>
      </c>
      <c r="E29" s="91">
        <v>1196.1784548422199</v>
      </c>
      <c r="F29" s="91">
        <v>323.67281475541301</v>
      </c>
      <c r="G29" s="91">
        <v>347.86956521739131</v>
      </c>
      <c r="H29" s="91">
        <v>338.29415011037531</v>
      </c>
      <c r="I29" s="91">
        <v>276.69491525423729</v>
      </c>
      <c r="J29" s="91">
        <v>217.74672489082968</v>
      </c>
      <c r="K29" s="91">
        <v>337.42911153119093</v>
      </c>
      <c r="L29" s="91">
        <v>360.84888888888889</v>
      </c>
      <c r="M29" s="91">
        <v>933.9283489096573</v>
      </c>
      <c r="N29" s="91">
        <v>222.88161993769469</v>
      </c>
      <c r="O29" s="248"/>
      <c r="P29" s="91">
        <f t="shared" si="41"/>
        <v>3083.0926424683666</v>
      </c>
      <c r="Q29" s="92">
        <f t="shared" si="42"/>
        <v>2349.5296094124988</v>
      </c>
      <c r="R29" s="251">
        <f t="shared" si="26"/>
        <v>0.38061201404348916</v>
      </c>
      <c r="S29" s="251">
        <f t="shared" si="27"/>
        <v>0.35609724301492857</v>
      </c>
      <c r="T29" s="251">
        <v>0.4</v>
      </c>
      <c r="U29" s="94">
        <f t="shared" si="43"/>
        <v>5432.6222518808645</v>
      </c>
      <c r="V29" s="79"/>
      <c r="W29" s="252">
        <f t="shared" si="29"/>
        <v>436.95842591269843</v>
      </c>
      <c r="X29" s="252">
        <f t="shared" si="30"/>
        <v>332.91538811145512</v>
      </c>
      <c r="Y29" s="252">
        <f t="shared" si="31"/>
        <v>364.59545746130027</v>
      </c>
      <c r="Z29" s="252">
        <f t="shared" si="32"/>
        <v>372.65187021052634</v>
      </c>
      <c r="AA29" s="252">
        <f t="shared" si="33"/>
        <v>418.9866070526316</v>
      </c>
      <c r="AB29" s="252">
        <f t="shared" si="34"/>
        <v>463.00840374269001</v>
      </c>
      <c r="AC29" s="252">
        <f t="shared" si="35"/>
        <v>423.99085988304091</v>
      </c>
      <c r="AD29" s="252">
        <f t="shared" si="36"/>
        <v>289.30392914285716</v>
      </c>
      <c r="AE29" s="252">
        <f t="shared" si="37"/>
        <v>541.52243999999996</v>
      </c>
      <c r="AF29" s="252">
        <f t="shared" si="38"/>
        <v>689.20722312500004</v>
      </c>
      <c r="AG29" s="252">
        <f t="shared" si="39"/>
        <v>1361.4807454866668</v>
      </c>
      <c r="AH29" s="252">
        <f t="shared" si="40"/>
        <v>707.91082907222233</v>
      </c>
      <c r="AI29" s="95"/>
      <c r="AJ29" s="91">
        <f t="shared" si="44"/>
        <v>2389.1161524913014</v>
      </c>
      <c r="AK29" s="92">
        <f t="shared" si="45"/>
        <v>4013.4160267097873</v>
      </c>
      <c r="AL29" s="94">
        <f t="shared" si="46"/>
        <v>6402.5321792010891</v>
      </c>
      <c r="AM29" s="96"/>
      <c r="AN29" s="61"/>
      <c r="AO29" s="61"/>
      <c r="AP29" s="61"/>
      <c r="AQ29" s="61"/>
      <c r="AR29" s="61"/>
      <c r="AS29" s="61"/>
      <c r="AT29" s="61"/>
      <c r="AU29" s="61"/>
    </row>
    <row r="30" spans="2:47" ht="15.75" customHeight="1">
      <c r="B30" s="79" t="s">
        <v>168</v>
      </c>
      <c r="C30" s="91">
        <v>0</v>
      </c>
      <c r="D30" s="91">
        <v>441.92234245703372</v>
      </c>
      <c r="E30" s="91">
        <v>1132.8215451577801</v>
      </c>
      <c r="F30" s="91">
        <v>429.63712910986362</v>
      </c>
      <c r="G30" s="91">
        <v>261.61619190404798</v>
      </c>
      <c r="H30" s="91">
        <v>312.91114790286974</v>
      </c>
      <c r="I30" s="91">
        <v>124.57627118644068</v>
      </c>
      <c r="J30" s="91">
        <v>120.52401746724891</v>
      </c>
      <c r="K30" s="91">
        <v>93.580340264650275</v>
      </c>
      <c r="L30" s="91">
        <v>235.59555555555553</v>
      </c>
      <c r="M30" s="91">
        <v>604.77881619937693</v>
      </c>
      <c r="N30" s="91">
        <v>144.33021806853583</v>
      </c>
      <c r="O30" s="248"/>
      <c r="P30" s="91">
        <f t="shared" si="41"/>
        <v>2578.908356531595</v>
      </c>
      <c r="Q30" s="92">
        <f t="shared" si="42"/>
        <v>1323.3852187418083</v>
      </c>
      <c r="R30" s="251">
        <f t="shared" si="26"/>
        <v>0.31836977264076688</v>
      </c>
      <c r="S30" s="251">
        <f t="shared" si="27"/>
        <v>0.20057369183719434</v>
      </c>
      <c r="T30" s="251">
        <f t="shared" si="28"/>
        <v>0.26549184774608675</v>
      </c>
      <c r="U30" s="94">
        <f t="shared" si="43"/>
        <v>3902.2935752734038</v>
      </c>
      <c r="V30" s="79"/>
      <c r="W30" s="252">
        <f t="shared" si="29"/>
        <v>290.02224970945963</v>
      </c>
      <c r="X30" s="252">
        <f t="shared" si="30"/>
        <v>220.96580383203954</v>
      </c>
      <c r="Y30" s="252">
        <f t="shared" si="31"/>
        <v>241.99280420307593</v>
      </c>
      <c r="Z30" s="252">
        <f t="shared" si="32"/>
        <v>247.34008397056883</v>
      </c>
      <c r="AA30" s="252">
        <f t="shared" si="33"/>
        <v>278.09382121816685</v>
      </c>
      <c r="AB30" s="252">
        <f t="shared" si="34"/>
        <v>307.31239157903229</v>
      </c>
      <c r="AC30" s="252">
        <f t="shared" si="35"/>
        <v>281.41529204450171</v>
      </c>
      <c r="AD30" s="252">
        <f t="shared" si="36"/>
        <v>192.01958677085022</v>
      </c>
      <c r="AE30" s="252">
        <f t="shared" si="37"/>
        <v>359.42448297892344</v>
      </c>
      <c r="AF30" s="252">
        <f t="shared" si="38"/>
        <v>457.44724786851435</v>
      </c>
      <c r="AG30" s="252">
        <f t="shared" si="39"/>
        <v>903.65509697493701</v>
      </c>
      <c r="AH30" s="252">
        <f t="shared" si="40"/>
        <v>469.86138512462117</v>
      </c>
      <c r="AI30" s="95"/>
      <c r="AJ30" s="91">
        <f t="shared" si="44"/>
        <v>1585.7271545123431</v>
      </c>
      <c r="AK30" s="92">
        <f t="shared" si="45"/>
        <v>2663.8230917623478</v>
      </c>
      <c r="AL30" s="94">
        <f t="shared" si="46"/>
        <v>4249.5502462746908</v>
      </c>
      <c r="AM30" s="96"/>
      <c r="AN30" s="61"/>
      <c r="AO30" s="61"/>
      <c r="AP30" s="61"/>
      <c r="AQ30" s="61"/>
      <c r="AR30" s="61"/>
      <c r="AS30" s="61"/>
      <c r="AT30" s="61"/>
      <c r="AU30" s="61"/>
    </row>
    <row r="31" spans="2:47" ht="15.75" customHeight="1">
      <c r="B31" s="79" t="s">
        <v>169</v>
      </c>
      <c r="C31" s="91">
        <v>0</v>
      </c>
      <c r="D31" s="91">
        <v>0</v>
      </c>
      <c r="E31" s="91">
        <v>0</v>
      </c>
      <c r="F31" s="91">
        <v>129.85445068163591</v>
      </c>
      <c r="G31" s="91">
        <v>89.109445277361317</v>
      </c>
      <c r="H31" s="91">
        <v>61.7069536423841</v>
      </c>
      <c r="I31" s="91">
        <v>25.847457627118644</v>
      </c>
      <c r="J31" s="91">
        <v>12.052401746724891</v>
      </c>
      <c r="K31" s="91">
        <v>11.697542533081284</v>
      </c>
      <c r="L31" s="91">
        <v>33.550000000000004</v>
      </c>
      <c r="M31" s="91">
        <v>56.196261682242984</v>
      </c>
      <c r="N31" s="91">
        <v>13.411214953271026</v>
      </c>
      <c r="O31" s="248"/>
      <c r="P31" s="91">
        <f t="shared" si="41"/>
        <v>280.67084960138135</v>
      </c>
      <c r="Q31" s="92">
        <f t="shared" si="42"/>
        <v>152.7548785424388</v>
      </c>
      <c r="R31" s="251">
        <f t="shared" si="26"/>
        <v>3.464920122041875E-2</v>
      </c>
      <c r="S31" s="251">
        <f t="shared" si="27"/>
        <v>2.3151694231954956E-2</v>
      </c>
      <c r="T31" s="251">
        <f t="shared" si="28"/>
        <v>2.9488042149041483E-2</v>
      </c>
      <c r="U31" s="94">
        <f t="shared" si="43"/>
        <v>433.42572814382027</v>
      </c>
      <c r="V31" s="79"/>
      <c r="W31" s="252">
        <f t="shared" si="29"/>
        <v>32.212621201731174</v>
      </c>
      <c r="X31" s="252">
        <f t="shared" si="30"/>
        <v>24.542557491737728</v>
      </c>
      <c r="Y31" s="252">
        <f t="shared" si="31"/>
        <v>26.878015542419707</v>
      </c>
      <c r="Z31" s="252">
        <f t="shared" si="32"/>
        <v>27.471935139217837</v>
      </c>
      <c r="AA31" s="252">
        <f t="shared" si="33"/>
        <v>30.887736821629701</v>
      </c>
      <c r="AB31" s="252">
        <f t="shared" si="34"/>
        <v>34.133028312312149</v>
      </c>
      <c r="AC31" s="252">
        <f t="shared" si="35"/>
        <v>31.256650867598626</v>
      </c>
      <c r="AD31" s="252">
        <f t="shared" si="36"/>
        <v>21.327516141119705</v>
      </c>
      <c r="AE31" s="252">
        <f t="shared" si="37"/>
        <v>39.921091338429463</v>
      </c>
      <c r="AF31" s="252">
        <f t="shared" si="38"/>
        <v>50.808429112334593</v>
      </c>
      <c r="AG31" s="252">
        <f t="shared" si="39"/>
        <v>100.36850402004812</v>
      </c>
      <c r="AH31" s="252">
        <f t="shared" si="40"/>
        <v>52.187260913611475</v>
      </c>
      <c r="AI31" s="95"/>
      <c r="AJ31" s="91">
        <f t="shared" si="44"/>
        <v>176.12589450904829</v>
      </c>
      <c r="AK31" s="92">
        <f t="shared" si="45"/>
        <v>295.86945239314196</v>
      </c>
      <c r="AL31" s="94">
        <f t="shared" si="46"/>
        <v>471.99534690219025</v>
      </c>
      <c r="AM31" s="96"/>
      <c r="AN31" s="61"/>
      <c r="AO31" s="61"/>
      <c r="AP31" s="61"/>
      <c r="AQ31" s="61"/>
      <c r="AR31" s="61"/>
      <c r="AS31" s="61"/>
      <c r="AT31" s="61"/>
      <c r="AU31" s="61"/>
    </row>
    <row r="32" spans="2:47" ht="15.75" customHeight="1">
      <c r="B32" s="79" t="s">
        <v>170</v>
      </c>
      <c r="C32" s="91">
        <v>0</v>
      </c>
      <c r="D32" s="91">
        <v>0</v>
      </c>
      <c r="E32" s="91">
        <v>0</v>
      </c>
      <c r="F32" s="91">
        <v>77.83560545308741</v>
      </c>
      <c r="G32" s="91">
        <v>63.404797601199398</v>
      </c>
      <c r="H32" s="91">
        <v>80.087748344370866</v>
      </c>
      <c r="I32" s="91">
        <v>22.881355932203391</v>
      </c>
      <c r="J32" s="91">
        <v>17.676855895196507</v>
      </c>
      <c r="K32" s="91">
        <v>33.293005671077509</v>
      </c>
      <c r="L32" s="91">
        <v>41.005555555555553</v>
      </c>
      <c r="M32" s="91">
        <v>123.09657320872273</v>
      </c>
      <c r="N32" s="91">
        <v>29.37694704049844</v>
      </c>
      <c r="O32" s="248"/>
      <c r="P32" s="91">
        <f t="shared" si="41"/>
        <v>221.32815139865767</v>
      </c>
      <c r="Q32" s="92">
        <f t="shared" si="42"/>
        <v>267.33029330325417</v>
      </c>
      <c r="R32" s="251">
        <f t="shared" si="26"/>
        <v>2.7323263760547122E-2</v>
      </c>
      <c r="S32" s="251">
        <f t="shared" si="27"/>
        <v>4.0516867733139464E-2</v>
      </c>
      <c r="T32" s="251">
        <f t="shared" si="28"/>
        <v>3.3245790173936363E-2</v>
      </c>
      <c r="U32" s="94">
        <f t="shared" si="43"/>
        <v>488.65844470191183</v>
      </c>
      <c r="V32" s="79"/>
      <c r="W32" s="252">
        <f t="shared" si="29"/>
        <v>36.317570356567721</v>
      </c>
      <c r="X32" s="252">
        <f t="shared" si="30"/>
        <v>27.670087847070061</v>
      </c>
      <c r="Y32" s="252">
        <f t="shared" si="31"/>
        <v>30.303160192821821</v>
      </c>
      <c r="Z32" s="252">
        <f t="shared" si="32"/>
        <v>30.972764712360309</v>
      </c>
      <c r="AA32" s="252">
        <f t="shared" si="33"/>
        <v>34.823852059403286</v>
      </c>
      <c r="AB32" s="252">
        <f t="shared" si="34"/>
        <v>38.482700598996708</v>
      </c>
      <c r="AC32" s="252">
        <f t="shared" si="35"/>
        <v>35.23977790834607</v>
      </c>
      <c r="AD32" s="252">
        <f t="shared" si="36"/>
        <v>24.045344311946952</v>
      </c>
      <c r="AE32" s="252">
        <f t="shared" si="37"/>
        <v>45.008353536795099</v>
      </c>
      <c r="AF32" s="252">
        <f t="shared" si="38"/>
        <v>57.283096815937732</v>
      </c>
      <c r="AG32" s="252">
        <f t="shared" si="39"/>
        <v>113.15875797576044</v>
      </c>
      <c r="AH32" s="252">
        <f t="shared" si="40"/>
        <v>58.837637212981079</v>
      </c>
      <c r="AI32" s="95"/>
      <c r="AJ32" s="91">
        <f t="shared" si="44"/>
        <v>198.57013576721991</v>
      </c>
      <c r="AK32" s="92">
        <f t="shared" si="45"/>
        <v>333.57296776176736</v>
      </c>
      <c r="AL32" s="94">
        <f t="shared" si="46"/>
        <v>532.14310352898724</v>
      </c>
      <c r="AM32" s="96"/>
      <c r="AN32" s="61"/>
      <c r="AO32" s="61"/>
      <c r="AP32" s="61"/>
      <c r="AQ32" s="61"/>
      <c r="AR32" s="61"/>
      <c r="AS32" s="61"/>
      <c r="AT32" s="61"/>
      <c r="AU32" s="61"/>
    </row>
    <row r="33" spans="2:47" ht="15.75" customHeight="1">
      <c r="B33" s="79" t="s">
        <v>261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248"/>
      <c r="P33" s="91"/>
      <c r="Q33" s="92"/>
      <c r="R33" s="251"/>
      <c r="S33" s="251"/>
      <c r="T33" s="251"/>
      <c r="U33" s="94"/>
      <c r="V33" s="79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95"/>
      <c r="AJ33" s="91"/>
      <c r="AK33" s="92"/>
      <c r="AL33" s="94"/>
      <c r="AM33" s="96"/>
      <c r="AN33" s="61"/>
      <c r="AO33" s="61"/>
      <c r="AP33" s="61"/>
      <c r="AQ33" s="61"/>
      <c r="AR33" s="61"/>
      <c r="AS33" s="61"/>
      <c r="AT33" s="61"/>
      <c r="AU33" s="61"/>
    </row>
    <row r="34" spans="2:47" ht="15.75" customHeight="1">
      <c r="B34" s="79" t="s">
        <v>263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79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95"/>
      <c r="AJ34" s="91"/>
      <c r="AK34" s="92"/>
      <c r="AL34" s="94"/>
      <c r="AM34" s="96"/>
      <c r="AN34" s="61"/>
      <c r="AO34" s="61"/>
      <c r="AP34" s="61"/>
      <c r="AQ34" s="61"/>
      <c r="AR34" s="61"/>
      <c r="AS34" s="61"/>
      <c r="AT34" s="61"/>
      <c r="AU34" s="61"/>
    </row>
    <row r="35" spans="2:47" ht="15.75" customHeight="1">
      <c r="B35" s="79" t="s">
        <v>264</v>
      </c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79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95"/>
      <c r="AJ35" s="91"/>
      <c r="AK35" s="92"/>
      <c r="AL35" s="94"/>
      <c r="AM35" s="96"/>
      <c r="AN35" s="61"/>
      <c r="AO35" s="61"/>
      <c r="AP35" s="61"/>
      <c r="AQ35" s="61"/>
      <c r="AR35" s="61"/>
      <c r="AS35" s="61"/>
      <c r="AT35" s="61"/>
      <c r="AU35" s="61"/>
    </row>
    <row r="36" spans="2:47" ht="15.75" customHeight="1">
      <c r="B36" s="79" t="s">
        <v>265</v>
      </c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79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95"/>
      <c r="AJ36" s="91"/>
      <c r="AK36" s="92"/>
      <c r="AL36" s="94"/>
      <c r="AM36" s="96"/>
      <c r="AN36" s="61"/>
      <c r="AO36" s="61"/>
      <c r="AP36" s="61"/>
      <c r="AQ36" s="61"/>
      <c r="AR36" s="61"/>
      <c r="AS36" s="61"/>
      <c r="AT36" s="61"/>
      <c r="AU36" s="61"/>
    </row>
    <row r="37" spans="2:47" ht="15.75" customHeight="1">
      <c r="B37" s="74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74"/>
      <c r="O37" s="248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61"/>
      <c r="AN37" s="61"/>
      <c r="AO37" s="61"/>
      <c r="AP37" s="61"/>
      <c r="AQ37" s="61"/>
      <c r="AR37" s="61"/>
      <c r="AS37" s="61"/>
      <c r="AT37" s="61"/>
      <c r="AU37" s="61"/>
    </row>
    <row r="38" spans="2:47" ht="15.75" customHeight="1"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248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61"/>
      <c r="AN38" s="61"/>
      <c r="AO38" s="61"/>
      <c r="AP38" s="61"/>
      <c r="AQ38" s="61"/>
      <c r="AR38" s="61"/>
      <c r="AS38" s="61"/>
      <c r="AT38" s="61"/>
      <c r="AU38" s="61"/>
    </row>
    <row r="39" spans="2:47" ht="15.75" customHeight="1">
      <c r="B39" s="74" t="s">
        <v>19</v>
      </c>
      <c r="C39" s="97">
        <f t="shared" ref="C39:N39" si="47">C9/C24</f>
        <v>78.246445497630333</v>
      </c>
      <c r="D39" s="97">
        <f t="shared" si="47"/>
        <v>54.583401139137507</v>
      </c>
      <c r="E39" s="97">
        <f t="shared" si="47"/>
        <v>46.555968397030831</v>
      </c>
      <c r="F39" s="97">
        <f t="shared" si="47"/>
        <v>82.48005801305294</v>
      </c>
      <c r="G39" s="97">
        <f t="shared" si="47"/>
        <v>138.87238095238095</v>
      </c>
      <c r="H39" s="97">
        <f t="shared" si="47"/>
        <v>90.61829176114891</v>
      </c>
      <c r="I39" s="97">
        <f t="shared" si="47"/>
        <v>67.354037267080756</v>
      </c>
      <c r="J39" s="97">
        <f t="shared" si="47"/>
        <v>63.728952772073924</v>
      </c>
      <c r="K39" s="97">
        <f t="shared" si="47"/>
        <v>82.102661596958157</v>
      </c>
      <c r="L39" s="97">
        <f t="shared" si="47"/>
        <v>86.879963898916969</v>
      </c>
      <c r="M39" s="97">
        <f t="shared" si="47"/>
        <v>62.725652714463315</v>
      </c>
      <c r="N39" s="97">
        <f t="shared" si="47"/>
        <v>94.783132530120483</v>
      </c>
      <c r="O39" s="248"/>
      <c r="P39" s="75">
        <f t="shared" ref="P39:Q43" si="48">P9/P24</f>
        <v>74.703510956995032</v>
      </c>
      <c r="Q39" s="76">
        <f t="shared" si="48"/>
        <v>74.576993028190358</v>
      </c>
      <c r="R39" s="76"/>
      <c r="S39" s="76"/>
      <c r="T39" s="76"/>
      <c r="U39" s="99">
        <f>U9/U24</f>
        <v>74.646717849011068</v>
      </c>
      <c r="V39" s="74"/>
      <c r="W39" s="76">
        <f t="shared" ref="W39:AH39" si="49">W9/W24</f>
        <v>83.945850279423624</v>
      </c>
      <c r="X39" s="76">
        <f t="shared" si="49"/>
        <v>99.34533572514664</v>
      </c>
      <c r="Y39" s="76">
        <f t="shared" si="49"/>
        <v>95.908685323408449</v>
      </c>
      <c r="Z39" s="76">
        <f t="shared" si="49"/>
        <v>100.30345743034506</v>
      </c>
      <c r="AA39" s="76">
        <f t="shared" si="49"/>
        <v>97.972274791216805</v>
      </c>
      <c r="AB39" s="76">
        <f t="shared" si="49"/>
        <v>86.690156540455021</v>
      </c>
      <c r="AC39" s="76">
        <f t="shared" si="49"/>
        <v>84.384533689876093</v>
      </c>
      <c r="AD39" s="76">
        <f t="shared" si="49"/>
        <v>49.347964413405158</v>
      </c>
      <c r="AE39" s="76">
        <f t="shared" si="49"/>
        <v>66.069784661185977</v>
      </c>
      <c r="AF39" s="76">
        <f t="shared" si="49"/>
        <v>70.081485262147083</v>
      </c>
      <c r="AG39" s="76">
        <f t="shared" si="49"/>
        <v>47.893368388542214</v>
      </c>
      <c r="AH39" s="76">
        <f t="shared" si="49"/>
        <v>77.569055820867788</v>
      </c>
      <c r="AI39" s="98"/>
      <c r="AJ39" s="75">
        <f t="shared" ref="AJ39:AL47" si="50">AJ9/AJ24</f>
        <v>93.460471299045793</v>
      </c>
      <c r="AK39" s="76">
        <f t="shared" si="50"/>
        <v>63.350432567150641</v>
      </c>
      <c r="AL39" s="99">
        <f t="shared" si="50"/>
        <v>74.586046520048527</v>
      </c>
      <c r="AM39" s="100"/>
      <c r="AN39" s="61"/>
      <c r="AO39" s="61"/>
      <c r="AP39" s="61"/>
      <c r="AQ39" s="61"/>
      <c r="AR39" s="61"/>
      <c r="AS39" s="61"/>
      <c r="AT39" s="61"/>
      <c r="AU39" s="61"/>
    </row>
    <row r="40" spans="2:47" ht="15.75" customHeight="1">
      <c r="B40" s="79" t="s">
        <v>171</v>
      </c>
      <c r="C40" s="101">
        <f t="shared" ref="C40:N40" si="51">C10/C25</f>
        <v>129.91836734693879</v>
      </c>
      <c r="D40" s="101">
        <f t="shared" si="51"/>
        <v>2545.4324324324325</v>
      </c>
      <c r="E40" s="101">
        <f t="shared" si="51"/>
        <v>361.93291505791507</v>
      </c>
      <c r="F40" s="101">
        <f t="shared" si="51"/>
        <v>219.09191639385546</v>
      </c>
      <c r="G40" s="101">
        <f t="shared" si="51"/>
        <v>838.45563271604942</v>
      </c>
      <c r="H40" s="101">
        <f t="shared" si="51"/>
        <v>283.04416809605488</v>
      </c>
      <c r="I40" s="101">
        <f t="shared" si="51"/>
        <v>175.86267605633805</v>
      </c>
      <c r="J40" s="101" t="e">
        <f t="shared" si="51"/>
        <v>#DIV/0!</v>
      </c>
      <c r="K40" s="101">
        <f t="shared" si="51"/>
        <v>148.48744865358285</v>
      </c>
      <c r="L40" s="101">
        <f t="shared" si="51"/>
        <v>166.58009153318076</v>
      </c>
      <c r="M40" s="101">
        <f t="shared" si="51"/>
        <v>198.87194244604316</v>
      </c>
      <c r="N40" s="101">
        <f t="shared" si="51"/>
        <v>308.01706484641642</v>
      </c>
      <c r="O40" s="248"/>
      <c r="P40" s="80">
        <f t="shared" si="48"/>
        <v>351.02689608006011</v>
      </c>
      <c r="Q40" s="81">
        <f t="shared" si="48"/>
        <v>205.30270587413332</v>
      </c>
      <c r="R40" s="81"/>
      <c r="S40" s="81"/>
      <c r="T40" s="81"/>
      <c r="U40" s="102">
        <f>U10/U25</f>
        <v>271.35112561451189</v>
      </c>
      <c r="V40" s="79"/>
      <c r="W40" s="81">
        <f t="shared" ref="W40:AH40" si="52">W10/W25</f>
        <v>305.15475590050556</v>
      </c>
      <c r="X40" s="81">
        <f t="shared" si="52"/>
        <v>361.13401165336376</v>
      </c>
      <c r="Y40" s="81">
        <f t="shared" si="52"/>
        <v>348.64131295572673</v>
      </c>
      <c r="Z40" s="81">
        <f t="shared" si="52"/>
        <v>364.61691633655647</v>
      </c>
      <c r="AA40" s="81">
        <f t="shared" si="52"/>
        <v>356.1427455844015</v>
      </c>
      <c r="AB40" s="81">
        <f t="shared" si="52"/>
        <v>315.1306880569345</v>
      </c>
      <c r="AC40" s="81">
        <f t="shared" si="52"/>
        <v>306.74943066511446</v>
      </c>
      <c r="AD40" s="81">
        <f t="shared" si="52"/>
        <v>179.3866639581899</v>
      </c>
      <c r="AE40" s="81">
        <f t="shared" si="52"/>
        <v>240.17278928706097</v>
      </c>
      <c r="AF40" s="81">
        <f t="shared" si="52"/>
        <v>254.75587485421335</v>
      </c>
      <c r="AG40" s="81">
        <f t="shared" si="52"/>
        <v>174.09900657639676</v>
      </c>
      <c r="AH40" s="81">
        <f t="shared" si="52"/>
        <v>281.97422762005914</v>
      </c>
      <c r="AI40" s="77"/>
      <c r="AJ40" s="80">
        <f t="shared" si="50"/>
        <v>339.74171696009591</v>
      </c>
      <c r="AK40" s="81">
        <f t="shared" si="50"/>
        <v>230.28756897300471</v>
      </c>
      <c r="AL40" s="102">
        <f t="shared" si="50"/>
        <v>271.13057695703679</v>
      </c>
      <c r="AM40" s="61"/>
      <c r="AN40" s="61"/>
      <c r="AO40" s="61"/>
      <c r="AP40" s="61"/>
      <c r="AQ40" s="61"/>
      <c r="AR40" s="61"/>
      <c r="AS40" s="61"/>
      <c r="AT40" s="61"/>
      <c r="AU40" s="61"/>
    </row>
    <row r="41" spans="2:47" ht="15.75" customHeight="1">
      <c r="B41" s="79" t="s">
        <v>172</v>
      </c>
      <c r="C41" s="101">
        <f t="shared" ref="C41:N41" si="53">C11/C26</f>
        <v>103.4387755102041</v>
      </c>
      <c r="D41" s="101">
        <f t="shared" si="53"/>
        <v>289.55598455598459</v>
      </c>
      <c r="E41" s="101">
        <f t="shared" si="53"/>
        <v>146.70884520884522</v>
      </c>
      <c r="F41" s="101">
        <f t="shared" si="53"/>
        <v>79.866144001844688</v>
      </c>
      <c r="G41" s="101">
        <f t="shared" si="53"/>
        <v>200.27824074074078</v>
      </c>
      <c r="H41" s="101">
        <f t="shared" si="53"/>
        <v>72.910377358490564</v>
      </c>
      <c r="I41" s="101">
        <f t="shared" si="53"/>
        <v>41.183719966859982</v>
      </c>
      <c r="J41" s="101">
        <f t="shared" si="53"/>
        <v>45.588235294117645</v>
      </c>
      <c r="K41" s="101">
        <f t="shared" si="53"/>
        <v>55.171033013844514</v>
      </c>
      <c r="L41" s="101">
        <f t="shared" si="53"/>
        <v>151.56717881660674</v>
      </c>
      <c r="M41" s="101">
        <f t="shared" si="53"/>
        <v>167.64451967837493</v>
      </c>
      <c r="N41" s="101">
        <f t="shared" si="53"/>
        <v>42.651728743136964</v>
      </c>
      <c r="O41" s="248"/>
      <c r="P41" s="80">
        <f t="shared" si="48"/>
        <v>116.95388822944891</v>
      </c>
      <c r="Q41" s="81">
        <f t="shared" si="48"/>
        <v>70.231672193747357</v>
      </c>
      <c r="R41" s="81"/>
      <c r="S41" s="81"/>
      <c r="T41" s="81"/>
      <c r="U41" s="102">
        <f>U11/U26</f>
        <v>91.714808344194765</v>
      </c>
      <c r="V41" s="79"/>
      <c r="W41" s="81">
        <f t="shared" ref="W41:AH41" si="54">W11/W26</f>
        <v>103.14020216187983</v>
      </c>
      <c r="X41" s="81">
        <f t="shared" si="54"/>
        <v>122.06080439265047</v>
      </c>
      <c r="Y41" s="81">
        <f t="shared" si="54"/>
        <v>117.83835842283619</v>
      </c>
      <c r="Z41" s="81">
        <f t="shared" si="54"/>
        <v>123.23800214621316</v>
      </c>
      <c r="AA41" s="81">
        <f t="shared" si="54"/>
        <v>120.37379089722798</v>
      </c>
      <c r="AB41" s="81">
        <f t="shared" si="54"/>
        <v>106.511998404514</v>
      </c>
      <c r="AC41" s="81">
        <f t="shared" si="54"/>
        <v>103.67919123029151</v>
      </c>
      <c r="AD41" s="81">
        <f t="shared" si="54"/>
        <v>60.631454788223593</v>
      </c>
      <c r="AE41" s="81">
        <f t="shared" si="54"/>
        <v>81.176745771993367</v>
      </c>
      <c r="AF41" s="81">
        <f t="shared" si="54"/>
        <v>86.105728081646404</v>
      </c>
      <c r="AG41" s="81">
        <f t="shared" si="54"/>
        <v>58.844263073935792</v>
      </c>
      <c r="AH41" s="81">
        <f t="shared" si="54"/>
        <v>95.305343530858053</v>
      </c>
      <c r="AI41" s="77"/>
      <c r="AJ41" s="80">
        <f t="shared" si="50"/>
        <v>114.83035637666229</v>
      </c>
      <c r="AK41" s="81">
        <f t="shared" si="50"/>
        <v>77.835609506239393</v>
      </c>
      <c r="AL41" s="102">
        <f t="shared" si="50"/>
        <v>91.640264419583872</v>
      </c>
      <c r="AM41" s="61"/>
      <c r="AN41" s="61"/>
      <c r="AO41" s="61"/>
      <c r="AP41" s="61"/>
      <c r="AQ41" s="61"/>
      <c r="AR41" s="61"/>
      <c r="AS41" s="61"/>
      <c r="AT41" s="61"/>
      <c r="AU41" s="61"/>
    </row>
    <row r="42" spans="2:47" ht="15.75" customHeight="1">
      <c r="B42" s="79" t="s">
        <v>173</v>
      </c>
      <c r="C42" s="101">
        <f t="shared" ref="C42:N42" si="55">C12/C27</f>
        <v>146.14285714285717</v>
      </c>
      <c r="D42" s="101">
        <f t="shared" si="55"/>
        <v>1431.8594594594595</v>
      </c>
      <c r="E42" s="101">
        <f t="shared" si="55"/>
        <v>814.34362934362935</v>
      </c>
      <c r="F42" s="101">
        <f t="shared" si="55"/>
        <v>360.25395656974604</v>
      </c>
      <c r="G42" s="101">
        <f t="shared" si="55"/>
        <v>88.237847222222229</v>
      </c>
      <c r="H42" s="101">
        <f t="shared" si="55"/>
        <v>175.13962264150942</v>
      </c>
      <c r="I42" s="101">
        <f t="shared" si="55"/>
        <v>152.17226435536293</v>
      </c>
      <c r="J42" s="101">
        <f t="shared" si="55"/>
        <v>418.69747899159665</v>
      </c>
      <c r="K42" s="101">
        <f t="shared" si="55"/>
        <v>146.16293929712458</v>
      </c>
      <c r="L42" s="101">
        <f t="shared" si="55"/>
        <v>249.88024408848204</v>
      </c>
      <c r="M42" s="101">
        <f t="shared" si="55"/>
        <v>134.23424460431653</v>
      </c>
      <c r="N42" s="101">
        <f t="shared" si="55"/>
        <v>230.99374288964736</v>
      </c>
      <c r="O42" s="248"/>
      <c r="P42" s="80">
        <f t="shared" si="48"/>
        <v>290.75265656873165</v>
      </c>
      <c r="Q42" s="81">
        <f t="shared" si="48"/>
        <v>175.58822236195374</v>
      </c>
      <c r="R42" s="81"/>
      <c r="S42" s="81"/>
      <c r="T42" s="81"/>
      <c r="U42" s="102">
        <f>U12/U27</f>
        <v>221.70976632976235</v>
      </c>
      <c r="V42" s="79"/>
      <c r="W42" s="81">
        <f t="shared" ref="W42:AH42" si="56">W12/W27</f>
        <v>249.32931260889717</v>
      </c>
      <c r="X42" s="81">
        <f t="shared" si="56"/>
        <v>295.06764402054483</v>
      </c>
      <c r="Y42" s="81">
        <f t="shared" si="56"/>
        <v>284.8603773183753</v>
      </c>
      <c r="Z42" s="81">
        <f t="shared" si="56"/>
        <v>297.91338118751167</v>
      </c>
      <c r="AA42" s="81">
        <f t="shared" si="56"/>
        <v>290.98948723629258</v>
      </c>
      <c r="AB42" s="81">
        <f t="shared" si="56"/>
        <v>257.48023360586956</v>
      </c>
      <c r="AC42" s="81">
        <f t="shared" si="56"/>
        <v>250.63225531323536</v>
      </c>
      <c r="AD42" s="81">
        <f t="shared" si="56"/>
        <v>146.56941355513908</v>
      </c>
      <c r="AE42" s="81">
        <f t="shared" si="56"/>
        <v>196.23523901370464</v>
      </c>
      <c r="AF42" s="81">
        <f t="shared" si="56"/>
        <v>208.15047425047851</v>
      </c>
      <c r="AG42" s="81">
        <f t="shared" si="56"/>
        <v>142.24908770465913</v>
      </c>
      <c r="AH42" s="81">
        <f t="shared" si="56"/>
        <v>230.38946300694889</v>
      </c>
      <c r="AI42" s="77"/>
      <c r="AJ42" s="80">
        <f t="shared" si="50"/>
        <v>277.58888602033045</v>
      </c>
      <c r="AK42" s="81">
        <f t="shared" si="50"/>
        <v>188.15843490616933</v>
      </c>
      <c r="AL42" s="102">
        <f t="shared" si="50"/>
        <v>221.52956515608966</v>
      </c>
      <c r="AM42" s="61"/>
      <c r="AN42" s="61"/>
      <c r="AO42" s="61"/>
      <c r="AP42" s="61"/>
      <c r="AQ42" s="61"/>
      <c r="AR42" s="61"/>
      <c r="AS42" s="61"/>
      <c r="AT42" s="61"/>
      <c r="AU42" s="61"/>
    </row>
    <row r="43" spans="2:47" ht="15.75" customHeight="1">
      <c r="B43" s="79" t="s">
        <v>174</v>
      </c>
      <c r="C43" s="101">
        <f t="shared" ref="C43:N43" si="57">C13/C28</f>
        <v>197.35714285714286</v>
      </c>
      <c r="D43" s="101">
        <f t="shared" si="57"/>
        <v>112.52407862407863</v>
      </c>
      <c r="E43" s="101">
        <f t="shared" si="57"/>
        <v>131.91407825736187</v>
      </c>
      <c r="F43" s="101">
        <f t="shared" si="57"/>
        <v>116.2121212121212</v>
      </c>
      <c r="G43" s="101">
        <f t="shared" si="57"/>
        <v>192.16375448028677</v>
      </c>
      <c r="H43" s="101">
        <f t="shared" si="57"/>
        <v>90.839225422045672</v>
      </c>
      <c r="I43" s="101">
        <f t="shared" si="57"/>
        <v>78.700038066235237</v>
      </c>
      <c r="J43" s="101">
        <f t="shared" si="57"/>
        <v>112.03208556149733</v>
      </c>
      <c r="K43" s="101">
        <f t="shared" si="57"/>
        <v>95.622293219737301</v>
      </c>
      <c r="L43" s="101">
        <f t="shared" si="57"/>
        <v>63.049035632559665</v>
      </c>
      <c r="M43" s="101">
        <f t="shared" si="57"/>
        <v>63.05758457064136</v>
      </c>
      <c r="N43" s="101">
        <f t="shared" si="57"/>
        <v>55.137026104602896</v>
      </c>
      <c r="O43" s="248"/>
      <c r="P43" s="80">
        <f t="shared" si="48"/>
        <v>130.3903444390877</v>
      </c>
      <c r="Q43" s="81">
        <f t="shared" si="48"/>
        <v>67.724286430323744</v>
      </c>
      <c r="R43" s="81"/>
      <c r="S43" s="81"/>
      <c r="T43" s="81"/>
      <c r="U43" s="102">
        <f>U13/U28</f>
        <v>94.361862880945637</v>
      </c>
      <c r="V43" s="79"/>
      <c r="W43" s="81">
        <f t="shared" ref="W43:AH43" si="58">W13/W28</f>
        <v>106.11701414004375</v>
      </c>
      <c r="X43" s="81">
        <f t="shared" si="58"/>
        <v>125.58369902504681</v>
      </c>
      <c r="Y43" s="81">
        <f t="shared" si="58"/>
        <v>121.23938566039885</v>
      </c>
      <c r="Z43" s="81">
        <f t="shared" si="58"/>
        <v>95.096154619332452</v>
      </c>
      <c r="AA43" s="81">
        <f t="shared" si="58"/>
        <v>92.885996461520293</v>
      </c>
      <c r="AB43" s="81">
        <f t="shared" si="58"/>
        <v>82.189594870846392</v>
      </c>
      <c r="AC43" s="81">
        <f t="shared" si="58"/>
        <v>80.003669552720837</v>
      </c>
      <c r="AD43" s="81">
        <f t="shared" si="58"/>
        <v>46.7860408228238</v>
      </c>
      <c r="AE43" s="81">
        <f t="shared" si="58"/>
        <v>62.639739633793873</v>
      </c>
      <c r="AF43" s="81">
        <f t="shared" si="58"/>
        <v>66.443170845528471</v>
      </c>
      <c r="AG43" s="81">
        <f t="shared" si="58"/>
        <v>45.406960858555443</v>
      </c>
      <c r="AH43" s="81">
        <f t="shared" si="58"/>
        <v>73.542020534431117</v>
      </c>
      <c r="AI43" s="77"/>
      <c r="AJ43" s="80">
        <f t="shared" si="50"/>
        <v>102.46091211544969</v>
      </c>
      <c r="AK43" s="81">
        <f t="shared" si="50"/>
        <v>60.061564027251364</v>
      </c>
      <c r="AL43" s="102">
        <f t="shared" si="50"/>
        <v>75.882955398259796</v>
      </c>
      <c r="AM43" s="61"/>
      <c r="AN43" s="61"/>
      <c r="AO43" s="61"/>
      <c r="AP43" s="61"/>
      <c r="AQ43" s="61"/>
      <c r="AR43" s="61"/>
      <c r="AS43" s="61"/>
      <c r="AT43" s="61"/>
      <c r="AU43" s="61"/>
    </row>
    <row r="44" spans="2:47" ht="15.75" customHeight="1">
      <c r="B44" s="79" t="s">
        <v>175</v>
      </c>
      <c r="C44" s="101">
        <f t="shared" ref="C44:N44" si="59">(C18+C14)/C29</f>
        <v>36.785454545454549</v>
      </c>
      <c r="D44" s="101">
        <f t="shared" si="59"/>
        <v>35.178186293166881</v>
      </c>
      <c r="E44" s="101">
        <f t="shared" si="59"/>
        <v>33.209091702993206</v>
      </c>
      <c r="F44" s="101">
        <f t="shared" si="59"/>
        <v>83.309437094296612</v>
      </c>
      <c r="G44" s="101">
        <f t="shared" si="59"/>
        <v>106.76702912135983</v>
      </c>
      <c r="H44" s="101">
        <f t="shared" si="59"/>
        <v>87.02190088239756</v>
      </c>
      <c r="I44" s="101">
        <f t="shared" si="59"/>
        <v>52.209127105666155</v>
      </c>
      <c r="J44" s="101">
        <f t="shared" si="59"/>
        <v>32.941942082464301</v>
      </c>
      <c r="K44" s="101">
        <f t="shared" si="59"/>
        <v>44.370801120448178</v>
      </c>
      <c r="L44" s="101">
        <f t="shared" si="59"/>
        <v>61.654616891034721</v>
      </c>
      <c r="M44" s="101">
        <f t="shared" si="59"/>
        <v>37.456834928333407</v>
      </c>
      <c r="N44" s="101">
        <f t="shared" si="59"/>
        <v>97.895017122090991</v>
      </c>
      <c r="O44" s="248"/>
      <c r="P44" s="80">
        <f>(P18+P14)/P29</f>
        <v>55.246474807072758</v>
      </c>
      <c r="Q44" s="81">
        <f>(Q18+Q14)/Q29</f>
        <v>49.218362491254517</v>
      </c>
      <c r="R44" s="81"/>
      <c r="S44" s="81"/>
      <c r="T44" s="81"/>
      <c r="U44" s="102">
        <f>(U18+U14)/U29</f>
        <v>51.578222635116653</v>
      </c>
      <c r="V44" s="79"/>
      <c r="W44" s="81">
        <f t="shared" ref="W44:AH44" si="60">W14/W29</f>
        <v>54.564802681625352</v>
      </c>
      <c r="X44" s="81">
        <f t="shared" si="60"/>
        <v>64.574468221345313</v>
      </c>
      <c r="Y44" s="81">
        <f t="shared" si="60"/>
        <v>62.340645460215491</v>
      </c>
      <c r="Z44" s="81">
        <f t="shared" si="60"/>
        <v>65.197247329724291</v>
      </c>
      <c r="AA44" s="81">
        <f t="shared" si="60"/>
        <v>63.681978614290912</v>
      </c>
      <c r="AB44" s="81">
        <f t="shared" si="60"/>
        <v>56.348601751295767</v>
      </c>
      <c r="AC44" s="81">
        <f t="shared" si="60"/>
        <v>54.849946898419461</v>
      </c>
      <c r="AD44" s="81">
        <f t="shared" si="60"/>
        <v>32.076176868713354</v>
      </c>
      <c r="AE44" s="81">
        <f t="shared" si="60"/>
        <v>42.945360029770882</v>
      </c>
      <c r="AF44" s="81">
        <f t="shared" si="60"/>
        <v>45.552965420395601</v>
      </c>
      <c r="AG44" s="81">
        <f t="shared" si="60"/>
        <v>31.130689452552435</v>
      </c>
      <c r="AH44" s="81">
        <f t="shared" si="60"/>
        <v>50.419886283564061</v>
      </c>
      <c r="AI44" s="77"/>
      <c r="AJ44" s="80">
        <f t="shared" si="50"/>
        <v>60.749306344379768</v>
      </c>
      <c r="AK44" s="81">
        <f t="shared" si="50"/>
        <v>41.177781168647918</v>
      </c>
      <c r="AL44" s="102">
        <f t="shared" si="50"/>
        <v>48.480930238031526</v>
      </c>
      <c r="AM44" s="61"/>
      <c r="AN44" s="61"/>
      <c r="AO44" s="61"/>
      <c r="AP44" s="61"/>
      <c r="AQ44" s="61"/>
      <c r="AR44" s="61"/>
      <c r="AS44" s="61"/>
      <c r="AT44" s="61"/>
      <c r="AU44" s="61"/>
    </row>
    <row r="45" spans="2:47" ht="15.75" customHeight="1">
      <c r="B45" s="79" t="s">
        <v>176</v>
      </c>
      <c r="C45" s="101" t="e">
        <f t="shared" ref="C45:N45" si="61">C15/C30</f>
        <v>#DIV/0!</v>
      </c>
      <c r="D45" s="101">
        <f t="shared" si="61"/>
        <v>17.340150664016363</v>
      </c>
      <c r="E45" s="101">
        <f t="shared" si="61"/>
        <v>15.42873197875633</v>
      </c>
      <c r="F45" s="101">
        <f t="shared" si="61"/>
        <v>38.725703326598328</v>
      </c>
      <c r="G45" s="101">
        <f t="shared" si="61"/>
        <v>72.319682747080194</v>
      </c>
      <c r="H45" s="101">
        <f t="shared" si="61"/>
        <v>46.300683427543454</v>
      </c>
      <c r="I45" s="101">
        <f t="shared" si="61"/>
        <v>53.284625850340134</v>
      </c>
      <c r="J45" s="101">
        <f t="shared" si="61"/>
        <v>61.481521739130436</v>
      </c>
      <c r="K45" s="101">
        <f t="shared" si="61"/>
        <v>165.28044198448612</v>
      </c>
      <c r="L45" s="101">
        <f t="shared" si="61"/>
        <v>97.561263181723874</v>
      </c>
      <c r="M45" s="101">
        <f t="shared" si="61"/>
        <v>59.757384074917326</v>
      </c>
      <c r="N45" s="101">
        <f t="shared" si="61"/>
        <v>156.17658104899633</v>
      </c>
      <c r="O45" s="248"/>
      <c r="P45" s="80">
        <f t="shared" ref="P45:Q47" si="62">P15/P30</f>
        <v>29.154583880258507</v>
      </c>
      <c r="Q45" s="81">
        <f t="shared" si="62"/>
        <v>84.012575042740707</v>
      </c>
      <c r="R45" s="81"/>
      <c r="S45" s="81"/>
      <c r="T45" s="81"/>
      <c r="U45" s="102">
        <f>U15/U30</f>
        <v>47.758580026092126</v>
      </c>
      <c r="V45" s="79"/>
      <c r="W45" s="81">
        <f t="shared" ref="W45:AH45" si="63">W15/W30</f>
        <v>53.708116364038013</v>
      </c>
      <c r="X45" s="81">
        <f t="shared" si="63"/>
        <v>63.5606266848243</v>
      </c>
      <c r="Y45" s="81">
        <f t="shared" si="63"/>
        <v>61.361875715423317</v>
      </c>
      <c r="Z45" s="81">
        <f t="shared" si="63"/>
        <v>64.173627945308539</v>
      </c>
      <c r="AA45" s="81">
        <f t="shared" si="63"/>
        <v>62.682149473991949</v>
      </c>
      <c r="AB45" s="81">
        <f t="shared" si="63"/>
        <v>55.463909169941132</v>
      </c>
      <c r="AC45" s="81">
        <f t="shared" si="63"/>
        <v>53.988783717780095</v>
      </c>
      <c r="AD45" s="81">
        <f t="shared" si="63"/>
        <v>31.572569772316911</v>
      </c>
      <c r="AE45" s="81">
        <f t="shared" si="63"/>
        <v>42.271102989824577</v>
      </c>
      <c r="AF45" s="81">
        <f t="shared" si="63"/>
        <v>44.837768071861554</v>
      </c>
      <c r="AG45" s="81">
        <f t="shared" si="63"/>
        <v>30.641926836353278</v>
      </c>
      <c r="AH45" s="81">
        <f t="shared" si="63"/>
        <v>49.628276590306911</v>
      </c>
      <c r="AI45" s="77"/>
      <c r="AJ45" s="80">
        <f t="shared" si="50"/>
        <v>59.795521175361323</v>
      </c>
      <c r="AK45" s="81">
        <f t="shared" si="50"/>
        <v>40.531275729571796</v>
      </c>
      <c r="AL45" s="102">
        <f t="shared" si="50"/>
        <v>47.719762826849568</v>
      </c>
      <c r="AM45" s="61"/>
      <c r="AN45" s="61"/>
      <c r="AO45" s="61"/>
      <c r="AP45" s="61"/>
      <c r="AQ45" s="61"/>
      <c r="AR45" s="61"/>
      <c r="AS45" s="61"/>
      <c r="AT45" s="61"/>
      <c r="AU45" s="61"/>
    </row>
    <row r="46" spans="2:47" ht="15.75" customHeight="1">
      <c r="B46" s="79" t="s">
        <v>177</v>
      </c>
      <c r="C46" s="101" t="e">
        <f t="shared" ref="C46:N46" si="64">C16/C31</f>
        <v>#DIV/0!</v>
      </c>
      <c r="D46" s="101" t="e">
        <f t="shared" si="64"/>
        <v>#DIV/0!</v>
      </c>
      <c r="E46" s="101" t="e">
        <f t="shared" si="64"/>
        <v>#DIV/0!</v>
      </c>
      <c r="F46" s="101">
        <f t="shared" si="64"/>
        <v>63.032109850952743</v>
      </c>
      <c r="G46" s="101">
        <f t="shared" si="64"/>
        <v>126.51857460125177</v>
      </c>
      <c r="H46" s="101">
        <f t="shared" si="64"/>
        <v>144.81350111346626</v>
      </c>
      <c r="I46" s="101">
        <f t="shared" si="64"/>
        <v>99.081311475409834</v>
      </c>
      <c r="J46" s="101">
        <f t="shared" si="64"/>
        <v>105.45615942028985</v>
      </c>
      <c r="K46" s="101">
        <f t="shared" si="64"/>
        <v>226.88526179702652</v>
      </c>
      <c r="L46" s="101">
        <f t="shared" si="64"/>
        <v>117.52608047690013</v>
      </c>
      <c r="M46" s="101">
        <f t="shared" si="64"/>
        <v>110.3276234824547</v>
      </c>
      <c r="N46" s="101">
        <f t="shared" si="64"/>
        <v>288.34076655052269</v>
      </c>
      <c r="O46" s="248"/>
      <c r="P46" s="80">
        <f t="shared" si="62"/>
        <v>101.16832596020421</v>
      </c>
      <c r="Q46" s="81">
        <f t="shared" si="62"/>
        <v>134.17574741683777</v>
      </c>
      <c r="R46" s="81"/>
      <c r="S46" s="81"/>
      <c r="T46" s="81"/>
      <c r="U46" s="102">
        <f>U16/U31</f>
        <v>112.80133325121135</v>
      </c>
      <c r="V46" s="79"/>
      <c r="W46" s="81">
        <f t="shared" ref="W46:AH46" si="65">W16/W31</f>
        <v>126.85358586802226</v>
      </c>
      <c r="X46" s="81">
        <f t="shared" si="65"/>
        <v>150.12430077304731</v>
      </c>
      <c r="Y46" s="81">
        <f t="shared" si="65"/>
        <v>144.93105506305506</v>
      </c>
      <c r="Z46" s="81">
        <f t="shared" si="65"/>
        <v>151.57215285385703</v>
      </c>
      <c r="AA46" s="81">
        <f t="shared" si="65"/>
        <v>148.04941913798706</v>
      </c>
      <c r="AB46" s="81">
        <f t="shared" si="65"/>
        <v>131.00060550953071</v>
      </c>
      <c r="AC46" s="81">
        <f t="shared" si="65"/>
        <v>127.51649610708085</v>
      </c>
      <c r="AD46" s="81">
        <f t="shared" si="65"/>
        <v>74.571479355929625</v>
      </c>
      <c r="AE46" s="81">
        <f t="shared" si="65"/>
        <v>99.840421818371283</v>
      </c>
      <c r="AF46" s="81">
        <f t="shared" si="65"/>
        <v>105.90264651401601</v>
      </c>
      <c r="AG46" s="81">
        <f t="shared" si="65"/>
        <v>72.373387119934208</v>
      </c>
      <c r="AH46" s="81">
        <f t="shared" si="65"/>
        <v>117.21738299773675</v>
      </c>
      <c r="AI46" s="77"/>
      <c r="AJ46" s="80">
        <f t="shared" si="50"/>
        <v>141.23147102252139</v>
      </c>
      <c r="AK46" s="81">
        <f t="shared" si="50"/>
        <v>95.731111313827498</v>
      </c>
      <c r="AL46" s="102">
        <f t="shared" si="50"/>
        <v>112.7096506294658</v>
      </c>
      <c r="AM46" s="61"/>
      <c r="AN46" s="61"/>
      <c r="AO46" s="61"/>
      <c r="AP46" s="61"/>
      <c r="AQ46" s="61"/>
      <c r="AR46" s="61"/>
      <c r="AS46" s="61"/>
      <c r="AT46" s="61"/>
      <c r="AU46" s="61"/>
    </row>
    <row r="47" spans="2:47" ht="15.75" customHeight="1">
      <c r="B47" s="79" t="s">
        <v>178</v>
      </c>
      <c r="C47" s="101" t="e">
        <f t="shared" ref="C47:C48" si="66">C17/C32</f>
        <v>#DIV/0!</v>
      </c>
      <c r="D47" s="101" t="e">
        <f t="shared" ref="D47:N47" si="67">D17/D32</f>
        <v>#DIV/0!</v>
      </c>
      <c r="E47" s="101" t="e">
        <f t="shared" si="67"/>
        <v>#DIV/0!</v>
      </c>
      <c r="F47" s="101">
        <f t="shared" si="67"/>
        <v>79.333872513161822</v>
      </c>
      <c r="G47" s="101">
        <f t="shared" si="67"/>
        <v>134.1381144924452</v>
      </c>
      <c r="H47" s="101">
        <f t="shared" si="67"/>
        <v>84.170177578401166</v>
      </c>
      <c r="I47" s="101">
        <f t="shared" si="67"/>
        <v>84.435555555555553</v>
      </c>
      <c r="J47" s="101">
        <f t="shared" si="67"/>
        <v>54.251729249011859</v>
      </c>
      <c r="K47" s="101">
        <f t="shared" si="67"/>
        <v>60.13275039745627</v>
      </c>
      <c r="L47" s="101">
        <f t="shared" si="67"/>
        <v>72.551144831323668</v>
      </c>
      <c r="M47" s="101">
        <f t="shared" si="67"/>
        <v>37.994558890519819</v>
      </c>
      <c r="N47" s="101">
        <f t="shared" si="67"/>
        <v>99.295546129374344</v>
      </c>
      <c r="O47" s="248"/>
      <c r="P47" s="80">
        <f t="shared" si="62"/>
        <v>96.783892444917043</v>
      </c>
      <c r="Q47" s="81">
        <f t="shared" si="62"/>
        <v>57.838562958744873</v>
      </c>
      <c r="R47" s="81"/>
      <c r="S47" s="81"/>
      <c r="T47" s="81"/>
      <c r="U47" s="102">
        <f>U17/U32</f>
        <v>75.478077581364872</v>
      </c>
      <c r="V47" s="79"/>
      <c r="W47" s="81">
        <f t="shared" ref="W47:AH47" si="68">W17/W32</f>
        <v>84.880776845942947</v>
      </c>
      <c r="X47" s="81">
        <f t="shared" si="68"/>
        <v>100.45177032935946</v>
      </c>
      <c r="Y47" s="81">
        <f t="shared" si="68"/>
        <v>96.976845066508673</v>
      </c>
      <c r="Z47" s="81">
        <f t="shared" si="68"/>
        <v>101.4205628828865</v>
      </c>
      <c r="AA47" s="81">
        <f t="shared" si="68"/>
        <v>99.063417261985165</v>
      </c>
      <c r="AB47" s="81">
        <f t="shared" si="68"/>
        <v>87.655647152982155</v>
      </c>
      <c r="AC47" s="81">
        <f t="shared" si="68"/>
        <v>85.324345986581719</v>
      </c>
      <c r="AD47" s="81">
        <f t="shared" si="68"/>
        <v>49.897565409525541</v>
      </c>
      <c r="AE47" s="81">
        <f t="shared" si="68"/>
        <v>66.805620878442042</v>
      </c>
      <c r="AF47" s="81">
        <f t="shared" si="68"/>
        <v>70.862000822768834</v>
      </c>
      <c r="AG47" s="81">
        <f t="shared" si="68"/>
        <v>48.426769173899693</v>
      </c>
      <c r="AH47" s="81">
        <f t="shared" si="68"/>
        <v>78.432962384269715</v>
      </c>
      <c r="AI47" s="77"/>
      <c r="AJ47" s="80">
        <f t="shared" si="50"/>
        <v>94.501364651677804</v>
      </c>
      <c r="AK47" s="81">
        <f t="shared" si="50"/>
        <v>64.055982659387183</v>
      </c>
      <c r="AL47" s="102">
        <f t="shared" si="50"/>
        <v>75.416730540177312</v>
      </c>
      <c r="AM47" s="61"/>
      <c r="AN47" s="61"/>
      <c r="AO47" s="61"/>
      <c r="AP47" s="61"/>
      <c r="AQ47" s="61"/>
      <c r="AR47" s="61"/>
      <c r="AS47" s="61"/>
      <c r="AT47" s="61"/>
      <c r="AU47" s="61"/>
    </row>
    <row r="48" spans="2:47" ht="15.75" customHeight="1">
      <c r="B48" s="79" t="s">
        <v>262</v>
      </c>
      <c r="C48" s="101" t="e">
        <f t="shared" si="66"/>
        <v>#DIV/0!</v>
      </c>
      <c r="D48" s="276" t="e">
        <f>D18/D33</f>
        <v>#DIV/0!</v>
      </c>
      <c r="E48" s="101" t="e">
        <f t="shared" ref="E48:N48" si="69">E18/E33</f>
        <v>#DIV/0!</v>
      </c>
      <c r="F48" s="101" t="e">
        <f t="shared" si="69"/>
        <v>#DIV/0!</v>
      </c>
      <c r="G48" s="101" t="e">
        <f t="shared" si="69"/>
        <v>#DIV/0!</v>
      </c>
      <c r="H48" s="101" t="e">
        <f t="shared" si="69"/>
        <v>#DIV/0!</v>
      </c>
      <c r="I48" s="101" t="e">
        <f t="shared" si="69"/>
        <v>#DIV/0!</v>
      </c>
      <c r="J48" s="101" t="e">
        <f t="shared" si="69"/>
        <v>#DIV/0!</v>
      </c>
      <c r="K48" s="101" t="e">
        <f t="shared" si="69"/>
        <v>#DIV/0!</v>
      </c>
      <c r="L48" s="101" t="e">
        <f t="shared" si="69"/>
        <v>#DIV/0!</v>
      </c>
      <c r="M48" s="101" t="e">
        <f t="shared" si="69"/>
        <v>#DIV/0!</v>
      </c>
      <c r="N48" s="101" t="e">
        <f t="shared" si="69"/>
        <v>#DIV/0!</v>
      </c>
      <c r="O48" s="248"/>
      <c r="P48" s="80"/>
      <c r="Q48" s="81"/>
      <c r="R48" s="81"/>
      <c r="S48" s="81"/>
      <c r="T48" s="81"/>
      <c r="U48" s="102"/>
      <c r="V48" s="79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77"/>
      <c r="AJ48" s="80"/>
      <c r="AK48" s="81"/>
      <c r="AL48" s="102"/>
      <c r="AM48" s="61"/>
      <c r="AN48" s="61"/>
      <c r="AO48" s="61"/>
      <c r="AP48" s="61"/>
      <c r="AQ48" s="61"/>
      <c r="AR48" s="61"/>
      <c r="AS48" s="61"/>
      <c r="AT48" s="61"/>
      <c r="AU48" s="61"/>
    </row>
    <row r="49" spans="2:47" ht="15.75" customHeight="1">
      <c r="B49" s="79" t="s">
        <v>249</v>
      </c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9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77"/>
      <c r="AJ49" s="80"/>
      <c r="AK49" s="81"/>
      <c r="AL49" s="102"/>
      <c r="AM49" s="61"/>
      <c r="AN49" s="61"/>
      <c r="AO49" s="61"/>
      <c r="AP49" s="61"/>
      <c r="AQ49" s="61"/>
      <c r="AR49" s="61"/>
      <c r="AS49" s="61"/>
      <c r="AT49" s="61"/>
      <c r="AU49" s="61"/>
    </row>
    <row r="50" spans="2:47" ht="15.75" customHeight="1">
      <c r="B50" s="79" t="s">
        <v>266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9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77"/>
      <c r="AJ50" s="80"/>
      <c r="AK50" s="81"/>
      <c r="AL50" s="102"/>
      <c r="AM50" s="61"/>
      <c r="AN50" s="61"/>
      <c r="AO50" s="61"/>
      <c r="AP50" s="61"/>
      <c r="AQ50" s="61"/>
      <c r="AR50" s="61"/>
      <c r="AS50" s="61"/>
      <c r="AT50" s="61"/>
      <c r="AU50" s="61"/>
    </row>
    <row r="51" spans="2:47" ht="15.75" customHeight="1">
      <c r="B51" s="79" t="s">
        <v>267</v>
      </c>
      <c r="C51" s="74"/>
      <c r="D51" s="74"/>
      <c r="E51" s="74"/>
      <c r="F51" s="103">
        <f>AVERAGE(F54:H54)</f>
        <v>1.814790733208846</v>
      </c>
      <c r="G51" s="104"/>
      <c r="H51" s="104"/>
      <c r="I51" s="104"/>
      <c r="J51" s="104"/>
      <c r="K51" s="104"/>
      <c r="L51" s="104"/>
      <c r="M51" s="104"/>
      <c r="N51" s="104"/>
      <c r="O51" s="248"/>
      <c r="P51" s="104"/>
      <c r="Q51" s="104"/>
      <c r="R51" s="104"/>
      <c r="S51" s="104"/>
      <c r="T51" s="104"/>
      <c r="U51" s="104"/>
      <c r="V51" s="79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61"/>
      <c r="AN51" s="61"/>
      <c r="AO51" s="61"/>
      <c r="AP51" s="61"/>
      <c r="AQ51" s="61"/>
      <c r="AR51" s="61"/>
      <c r="AS51" s="61"/>
      <c r="AT51" s="61"/>
      <c r="AU51" s="61"/>
    </row>
    <row r="52" spans="2:47" ht="15.75" customHeight="1">
      <c r="B52" s="79"/>
      <c r="C52" s="74"/>
      <c r="D52" s="74"/>
      <c r="E52" s="74"/>
      <c r="F52" s="103">
        <f>AVERAGE(F55:H55)</f>
        <v>0.6685643219431272</v>
      </c>
      <c r="G52" s="104"/>
      <c r="H52" s="104"/>
      <c r="I52" s="104">
        <v>0.7</v>
      </c>
      <c r="J52" s="104">
        <v>0.4</v>
      </c>
      <c r="K52" s="104">
        <v>0.8</v>
      </c>
      <c r="L52" s="104">
        <v>1</v>
      </c>
      <c r="M52" s="104">
        <v>1.2</v>
      </c>
      <c r="N52" s="71"/>
      <c r="O52" s="248"/>
      <c r="P52" s="104"/>
      <c r="Q52" s="104"/>
      <c r="R52" s="104"/>
      <c r="S52" s="104"/>
      <c r="T52" s="104"/>
      <c r="U52" s="105"/>
      <c r="V52" s="79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104"/>
      <c r="AJ52" s="104"/>
      <c r="AK52" s="104"/>
      <c r="AL52" s="105"/>
      <c r="AM52" s="61"/>
      <c r="AN52" s="61"/>
      <c r="AO52" s="61"/>
      <c r="AP52" s="61"/>
      <c r="AQ52" s="61"/>
      <c r="AR52" s="61"/>
      <c r="AS52" s="61"/>
      <c r="AT52" s="61"/>
      <c r="AU52" s="61"/>
    </row>
    <row r="53" spans="2:47" ht="15.75" customHeight="1">
      <c r="B53" s="74" t="s">
        <v>22</v>
      </c>
      <c r="C53" s="106">
        <f t="shared" ref="C53:H57" si="70">C67/C24</f>
        <v>0.74644549763033174</v>
      </c>
      <c r="D53" s="106">
        <f t="shared" si="70"/>
        <v>0.67209113100081364</v>
      </c>
      <c r="E53" s="106">
        <f t="shared" si="70"/>
        <v>0.24950362906879986</v>
      </c>
      <c r="F53" s="106">
        <f t="shared" si="70"/>
        <v>0.41044234952864395</v>
      </c>
      <c r="G53" s="106">
        <f t="shared" si="70"/>
        <v>0.5971428571428572</v>
      </c>
      <c r="H53" s="106">
        <f t="shared" si="70"/>
        <v>0.46485260770975056</v>
      </c>
      <c r="I53" s="106">
        <v>0.61021170610211706</v>
      </c>
      <c r="J53" s="106">
        <f t="shared" ref="J53:N57" si="71">J67/J24</f>
        <v>0</v>
      </c>
      <c r="K53" s="106">
        <f t="shared" si="71"/>
        <v>0.90114068441064621</v>
      </c>
      <c r="L53" s="106">
        <f t="shared" si="71"/>
        <v>0.46750902527075811</v>
      </c>
      <c r="M53" s="106">
        <f t="shared" si="71"/>
        <v>0.46705346042271023</v>
      </c>
      <c r="N53" s="106">
        <f t="shared" si="71"/>
        <v>0.59839357429718876</v>
      </c>
      <c r="O53" s="248"/>
      <c r="P53" s="109">
        <f t="shared" ref="P53:Q57" si="72">P67/P24</f>
        <v>0.4471408662445544</v>
      </c>
      <c r="Q53" s="107">
        <f t="shared" si="72"/>
        <v>0.5190966959684753</v>
      </c>
      <c r="R53" s="107"/>
      <c r="S53" s="107"/>
      <c r="T53" s="107"/>
      <c r="U53" s="110">
        <f>U67/U24</f>
        <v>0.47944138875701892</v>
      </c>
      <c r="V53" s="74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8"/>
      <c r="AJ53" s="109">
        <f t="shared" ref="AJ53:AL61" si="73">AJ67/AJ24</f>
        <v>0.53056318263669766</v>
      </c>
      <c r="AK53" s="107">
        <f t="shared" si="73"/>
        <v>0.56176869504978344</v>
      </c>
      <c r="AL53" s="110">
        <f t="shared" si="73"/>
        <v>0.55012430316448202</v>
      </c>
      <c r="AM53" s="61"/>
      <c r="AN53" s="61"/>
      <c r="AO53" s="61"/>
      <c r="AP53" s="61"/>
      <c r="AQ53" s="61"/>
      <c r="AR53" s="61"/>
      <c r="AS53" s="61"/>
      <c r="AT53" s="61"/>
      <c r="AU53" s="61"/>
    </row>
    <row r="54" spans="2:47" ht="15.75" customHeight="1">
      <c r="B54" s="79" t="s">
        <v>179</v>
      </c>
      <c r="C54" s="111">
        <f t="shared" si="70"/>
        <v>1.4693877551020409</v>
      </c>
      <c r="D54" s="111">
        <f t="shared" si="70"/>
        <v>48.129729729729732</v>
      </c>
      <c r="E54" s="111">
        <f t="shared" si="70"/>
        <v>2.3021235521235521</v>
      </c>
      <c r="F54" s="111">
        <f t="shared" si="70"/>
        <v>0.81717451523545703</v>
      </c>
      <c r="G54" s="111">
        <f t="shared" si="70"/>
        <v>3.34375</v>
      </c>
      <c r="H54" s="111">
        <f t="shared" si="70"/>
        <v>1.2834476843910807</v>
      </c>
      <c r="I54" s="111">
        <f>I68/I25</f>
        <v>1.9471830985915495</v>
      </c>
      <c r="J54" s="111" t="e">
        <f t="shared" si="71"/>
        <v>#DIV/0!</v>
      </c>
      <c r="K54" s="111">
        <f t="shared" si="71"/>
        <v>2.028297581013236</v>
      </c>
      <c r="L54" s="111">
        <f t="shared" si="71"/>
        <v>0.81864988558352403</v>
      </c>
      <c r="M54" s="111">
        <f t="shared" si="71"/>
        <v>1.2086330935251799</v>
      </c>
      <c r="N54" s="111">
        <f t="shared" si="71"/>
        <v>1.8293515358361776</v>
      </c>
      <c r="O54" s="248"/>
      <c r="P54" s="114">
        <f t="shared" si="72"/>
        <v>2.302597675336775</v>
      </c>
      <c r="Q54" s="112">
        <f t="shared" si="72"/>
        <v>1.4486542550255761</v>
      </c>
      <c r="R54" s="112"/>
      <c r="S54" s="112"/>
      <c r="T54" s="112"/>
      <c r="U54" s="115">
        <f>U68/U25</f>
        <v>1.835697843187198</v>
      </c>
      <c r="V54" s="79"/>
      <c r="W54" s="112">
        <f t="shared" ref="W54:AH54" si="74">W68/W25</f>
        <v>1.7324349157615115</v>
      </c>
      <c r="X54" s="112">
        <f t="shared" si="74"/>
        <v>2.0405492690491731</v>
      </c>
      <c r="Y54" s="112">
        <f t="shared" si="74"/>
        <v>1.8979115343597892</v>
      </c>
      <c r="Z54" s="112">
        <f t="shared" si="74"/>
        <v>2.1741068355796425</v>
      </c>
      <c r="AA54" s="112">
        <f t="shared" si="74"/>
        <v>2.2105181203212561</v>
      </c>
      <c r="AB54" s="112">
        <f t="shared" si="74"/>
        <v>2.1353130008109837</v>
      </c>
      <c r="AC54" s="112">
        <f t="shared" si="74"/>
        <v>1.9276707632486236</v>
      </c>
      <c r="AD54" s="112">
        <f t="shared" si="74"/>
        <v>0</v>
      </c>
      <c r="AE54" s="112">
        <f t="shared" si="74"/>
        <v>2.0645969855263089</v>
      </c>
      <c r="AF54" s="112">
        <f t="shared" si="74"/>
        <v>2.0985143499232826</v>
      </c>
      <c r="AG54" s="112">
        <f t="shared" si="74"/>
        <v>2.5839259913919834</v>
      </c>
      <c r="AH54" s="112">
        <f t="shared" si="74"/>
        <v>2.4479055416867346</v>
      </c>
      <c r="AI54" s="113"/>
      <c r="AJ54" s="114">
        <f t="shared" si="73"/>
        <v>2.0314343168531104</v>
      </c>
      <c r="AK54" s="112">
        <f t="shared" si="73"/>
        <v>2.1509148063885783</v>
      </c>
      <c r="AL54" s="115">
        <f t="shared" si="73"/>
        <v>2.1063304514072692</v>
      </c>
      <c r="AM54" s="61"/>
      <c r="AN54" s="61"/>
      <c r="AO54" s="61"/>
      <c r="AP54" s="61"/>
      <c r="AQ54" s="61"/>
      <c r="AR54" s="61"/>
      <c r="AS54" s="61"/>
      <c r="AT54" s="61"/>
      <c r="AU54" s="61"/>
    </row>
    <row r="55" spans="2:47" ht="15.75" customHeight="1">
      <c r="B55" s="79" t="s">
        <v>180</v>
      </c>
      <c r="C55" s="111">
        <f t="shared" si="70"/>
        <v>1.5918367346938778</v>
      </c>
      <c r="D55" s="111">
        <f t="shared" si="70"/>
        <v>7.6123552123552125</v>
      </c>
      <c r="E55" s="111">
        <f t="shared" si="70"/>
        <v>1.0393120393120394</v>
      </c>
      <c r="F55" s="111">
        <f t="shared" si="70"/>
        <v>0.60540727503314684</v>
      </c>
      <c r="G55" s="111">
        <f t="shared" si="70"/>
        <v>0.99074074074074092</v>
      </c>
      <c r="H55" s="111">
        <f t="shared" si="70"/>
        <v>0.40954495005549391</v>
      </c>
      <c r="I55" s="111">
        <f>I69/I26</f>
        <v>0.4132145816072908</v>
      </c>
      <c r="J55" s="111">
        <f t="shared" si="71"/>
        <v>0</v>
      </c>
      <c r="K55" s="111">
        <f t="shared" si="71"/>
        <v>0.59041533546325875</v>
      </c>
      <c r="L55" s="111">
        <f t="shared" si="71"/>
        <v>0.22523700555737169</v>
      </c>
      <c r="M55" s="111">
        <f t="shared" si="71"/>
        <v>0.99940753279729155</v>
      </c>
      <c r="N55" s="111">
        <f t="shared" si="71"/>
        <v>0.2137557501112925</v>
      </c>
      <c r="O55" s="248"/>
      <c r="P55" s="114">
        <f t="shared" si="72"/>
        <v>1.0397272156184911</v>
      </c>
      <c r="Q55" s="112">
        <f t="shared" si="72"/>
        <v>0.39848195430125832</v>
      </c>
      <c r="R55" s="112"/>
      <c r="S55" s="112"/>
      <c r="T55" s="112"/>
      <c r="U55" s="115">
        <f>U69/U26</f>
        <v>0.69333011056552452</v>
      </c>
      <c r="V55" s="79"/>
      <c r="W55" s="116">
        <f t="shared" ref="W55:AH55" si="75">W69/W26</f>
        <v>0.65432843218197057</v>
      </c>
      <c r="X55" s="116">
        <f t="shared" si="75"/>
        <v>0.77070104732916556</v>
      </c>
      <c r="Y55" s="116">
        <f t="shared" si="75"/>
        <v>0.71682778233077005</v>
      </c>
      <c r="Z55" s="116">
        <f t="shared" si="75"/>
        <v>0.82114479694356735</v>
      </c>
      <c r="AA55" s="116">
        <f t="shared" si="75"/>
        <v>0.8348970820320023</v>
      </c>
      <c r="AB55" s="116">
        <f t="shared" si="75"/>
        <v>0.80649263953692374</v>
      </c>
      <c r="AC55" s="116">
        <f t="shared" si="75"/>
        <v>0.72806763290444443</v>
      </c>
      <c r="AD55" s="116">
        <f t="shared" si="75"/>
        <v>0</v>
      </c>
      <c r="AE55" s="116">
        <f t="shared" si="75"/>
        <v>0.77978370000308928</v>
      </c>
      <c r="AF55" s="116">
        <f t="shared" si="75"/>
        <v>0.79259404899092489</v>
      </c>
      <c r="AG55" s="116">
        <f t="shared" si="75"/>
        <v>0.97593059770362456</v>
      </c>
      <c r="AH55" s="116">
        <f t="shared" si="75"/>
        <v>0.92455663450847592</v>
      </c>
      <c r="AI55" s="117"/>
      <c r="AJ55" s="114">
        <f t="shared" si="73"/>
        <v>0.76725839426000708</v>
      </c>
      <c r="AK55" s="112">
        <f t="shared" si="73"/>
        <v>0.8123853313142122</v>
      </c>
      <c r="AL55" s="115">
        <f t="shared" si="73"/>
        <v>0.79554613531939988</v>
      </c>
      <c r="AM55" s="61"/>
      <c r="AN55" s="61"/>
      <c r="AO55" s="61"/>
      <c r="AP55" s="61"/>
      <c r="AQ55" s="61"/>
      <c r="AR55" s="61"/>
      <c r="AS55" s="61"/>
      <c r="AT55" s="61"/>
      <c r="AU55" s="61"/>
    </row>
    <row r="56" spans="2:47" ht="15.75" customHeight="1">
      <c r="B56" s="79" t="s">
        <v>181</v>
      </c>
      <c r="C56" s="111">
        <f t="shared" si="70"/>
        <v>1.653061224489796</v>
      </c>
      <c r="D56" s="111">
        <f t="shared" si="70"/>
        <v>26.929729729729729</v>
      </c>
      <c r="E56" s="111">
        <f t="shared" si="70"/>
        <v>4.1698841698841695</v>
      </c>
      <c r="F56" s="111">
        <f t="shared" si="70"/>
        <v>1.4766286345233712</v>
      </c>
      <c r="G56" s="111">
        <f t="shared" si="70"/>
        <v>3.2199074074074079</v>
      </c>
      <c r="H56" s="111">
        <f t="shared" si="70"/>
        <v>0.87028301886792447</v>
      </c>
      <c r="I56" s="111">
        <f>I70/I27</f>
        <v>2.2751895991332609</v>
      </c>
      <c r="J56" s="111">
        <f t="shared" si="71"/>
        <v>0</v>
      </c>
      <c r="K56" s="111">
        <f t="shared" si="71"/>
        <v>2.0734824281150157</v>
      </c>
      <c r="L56" s="111">
        <f t="shared" si="71"/>
        <v>1.7383676582761249</v>
      </c>
      <c r="M56" s="111">
        <f t="shared" si="71"/>
        <v>1.0083453237410072</v>
      </c>
      <c r="N56" s="111">
        <f t="shared" si="71"/>
        <v>1.3720136518771333</v>
      </c>
      <c r="O56" s="248"/>
      <c r="P56" s="114">
        <f t="shared" si="72"/>
        <v>2.4546446312261012</v>
      </c>
      <c r="Q56" s="112">
        <f t="shared" si="72"/>
        <v>1.4812267162673765</v>
      </c>
      <c r="R56" s="112"/>
      <c r="S56" s="112"/>
      <c r="T56" s="112"/>
      <c r="U56" s="115">
        <f>U70/U27</f>
        <v>1.871065276001985</v>
      </c>
      <c r="V56" s="79"/>
      <c r="W56" s="112">
        <f t="shared" ref="W56:AH56" si="76">W70/W27</f>
        <v>1.7658128356172131</v>
      </c>
      <c r="X56" s="112">
        <f t="shared" si="76"/>
        <v>2.0798634674322019</v>
      </c>
      <c r="Y56" s="112">
        <f t="shared" si="76"/>
        <v>1.9344776059107236</v>
      </c>
      <c r="Z56" s="112">
        <f t="shared" si="76"/>
        <v>2.2159942179312111</v>
      </c>
      <c r="AA56" s="112">
        <f t="shared" si="76"/>
        <v>2.2531070199032222</v>
      </c>
      <c r="AB56" s="112">
        <f t="shared" si="76"/>
        <v>2.1764529625835602</v>
      </c>
      <c r="AC56" s="112">
        <f t="shared" si="76"/>
        <v>1.9648101903396602</v>
      </c>
      <c r="AD56" s="112">
        <f t="shared" si="76"/>
        <v>0</v>
      </c>
      <c r="AE56" s="112">
        <f t="shared" si="76"/>
        <v>2.1043744987190212</v>
      </c>
      <c r="AF56" s="112">
        <f t="shared" si="76"/>
        <v>2.1389453312839821</v>
      </c>
      <c r="AG56" s="112">
        <f t="shared" si="76"/>
        <v>2.6337091456502399</v>
      </c>
      <c r="AH56" s="112">
        <f t="shared" si="76"/>
        <v>2.4950680608910023</v>
      </c>
      <c r="AI56" s="117"/>
      <c r="AJ56" s="114">
        <f t="shared" si="73"/>
        <v>2.0705729022066848</v>
      </c>
      <c r="AK56" s="112">
        <f t="shared" si="73"/>
        <v>2.1923553600110628</v>
      </c>
      <c r="AL56" s="115">
        <f t="shared" si="73"/>
        <v>2.1469120215182547</v>
      </c>
      <c r="AM56" s="61"/>
      <c r="AN56" s="61"/>
      <c r="AO56" s="61"/>
      <c r="AP56" s="61"/>
      <c r="AQ56" s="61"/>
      <c r="AR56" s="61"/>
      <c r="AS56" s="61"/>
      <c r="AT56" s="61"/>
      <c r="AU56" s="61"/>
    </row>
    <row r="57" spans="2:47" ht="15.75" customHeight="1">
      <c r="B57" s="79" t="s">
        <v>182</v>
      </c>
      <c r="C57" s="111">
        <f t="shared" si="70"/>
        <v>1.3316326530612246</v>
      </c>
      <c r="D57" s="111">
        <f t="shared" si="70"/>
        <v>1.451965601965602</v>
      </c>
      <c r="E57" s="111">
        <f t="shared" si="70"/>
        <v>0.71248487293263418</v>
      </c>
      <c r="F57" s="111">
        <f t="shared" si="70"/>
        <v>0.58673421521718727</v>
      </c>
      <c r="G57" s="111">
        <f t="shared" si="70"/>
        <v>0.59923835125448033</v>
      </c>
      <c r="H57" s="111">
        <f t="shared" si="70"/>
        <v>0.29721946375372393</v>
      </c>
      <c r="I57" s="111">
        <f>I71/I28</f>
        <v>0.38637228778073845</v>
      </c>
      <c r="J57" s="111">
        <f t="shared" si="71"/>
        <v>0</v>
      </c>
      <c r="K57" s="111">
        <f t="shared" si="71"/>
        <v>1.1402200922967696</v>
      </c>
      <c r="L57" s="111">
        <f t="shared" si="71"/>
        <v>0.41582216410591699</v>
      </c>
      <c r="M57" s="111">
        <f t="shared" si="71"/>
        <v>0.45626817694780347</v>
      </c>
      <c r="N57" s="111">
        <f t="shared" si="71"/>
        <v>0.29665160040586658</v>
      </c>
      <c r="O57" s="248"/>
      <c r="P57" s="114">
        <f t="shared" si="72"/>
        <v>0.7225719959556629</v>
      </c>
      <c r="Q57" s="112">
        <f t="shared" si="72"/>
        <v>0.4490126635488314</v>
      </c>
      <c r="R57" s="112"/>
      <c r="S57" s="112"/>
      <c r="T57" s="112"/>
      <c r="U57" s="115">
        <f>U71/U28</f>
        <v>0.56529503174484863</v>
      </c>
      <c r="V57" s="79"/>
      <c r="W57" s="116">
        <f t="shared" ref="W57:AH57" si="77">W71/W28</f>
        <v>0.53349566996327225</v>
      </c>
      <c r="X57" s="116">
        <f t="shared" si="77"/>
        <v>0.62837812230650902</v>
      </c>
      <c r="Y57" s="116">
        <f t="shared" si="77"/>
        <v>0.58445346277798227</v>
      </c>
      <c r="Z57" s="116">
        <f t="shared" si="77"/>
        <v>0.66950658421095932</v>
      </c>
      <c r="AA57" s="116">
        <f t="shared" si="77"/>
        <v>0.68071927830452783</v>
      </c>
      <c r="AB57" s="116">
        <f t="shared" si="77"/>
        <v>0.65756019437428681</v>
      </c>
      <c r="AC57" s="116">
        <f t="shared" si="77"/>
        <v>0.59361768569290796</v>
      </c>
      <c r="AD57" s="116">
        <f t="shared" si="77"/>
        <v>0</v>
      </c>
      <c r="AE57" s="116">
        <f t="shared" si="77"/>
        <v>0.63578351023556545</v>
      </c>
      <c r="AF57" s="116">
        <f t="shared" si="77"/>
        <v>0.64622821258930352</v>
      </c>
      <c r="AG57" s="116">
        <f t="shared" si="77"/>
        <v>0.7957085806639016</v>
      </c>
      <c r="AH57" s="116">
        <f t="shared" si="77"/>
        <v>0.75382168477880562</v>
      </c>
      <c r="AI57" s="117"/>
      <c r="AJ57" s="114">
        <f t="shared" si="73"/>
        <v>0.62557121309203845</v>
      </c>
      <c r="AK57" s="112">
        <f t="shared" si="73"/>
        <v>0.6623647013970495</v>
      </c>
      <c r="AL57" s="115">
        <f t="shared" si="73"/>
        <v>0.64863514647164644</v>
      </c>
      <c r="AM57" s="61"/>
      <c r="AN57" s="61"/>
      <c r="AO57" s="61"/>
      <c r="AP57" s="61"/>
      <c r="AQ57" s="61"/>
      <c r="AR57" s="61"/>
      <c r="AS57" s="61"/>
      <c r="AT57" s="61"/>
      <c r="AU57" s="61"/>
    </row>
    <row r="58" spans="2:47" ht="15.75" customHeight="1">
      <c r="B58" s="79" t="s">
        <v>183</v>
      </c>
      <c r="C58" s="111">
        <f t="shared" ref="C58:N58" si="78">(C72+C76)/C29</f>
        <v>0.36727272727272725</v>
      </c>
      <c r="D58" s="111">
        <f t="shared" si="78"/>
        <v>0.17937885361954781</v>
      </c>
      <c r="E58" s="111">
        <f t="shared" si="78"/>
        <v>0.14462724963794746</v>
      </c>
      <c r="F58" s="111">
        <f t="shared" si="78"/>
        <v>0.46034141023735192</v>
      </c>
      <c r="G58" s="111">
        <f t="shared" si="78"/>
        <v>0.54330708661417326</v>
      </c>
      <c r="H58" s="111">
        <f t="shared" si="78"/>
        <v>0.70648576075590253</v>
      </c>
      <c r="I58" s="111">
        <f t="shared" si="78"/>
        <v>0.50597243491577337</v>
      </c>
      <c r="J58" s="111">
        <f t="shared" si="78"/>
        <v>0</v>
      </c>
      <c r="K58" s="111">
        <f t="shared" si="78"/>
        <v>0.58678991596638652</v>
      </c>
      <c r="L58" s="111">
        <f t="shared" si="78"/>
        <v>0.48773878878200783</v>
      </c>
      <c r="M58" s="111">
        <f t="shared" si="78"/>
        <v>0.3790440673669323</v>
      </c>
      <c r="N58" s="111">
        <f t="shared" si="78"/>
        <v>0.90182402683625695</v>
      </c>
      <c r="O58" s="248"/>
      <c r="P58" s="114">
        <f>(P76+P72)/P29</f>
        <v>0.32564704224916957</v>
      </c>
      <c r="Q58" s="112">
        <f>(Q76+Q72)/Q29</f>
        <v>0.45498468958103666</v>
      </c>
      <c r="R58" s="112"/>
      <c r="S58" s="112"/>
      <c r="T58" s="112"/>
      <c r="U58" s="115">
        <f>(U76+U72)/U29</f>
        <v>0.37330038901524443</v>
      </c>
      <c r="V58" s="79"/>
      <c r="W58" s="112">
        <f t="shared" ref="W58:AH58" si="79">W72/W29</f>
        <v>0.32804185538713471</v>
      </c>
      <c r="X58" s="112">
        <f t="shared" si="79"/>
        <v>0.38638425151660966</v>
      </c>
      <c r="Y58" s="112">
        <f t="shared" si="79"/>
        <v>0.35937535974813828</v>
      </c>
      <c r="Z58" s="112">
        <f t="shared" si="79"/>
        <v>0.41167378564400714</v>
      </c>
      <c r="AA58" s="112">
        <f t="shared" si="79"/>
        <v>0.41856837388798618</v>
      </c>
      <c r="AB58" s="112">
        <f t="shared" si="79"/>
        <v>0.40432805425790252</v>
      </c>
      <c r="AC58" s="112">
        <f t="shared" si="79"/>
        <v>0.36501036085020994</v>
      </c>
      <c r="AD58" s="112">
        <f t="shared" si="79"/>
        <v>0</v>
      </c>
      <c r="AE58" s="112">
        <f t="shared" si="79"/>
        <v>0.39093776025694554</v>
      </c>
      <c r="AF58" s="112">
        <f t="shared" si="79"/>
        <v>0.39736011704818702</v>
      </c>
      <c r="AG58" s="112">
        <f t="shared" si="79"/>
        <v>0.48927429751476664</v>
      </c>
      <c r="AH58" s="112">
        <f t="shared" si="79"/>
        <v>0.46351840891776913</v>
      </c>
      <c r="AI58" s="117"/>
      <c r="AJ58" s="114">
        <f t="shared" si="73"/>
        <v>0.38465830741160578</v>
      </c>
      <c r="AK58" s="112">
        <f t="shared" si="73"/>
        <v>0.40728230391109294</v>
      </c>
      <c r="AL58" s="115">
        <f t="shared" si="73"/>
        <v>0.39884011979424933</v>
      </c>
      <c r="AM58" s="61"/>
      <c r="AN58" s="61"/>
      <c r="AO58" s="61"/>
      <c r="AP58" s="61"/>
      <c r="AQ58" s="61"/>
      <c r="AR58" s="61"/>
      <c r="AS58" s="61"/>
      <c r="AT58" s="61"/>
      <c r="AU58" s="61"/>
    </row>
    <row r="59" spans="2:47" ht="15.75" customHeight="1">
      <c r="B59" s="79" t="s">
        <v>184</v>
      </c>
      <c r="C59" s="111" t="e">
        <f t="shared" ref="C59:N59" si="80">C73/C30</f>
        <v>#DIV/0!</v>
      </c>
      <c r="D59" s="111">
        <f t="shared" si="80"/>
        <v>0.10635352749690317</v>
      </c>
      <c r="E59" s="111">
        <f t="shared" si="80"/>
        <v>8.386139935815605E-2</v>
      </c>
      <c r="F59" s="111">
        <f t="shared" si="80"/>
        <v>0.19551382855116356</v>
      </c>
      <c r="G59" s="111">
        <f t="shared" si="80"/>
        <v>0.22552120941214227</v>
      </c>
      <c r="H59" s="111">
        <f t="shared" si="80"/>
        <v>0.1629855642465983</v>
      </c>
      <c r="I59" s="111">
        <f t="shared" si="80"/>
        <v>0.32108843537414966</v>
      </c>
      <c r="J59" s="111">
        <f t="shared" si="80"/>
        <v>0</v>
      </c>
      <c r="K59" s="111">
        <f t="shared" si="80"/>
        <v>1.1647745636716227</v>
      </c>
      <c r="L59" s="111">
        <f t="shared" si="80"/>
        <v>0.33532041728763046</v>
      </c>
      <c r="M59" s="111">
        <f t="shared" si="80"/>
        <v>0.37203684053282787</v>
      </c>
      <c r="N59" s="111">
        <f t="shared" si="80"/>
        <v>0.83835527735808335</v>
      </c>
      <c r="O59" s="248"/>
      <c r="P59" s="114">
        <f t="shared" ref="P59:Q61" si="81">P73/P30</f>
        <v>0.13028768515523773</v>
      </c>
      <c r="Q59" s="112">
        <f t="shared" si="81"/>
        <v>0.43373614263707977</v>
      </c>
      <c r="R59" s="112"/>
      <c r="S59" s="112"/>
      <c r="T59" s="112"/>
      <c r="U59" s="115">
        <f>U73/U30</f>
        <v>0.23319619153365295</v>
      </c>
      <c r="V59" s="79"/>
      <c r="W59" s="116">
        <f t="shared" ref="W59:AH59" si="82">W73/W30</f>
        <v>0.22007828027627702</v>
      </c>
      <c r="X59" s="116">
        <f t="shared" si="82"/>
        <v>0.25921930449777247</v>
      </c>
      <c r="Y59" s="116">
        <f t="shared" si="82"/>
        <v>0.24109945072009389</v>
      </c>
      <c r="Z59" s="116">
        <f t="shared" si="82"/>
        <v>0.27618566744306672</v>
      </c>
      <c r="AA59" s="116">
        <f t="shared" si="82"/>
        <v>0.28081114159836096</v>
      </c>
      <c r="AB59" s="116">
        <f t="shared" si="82"/>
        <v>0.27125752823071675</v>
      </c>
      <c r="AC59" s="116">
        <f t="shared" si="82"/>
        <v>0.24487988706238725</v>
      </c>
      <c r="AD59" s="116">
        <f t="shared" si="82"/>
        <v>0</v>
      </c>
      <c r="AE59" s="116">
        <f t="shared" si="82"/>
        <v>0.26227418410029602</v>
      </c>
      <c r="AF59" s="116">
        <f t="shared" si="82"/>
        <v>0.26658284537240434</v>
      </c>
      <c r="AG59" s="116">
        <f t="shared" si="82"/>
        <v>0.32824666795448304</v>
      </c>
      <c r="AH59" s="116">
        <f t="shared" si="82"/>
        <v>0.31096743490440415</v>
      </c>
      <c r="AI59" s="117"/>
      <c r="AJ59" s="114">
        <f t="shared" si="73"/>
        <v>0.2580613949071382</v>
      </c>
      <c r="AK59" s="112">
        <f t="shared" si="73"/>
        <v>0.27323948928996533</v>
      </c>
      <c r="AL59" s="115">
        <f t="shared" si="73"/>
        <v>0.26757575665432953</v>
      </c>
      <c r="AM59" s="61"/>
      <c r="AN59" s="61"/>
      <c r="AO59" s="61"/>
      <c r="AP59" s="61"/>
      <c r="AQ59" s="61"/>
      <c r="AR59" s="61"/>
      <c r="AS59" s="61"/>
      <c r="AT59" s="61"/>
      <c r="AU59" s="61"/>
    </row>
    <row r="60" spans="2:47" ht="15.75" customHeight="1">
      <c r="B60" s="79" t="s">
        <v>185</v>
      </c>
      <c r="C60" s="111" t="e">
        <f t="shared" ref="C60:N60" si="83">C74/C31</f>
        <v>#DIV/0!</v>
      </c>
      <c r="D60" s="111" t="e">
        <f t="shared" si="83"/>
        <v>#DIV/0!</v>
      </c>
      <c r="E60" s="111" t="e">
        <f t="shared" si="83"/>
        <v>#DIV/0!</v>
      </c>
      <c r="F60" s="111">
        <f t="shared" si="83"/>
        <v>0.23102789193996118</v>
      </c>
      <c r="G60" s="111">
        <f t="shared" si="83"/>
        <v>0.49377481660946232</v>
      </c>
      <c r="H60" s="111">
        <f t="shared" si="83"/>
        <v>0.84269271014998259</v>
      </c>
      <c r="I60" s="111">
        <f t="shared" si="83"/>
        <v>0.85114754098360657</v>
      </c>
      <c r="J60" s="111">
        <f t="shared" si="83"/>
        <v>0</v>
      </c>
      <c r="K60" s="111">
        <f t="shared" si="83"/>
        <v>2.2226890756302522</v>
      </c>
      <c r="L60" s="111">
        <f t="shared" si="83"/>
        <v>0.68554396423248876</v>
      </c>
      <c r="M60" s="111">
        <f t="shared" si="83"/>
        <v>0.92532845501413619</v>
      </c>
      <c r="N60" s="111">
        <f t="shared" si="83"/>
        <v>1.7149825783972128</v>
      </c>
      <c r="O60" s="248"/>
      <c r="P60" s="114">
        <f t="shared" si="81"/>
        <v>0.44892442581390141</v>
      </c>
      <c r="Q60" s="112">
        <f t="shared" si="81"/>
        <v>0.95577962152899654</v>
      </c>
      <c r="R60" s="112"/>
      <c r="S60" s="112"/>
      <c r="T60" s="112"/>
      <c r="U60" s="115">
        <f>U74/U31</f>
        <v>0.62755850042603922</v>
      </c>
      <c r="V60" s="79"/>
      <c r="W60" s="112">
        <f t="shared" ref="W60:AH60" si="84">W74/W31</f>
        <v>0.59225665152679308</v>
      </c>
      <c r="X60" s="112">
        <f t="shared" si="84"/>
        <v>0.6975897716949937</v>
      </c>
      <c r="Y60" s="112">
        <f t="shared" si="84"/>
        <v>0.64882710456104908</v>
      </c>
      <c r="Z60" s="112">
        <f t="shared" si="84"/>
        <v>0.74324825872948819</v>
      </c>
      <c r="AA60" s="112">
        <f t="shared" si="84"/>
        <v>0.75569595611924989</v>
      </c>
      <c r="AB60" s="112">
        <f t="shared" si="84"/>
        <v>0.72998605391536364</v>
      </c>
      <c r="AC60" s="112">
        <f t="shared" si="84"/>
        <v>0.65900070536611777</v>
      </c>
      <c r="AD60" s="112">
        <f t="shared" si="84"/>
        <v>0</v>
      </c>
      <c r="AE60" s="112">
        <f t="shared" si="84"/>
        <v>0.7058108135985236</v>
      </c>
      <c r="AF60" s="112">
        <f t="shared" si="84"/>
        <v>0.71740593009243014</v>
      </c>
      <c r="AG60" s="112">
        <f t="shared" si="84"/>
        <v>0.88335056141614599</v>
      </c>
      <c r="AH60" s="112">
        <f t="shared" si="84"/>
        <v>0.83685010396826054</v>
      </c>
      <c r="AI60" s="117"/>
      <c r="AJ60" s="114">
        <f t="shared" si="73"/>
        <v>0.69447370019507593</v>
      </c>
      <c r="AK60" s="112">
        <f t="shared" si="73"/>
        <v>0.73531974526797461</v>
      </c>
      <c r="AL60" s="115">
        <f t="shared" si="73"/>
        <v>0.72007797165126997</v>
      </c>
      <c r="AM60" s="61"/>
      <c r="AN60" s="61"/>
      <c r="AO60" s="61"/>
      <c r="AP60" s="61"/>
      <c r="AQ60" s="61"/>
      <c r="AR60" s="61"/>
      <c r="AS60" s="61"/>
      <c r="AT60" s="61"/>
      <c r="AU60" s="61"/>
    </row>
    <row r="61" spans="2:47" ht="15.75" customHeight="1">
      <c r="B61" s="79" t="s">
        <v>186</v>
      </c>
      <c r="C61" s="111" t="e">
        <f t="shared" ref="C61:N61" si="85">C75/C32</f>
        <v>#DIV/0!</v>
      </c>
      <c r="D61" s="111" t="e">
        <f t="shared" si="85"/>
        <v>#DIV/0!</v>
      </c>
      <c r="E61" s="111" t="e">
        <f t="shared" si="85"/>
        <v>#DIV/0!</v>
      </c>
      <c r="F61" s="111">
        <f t="shared" si="85"/>
        <v>0.244104223117421</v>
      </c>
      <c r="G61" s="111">
        <f t="shared" si="85"/>
        <v>0.34697689815800054</v>
      </c>
      <c r="H61" s="111">
        <f t="shared" si="85"/>
        <v>0.12486304343332023</v>
      </c>
      <c r="I61" s="111">
        <f t="shared" si="85"/>
        <v>0.74296296296296294</v>
      </c>
      <c r="J61" s="111">
        <f t="shared" si="85"/>
        <v>0</v>
      </c>
      <c r="K61" s="111">
        <f t="shared" si="85"/>
        <v>0.27032704973881438</v>
      </c>
      <c r="L61" s="111">
        <f t="shared" si="85"/>
        <v>0.24386939439100394</v>
      </c>
      <c r="M61" s="111">
        <f t="shared" si="85"/>
        <v>0.23558738674900037</v>
      </c>
      <c r="N61" s="111">
        <f t="shared" si="85"/>
        <v>0.40848356309650058</v>
      </c>
      <c r="O61" s="248"/>
      <c r="P61" s="114">
        <f t="shared" si="81"/>
        <v>0.23042708158773023</v>
      </c>
      <c r="Q61" s="112">
        <f t="shared" si="81"/>
        <v>0.28803320060945259</v>
      </c>
      <c r="R61" s="112"/>
      <c r="S61" s="112"/>
      <c r="T61" s="112"/>
      <c r="U61" s="115">
        <f>U75/U32</f>
        <v>0.26194165144957582</v>
      </c>
      <c r="V61" s="79"/>
      <c r="W61" s="116">
        <f t="shared" ref="W61:AH61" si="86">W75/W32</f>
        <v>0.24720673097026702</v>
      </c>
      <c r="X61" s="116">
        <f t="shared" si="86"/>
        <v>0.29117256273011716</v>
      </c>
      <c r="Y61" s="116">
        <f t="shared" si="86"/>
        <v>0.27081912388819246</v>
      </c>
      <c r="Z61" s="116">
        <f t="shared" si="86"/>
        <v>0.31023032306383136</v>
      </c>
      <c r="AA61" s="116">
        <f t="shared" si="86"/>
        <v>0.31542596683059609</v>
      </c>
      <c r="AB61" s="116">
        <f t="shared" si="86"/>
        <v>0.30469470554209294</v>
      </c>
      <c r="AC61" s="116">
        <f t="shared" si="86"/>
        <v>0.27506556433041307</v>
      </c>
      <c r="AD61" s="116">
        <f t="shared" si="86"/>
        <v>0</v>
      </c>
      <c r="AE61" s="116">
        <f t="shared" si="86"/>
        <v>0.29460400902776895</v>
      </c>
      <c r="AF61" s="116">
        <f t="shared" si="86"/>
        <v>0.29944378724940424</v>
      </c>
      <c r="AG61" s="116">
        <f t="shared" si="86"/>
        <v>0.36870874143075244</v>
      </c>
      <c r="AH61" s="116">
        <f t="shared" si="86"/>
        <v>0.34929954434587379</v>
      </c>
      <c r="AI61" s="117"/>
      <c r="AJ61" s="114">
        <f t="shared" si="73"/>
        <v>0.28987192077535229</v>
      </c>
      <c r="AK61" s="112">
        <f t="shared" si="73"/>
        <v>0.30692097754745457</v>
      </c>
      <c r="AL61" s="115">
        <f t="shared" si="73"/>
        <v>0.30055909200296776</v>
      </c>
      <c r="AM61" s="61"/>
      <c r="AN61" s="61"/>
      <c r="AO61" s="61"/>
      <c r="AP61" s="61"/>
      <c r="AQ61" s="61"/>
      <c r="AR61" s="61"/>
      <c r="AS61" s="61"/>
      <c r="AT61" s="61"/>
      <c r="AU61" s="61"/>
    </row>
    <row r="62" spans="2:47" ht="15.75" customHeight="1">
      <c r="B62" s="79" t="s">
        <v>251</v>
      </c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79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77"/>
      <c r="AJ62" s="80"/>
      <c r="AK62" s="81"/>
      <c r="AL62" s="102"/>
      <c r="AM62" s="61"/>
      <c r="AN62" s="61"/>
      <c r="AO62" s="61"/>
      <c r="AP62" s="61"/>
      <c r="AQ62" s="61"/>
      <c r="AR62" s="61"/>
      <c r="AS62" s="61"/>
      <c r="AT62" s="61"/>
      <c r="AU62" s="61"/>
    </row>
    <row r="63" spans="2:47" ht="15.75" customHeight="1">
      <c r="B63" s="79" t="s">
        <v>268</v>
      </c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74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77"/>
      <c r="AJ63" s="80"/>
      <c r="AK63" s="81"/>
      <c r="AL63" s="102"/>
      <c r="AM63" s="61"/>
      <c r="AN63" s="61"/>
      <c r="AO63" s="61"/>
      <c r="AP63" s="61"/>
      <c r="AQ63" s="61"/>
      <c r="AR63" s="61"/>
      <c r="AS63" s="61"/>
      <c r="AT63" s="61"/>
      <c r="AU63" s="61"/>
    </row>
    <row r="64" spans="2:47" ht="15.75" customHeight="1">
      <c r="B64" s="79" t="s">
        <v>269</v>
      </c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74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77"/>
      <c r="AJ64" s="80"/>
      <c r="AK64" s="81"/>
      <c r="AL64" s="102"/>
      <c r="AM64" s="61"/>
      <c r="AN64" s="61"/>
      <c r="AO64" s="61"/>
      <c r="AP64" s="61"/>
      <c r="AQ64" s="61"/>
      <c r="AR64" s="61"/>
      <c r="AS64" s="61"/>
      <c r="AT64" s="61"/>
      <c r="AU64" s="61"/>
    </row>
    <row r="65" spans="2:47" ht="15.75" customHeight="1">
      <c r="B65" s="253"/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7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61"/>
      <c r="AN65" s="61"/>
      <c r="AO65" s="61"/>
      <c r="AP65" s="61"/>
      <c r="AQ65" s="61"/>
      <c r="AR65" s="61"/>
      <c r="AS65" s="61"/>
      <c r="AT65" s="61"/>
      <c r="AU65" s="61"/>
    </row>
    <row r="66" spans="2:47" ht="15.75" customHeight="1">
      <c r="B66" s="253"/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74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104"/>
      <c r="AJ66" s="104"/>
      <c r="AK66" s="104"/>
      <c r="AL66" s="104"/>
      <c r="AM66" s="61"/>
      <c r="AN66" s="61"/>
      <c r="AO66" s="61"/>
      <c r="AP66" s="61"/>
      <c r="AQ66" s="61"/>
      <c r="AR66" s="61"/>
      <c r="AS66" s="61"/>
      <c r="AT66" s="61"/>
      <c r="AU66" s="61"/>
    </row>
    <row r="67" spans="2:47" ht="15.75" customHeight="1">
      <c r="B67" s="74" t="s">
        <v>55</v>
      </c>
      <c r="C67" s="88">
        <f>SUM(C68:C76)</f>
        <v>315</v>
      </c>
      <c r="D67" s="88">
        <f t="shared" ref="D67:N67" si="87">SUM(D68:D76)</f>
        <v>826</v>
      </c>
      <c r="E67" s="88">
        <f t="shared" si="87"/>
        <v>673</v>
      </c>
      <c r="F67" s="88">
        <f t="shared" si="87"/>
        <v>566</v>
      </c>
      <c r="G67" s="88">
        <f t="shared" si="87"/>
        <v>627</v>
      </c>
      <c r="H67" s="88">
        <f t="shared" si="87"/>
        <v>615</v>
      </c>
      <c r="I67" s="88">
        <f t="shared" si="87"/>
        <v>473</v>
      </c>
      <c r="J67" s="88">
        <f t="shared" si="87"/>
        <v>0</v>
      </c>
      <c r="K67" s="88">
        <f t="shared" si="87"/>
        <v>711</v>
      </c>
      <c r="L67" s="88">
        <f t="shared" si="87"/>
        <v>518</v>
      </c>
      <c r="M67" s="88">
        <f t="shared" si="87"/>
        <v>1127</v>
      </c>
      <c r="N67" s="88">
        <f t="shared" si="87"/>
        <v>596</v>
      </c>
      <c r="O67" s="248"/>
      <c r="P67" s="88">
        <f>SUM(C67:H67)</f>
        <v>3622</v>
      </c>
      <c r="Q67" s="89">
        <f>SUM(I67:N67)</f>
        <v>3425</v>
      </c>
      <c r="R67" s="89"/>
      <c r="S67" s="89"/>
      <c r="T67" s="89"/>
      <c r="U67" s="90">
        <f>SUM(C67:N67)</f>
        <v>7047</v>
      </c>
      <c r="V67" s="74"/>
      <c r="W67" s="89">
        <v>494.27811297739117</v>
      </c>
      <c r="X67" s="89">
        <v>443.56297604760755</v>
      </c>
      <c r="Y67" s="89">
        <v>451.81594375066152</v>
      </c>
      <c r="Z67" s="89">
        <v>529.00346943753993</v>
      </c>
      <c r="AA67" s="89">
        <v>604.73980274091264</v>
      </c>
      <c r="AB67" s="89">
        <v>645.54236893220423</v>
      </c>
      <c r="AC67" s="89">
        <v>533.6588164244813</v>
      </c>
      <c r="AD67" s="89">
        <v>0</v>
      </c>
      <c r="AE67" s="89">
        <v>730.00541318095236</v>
      </c>
      <c r="AF67" s="89">
        <v>944.35676845312423</v>
      </c>
      <c r="AG67" s="89">
        <v>2297.0259838892061</v>
      </c>
      <c r="AH67" s="89">
        <v>1131.481728093846</v>
      </c>
      <c r="AI67" s="93"/>
      <c r="AJ67" s="88">
        <f>SUM(W67:AB67)</f>
        <v>3168.9426738863172</v>
      </c>
      <c r="AK67" s="89">
        <f>SUM(AC67:AH67)</f>
        <v>5636.5287100416099</v>
      </c>
      <c r="AL67" s="90">
        <f>SUM(W67:AH67)</f>
        <v>8805.4713839279284</v>
      </c>
      <c r="AM67" s="61"/>
      <c r="AN67" s="61"/>
      <c r="AO67" s="61"/>
      <c r="AP67" s="61"/>
      <c r="AQ67" s="61"/>
      <c r="AR67" s="61"/>
      <c r="AS67" s="61"/>
      <c r="AT67" s="61"/>
      <c r="AU67" s="61"/>
    </row>
    <row r="68" spans="2:47" ht="15.75" customHeight="1">
      <c r="B68" s="79" t="s">
        <v>187</v>
      </c>
      <c r="C68" s="119">
        <v>48</v>
      </c>
      <c r="D68" s="119">
        <v>168</v>
      </c>
      <c r="E68" s="119">
        <v>106</v>
      </c>
      <c r="F68" s="119">
        <v>55</v>
      </c>
      <c r="G68" s="119">
        <v>81</v>
      </c>
      <c r="H68" s="119">
        <v>73</v>
      </c>
      <c r="I68" s="119">
        <v>79</v>
      </c>
      <c r="J68" s="119">
        <v>0</v>
      </c>
      <c r="K68" s="119">
        <v>101</v>
      </c>
      <c r="L68" s="119">
        <v>54</v>
      </c>
      <c r="M68" s="119">
        <v>105</v>
      </c>
      <c r="N68" s="119">
        <v>64</v>
      </c>
      <c r="O68" s="248"/>
      <c r="P68" s="91">
        <f>SUM(C68:H68)</f>
        <v>531</v>
      </c>
      <c r="Q68" s="92">
        <f>SUM(I68:N68)</f>
        <v>403</v>
      </c>
      <c r="R68" s="251">
        <f>P68/$P$67</f>
        <v>0.146604086140254</v>
      </c>
      <c r="S68" s="251">
        <f>Q68/$Q$67</f>
        <v>0.11766423357664234</v>
      </c>
      <c r="T68" s="251">
        <f>U68/$U$67</f>
        <v>0.13253866893713637</v>
      </c>
      <c r="U68" s="94">
        <f>SUM(C68:N68)</f>
        <v>934</v>
      </c>
      <c r="V68" s="79"/>
      <c r="W68" s="252">
        <f>$W$67*T68</f>
        <v>65.51096317878293</v>
      </c>
      <c r="X68" s="252">
        <f>$X$67*T68</f>
        <v>58.789246435144804</v>
      </c>
      <c r="Y68" s="252">
        <f>$Y$67*T68</f>
        <v>59.883083789288754</v>
      </c>
      <c r="Z68" s="252">
        <f>$Z$67*T68</f>
        <v>70.113415702378646</v>
      </c>
      <c r="AA68" s="252">
        <f>$AA$67*T68</f>
        <v>80.151408508586968</v>
      </c>
      <c r="AB68" s="252">
        <f>$AB$67*T68</f>
        <v>85.559326320800167</v>
      </c>
      <c r="AC68" s="252">
        <f>$AC$67*T68</f>
        <v>70.730429195468361</v>
      </c>
      <c r="AD68" s="252">
        <f>$AD$67*T68</f>
        <v>0</v>
      </c>
      <c r="AE68" s="252">
        <f>$AE$67*T68</f>
        <v>96.753945779907696</v>
      </c>
      <c r="AF68" s="252">
        <f>$AF$67*T68</f>
        <v>125.16378909255258</v>
      </c>
      <c r="AG68" s="252">
        <f>$AG$67*T68</f>
        <v>304.44476641869142</v>
      </c>
      <c r="AH68" s="252">
        <f>$AH$67*T68</f>
        <v>149.96508216824921</v>
      </c>
      <c r="AI68" s="120"/>
      <c r="AJ68" s="91">
        <f>SUM(W68:AB68)</f>
        <v>420.00744393498229</v>
      </c>
      <c r="AK68" s="92">
        <f>SUM(AC68:AH68)</f>
        <v>747.05801265486923</v>
      </c>
      <c r="AL68" s="94">
        <f>SUM(W68:AH68)</f>
        <v>1167.0654565898515</v>
      </c>
      <c r="AM68" s="61"/>
      <c r="AN68" s="61"/>
      <c r="AO68" s="61"/>
      <c r="AP68" s="61"/>
      <c r="AQ68" s="61"/>
      <c r="AR68" s="61"/>
      <c r="AS68" s="61"/>
      <c r="AT68" s="61"/>
      <c r="AU68" s="61"/>
    </row>
    <row r="69" spans="2:47" ht="15.75" customHeight="1">
      <c r="B69" s="79" t="s">
        <v>188</v>
      </c>
      <c r="C69" s="119">
        <v>52</v>
      </c>
      <c r="D69" s="119">
        <v>186</v>
      </c>
      <c r="E69" s="119">
        <v>94</v>
      </c>
      <c r="F69" s="119">
        <v>89</v>
      </c>
      <c r="G69" s="119">
        <v>80</v>
      </c>
      <c r="H69" s="119">
        <v>72</v>
      </c>
      <c r="I69" s="119">
        <v>57</v>
      </c>
      <c r="J69" s="119">
        <v>0</v>
      </c>
      <c r="K69" s="119">
        <v>63</v>
      </c>
      <c r="L69" s="119">
        <v>13</v>
      </c>
      <c r="M69" s="119">
        <v>82</v>
      </c>
      <c r="N69" s="119">
        <v>43</v>
      </c>
      <c r="O69" s="248"/>
      <c r="P69" s="91">
        <f>SUM(C69:H69)</f>
        <v>573</v>
      </c>
      <c r="Q69" s="92">
        <f>SUM(I69:N69)</f>
        <v>258</v>
      </c>
      <c r="R69" s="251">
        <f t="shared" ref="R69:R76" si="88">P69/$P$67</f>
        <v>0.15819988956377692</v>
      </c>
      <c r="S69" s="251">
        <f t="shared" ref="S69:S76" si="89">Q69/$Q$67</f>
        <v>7.5328467153284673E-2</v>
      </c>
      <c r="T69" s="251">
        <f t="shared" ref="T69:T75" si="90">U69/$U$67</f>
        <v>0.1179225202213708</v>
      </c>
      <c r="U69" s="94">
        <f>SUM(C69:N69)</f>
        <v>831</v>
      </c>
      <c r="V69" s="79"/>
      <c r="W69" s="252">
        <f t="shared" ref="W69:W75" si="91">$W$67*T69</f>
        <v>58.286520772557409</v>
      </c>
      <c r="X69" s="252">
        <f t="shared" ref="X69:X75" si="92">$X$67*T69</f>
        <v>52.306064012425416</v>
      </c>
      <c r="Y69" s="252">
        <f t="shared" ref="Y69:Y75" si="93">$Y$67*T69</f>
        <v>53.279274763275112</v>
      </c>
      <c r="Z69" s="252">
        <f t="shared" ref="Z69:Z75" si="94">$Z$67*T69</f>
        <v>62.381422321923615</v>
      </c>
      <c r="AA69" s="252">
        <f t="shared" ref="AA69:AA75" si="95">$AA$67*T69</f>
        <v>71.312441617383058</v>
      </c>
      <c r="AB69" s="252">
        <f t="shared" ref="AB69:AB75" si="96">$AB$67*T69</f>
        <v>76.123983054159467</v>
      </c>
      <c r="AC69" s="252">
        <f t="shared" ref="AC69:AC75" si="97">$AC$67*T69</f>
        <v>62.930392571128706</v>
      </c>
      <c r="AD69" s="252">
        <f t="shared" ref="AD69:AD75" si="98">$AD$67*T69</f>
        <v>0</v>
      </c>
      <c r="AE69" s="252">
        <f t="shared" ref="AE69:AE75" si="99">$AE$67*T69</f>
        <v>86.084078097540996</v>
      </c>
      <c r="AF69" s="252">
        <f t="shared" ref="AF69:AF75" si="100">$AF$67*T69</f>
        <v>111.36093012410193</v>
      </c>
      <c r="AG69" s="252">
        <f t="shared" ref="AG69:AG75" si="101">$AG$67*T69</f>
        <v>270.87109303418907</v>
      </c>
      <c r="AH69" s="252">
        <f t="shared" ref="AH69:AH75" si="102">$AH$67*T69</f>
        <v>133.42717696125814</v>
      </c>
      <c r="AI69" s="120"/>
      <c r="AJ69" s="91">
        <f>SUM(W69:AB69)</f>
        <v>373.68970654172404</v>
      </c>
      <c r="AK69" s="92">
        <f>SUM(AC69:AH69)</f>
        <v>664.67367078821883</v>
      </c>
      <c r="AL69" s="94">
        <f>SUM(W69:AH69)</f>
        <v>1038.3633773299428</v>
      </c>
      <c r="AM69" s="61"/>
      <c r="AN69" s="61"/>
      <c r="AO69" s="61"/>
      <c r="AP69" s="61"/>
      <c r="AQ69" s="61"/>
      <c r="AR69" s="61"/>
      <c r="AS69" s="61"/>
      <c r="AT69" s="61"/>
      <c r="AU69" s="61"/>
    </row>
    <row r="70" spans="2:47" ht="15.75" customHeight="1">
      <c r="B70" s="79" t="s">
        <v>189</v>
      </c>
      <c r="C70" s="119">
        <v>27</v>
      </c>
      <c r="D70" s="119">
        <v>94</v>
      </c>
      <c r="E70" s="119">
        <v>48</v>
      </c>
      <c r="F70" s="119">
        <v>34</v>
      </c>
      <c r="G70" s="119">
        <v>52</v>
      </c>
      <c r="H70" s="119">
        <v>45</v>
      </c>
      <c r="I70" s="119">
        <v>60</v>
      </c>
      <c r="J70" s="119">
        <v>0</v>
      </c>
      <c r="K70" s="119">
        <v>59</v>
      </c>
      <c r="L70" s="119">
        <v>43</v>
      </c>
      <c r="M70" s="119">
        <v>73</v>
      </c>
      <c r="N70" s="119">
        <v>36</v>
      </c>
      <c r="O70" s="248"/>
      <c r="P70" s="91">
        <f t="shared" ref="P70:P75" si="103">SUM(C70:H70)</f>
        <v>300</v>
      </c>
      <c r="Q70" s="92">
        <f t="shared" ref="Q70:Q76" si="104">SUM(I70:N70)</f>
        <v>271</v>
      </c>
      <c r="R70" s="251">
        <f t="shared" si="88"/>
        <v>8.2827167310877969E-2</v>
      </c>
      <c r="S70" s="251">
        <f t="shared" si="89"/>
        <v>7.9124087591240871E-2</v>
      </c>
      <c r="T70" s="251">
        <f t="shared" si="90"/>
        <v>8.1027387540797496E-2</v>
      </c>
      <c r="U70" s="94">
        <f t="shared" ref="U70:U76" si="105">SUM(C70:N70)</f>
        <v>571</v>
      </c>
      <c r="V70" s="79"/>
      <c r="W70" s="252">
        <f t="shared" si="91"/>
        <v>40.050064213153163</v>
      </c>
      <c r="X70" s="252">
        <f t="shared" si="92"/>
        <v>35.940749158958972</v>
      </c>
      <c r="Y70" s="252">
        <f t="shared" si="93"/>
        <v>36.609465571396015</v>
      </c>
      <c r="Z70" s="252">
        <f t="shared" si="94"/>
        <v>42.863769128541975</v>
      </c>
      <c r="AA70" s="252">
        <f t="shared" si="95"/>
        <v>49.000486358033363</v>
      </c>
      <c r="AB70" s="252">
        <f t="shared" si="96"/>
        <v>52.306611701474182</v>
      </c>
      <c r="AC70" s="252">
        <f t="shared" si="97"/>
        <v>43.240979732989757</v>
      </c>
      <c r="AD70" s="252">
        <f t="shared" si="98"/>
        <v>0</v>
      </c>
      <c r="AE70" s="252">
        <f t="shared" si="99"/>
        <v>59.150431520693026</v>
      </c>
      <c r="AF70" s="252">
        <f t="shared" si="100"/>
        <v>76.518761854226469</v>
      </c>
      <c r="AG70" s="252">
        <f t="shared" si="101"/>
        <v>186.12201458787237</v>
      </c>
      <c r="AH70" s="252">
        <f t="shared" si="102"/>
        <v>91.68100847759132</v>
      </c>
      <c r="AI70" s="120"/>
      <c r="AJ70" s="91">
        <f t="shared" ref="AJ70:AJ76" si="106">SUM(W70:AB70)</f>
        <v>256.77114613155766</v>
      </c>
      <c r="AK70" s="92">
        <f t="shared" ref="AK70:AK76" si="107">SUM(AC70:AH70)</f>
        <v>456.71319617337298</v>
      </c>
      <c r="AL70" s="94">
        <f t="shared" ref="AL70:AL76" si="108">SUM(W70:AH70)</f>
        <v>713.48434230493058</v>
      </c>
      <c r="AM70" s="61"/>
      <c r="AN70" s="61"/>
      <c r="AO70" s="61"/>
      <c r="AP70" s="61"/>
      <c r="AQ70" s="61"/>
      <c r="AR70" s="61"/>
      <c r="AS70" s="61"/>
      <c r="AT70" s="61"/>
      <c r="AU70" s="61"/>
    </row>
    <row r="71" spans="2:47" ht="15.75" customHeight="1">
      <c r="B71" s="79" t="s">
        <v>190</v>
      </c>
      <c r="C71" s="119">
        <v>87</v>
      </c>
      <c r="D71" s="119">
        <v>223</v>
      </c>
      <c r="E71" s="119">
        <v>157</v>
      </c>
      <c r="F71" s="119">
        <v>106</v>
      </c>
      <c r="G71" s="119">
        <v>100</v>
      </c>
      <c r="H71" s="119">
        <v>73</v>
      </c>
      <c r="I71" s="119">
        <v>58</v>
      </c>
      <c r="J71" s="119">
        <v>0</v>
      </c>
      <c r="K71" s="119">
        <v>146</v>
      </c>
      <c r="L71" s="119">
        <v>120</v>
      </c>
      <c r="M71" s="119">
        <v>207</v>
      </c>
      <c r="N71" s="119">
        <v>96</v>
      </c>
      <c r="O71" s="248"/>
      <c r="P71" s="91">
        <f t="shared" si="103"/>
        <v>746</v>
      </c>
      <c r="Q71" s="92">
        <f t="shared" si="104"/>
        <v>627</v>
      </c>
      <c r="R71" s="251">
        <f t="shared" si="88"/>
        <v>0.20596355604638322</v>
      </c>
      <c r="S71" s="251">
        <f t="shared" si="89"/>
        <v>0.18306569343065693</v>
      </c>
      <c r="T71" s="251">
        <f t="shared" si="90"/>
        <v>0.19483468142471974</v>
      </c>
      <c r="U71" s="94">
        <f t="shared" si="105"/>
        <v>1373</v>
      </c>
      <c r="V71" s="79"/>
      <c r="W71" s="252">
        <f t="shared" si="91"/>
        <v>96.302518677161643</v>
      </c>
      <c r="X71" s="252">
        <f t="shared" si="92"/>
        <v>86.421451130036203</v>
      </c>
      <c r="Y71" s="252">
        <f t="shared" si="93"/>
        <v>88.029415463269231</v>
      </c>
      <c r="Z71" s="252">
        <f t="shared" si="94"/>
        <v>103.06822244043455</v>
      </c>
      <c r="AA71" s="252">
        <f t="shared" si="95"/>
        <v>117.82428681187358</v>
      </c>
      <c r="AB71" s="252">
        <f t="shared" si="96"/>
        <v>125.77404179706491</v>
      </c>
      <c r="AC71" s="252">
        <f t="shared" si="97"/>
        <v>103.9752454875568</v>
      </c>
      <c r="AD71" s="252">
        <f t="shared" si="98"/>
        <v>0</v>
      </c>
      <c r="AE71" s="252">
        <f t="shared" si="99"/>
        <v>142.23037211543175</v>
      </c>
      <c r="AF71" s="252">
        <f t="shared" si="100"/>
        <v>183.9934501328423</v>
      </c>
      <c r="AG71" s="252">
        <f t="shared" si="101"/>
        <v>447.54032579535692</v>
      </c>
      <c r="AH71" s="252">
        <f t="shared" si="102"/>
        <v>220.45188203105585</v>
      </c>
      <c r="AI71" s="120"/>
      <c r="AJ71" s="91">
        <f t="shared" si="106"/>
        <v>617.41993631984019</v>
      </c>
      <c r="AK71" s="92">
        <f t="shared" si="107"/>
        <v>1098.1912755622436</v>
      </c>
      <c r="AL71" s="94">
        <f t="shared" si="108"/>
        <v>1715.6112118820838</v>
      </c>
      <c r="AM71" s="61"/>
      <c r="AN71" s="61"/>
      <c r="AO71" s="61"/>
      <c r="AP71" s="61"/>
      <c r="AQ71" s="61"/>
      <c r="AR71" s="61"/>
      <c r="AS71" s="61"/>
      <c r="AT71" s="61"/>
      <c r="AU71" s="61"/>
    </row>
    <row r="72" spans="2:47" ht="15.75" customHeight="1">
      <c r="B72" s="79" t="s">
        <v>191</v>
      </c>
      <c r="C72" s="119">
        <v>58</v>
      </c>
      <c r="D72" s="119">
        <v>64</v>
      </c>
      <c r="E72" s="119">
        <v>92</v>
      </c>
      <c r="F72" s="119">
        <v>90</v>
      </c>
      <c r="G72" s="119">
        <v>125</v>
      </c>
      <c r="H72" s="119">
        <v>150</v>
      </c>
      <c r="I72" s="119">
        <v>95</v>
      </c>
      <c r="J72" s="119">
        <v>0</v>
      </c>
      <c r="K72" s="119">
        <v>198</v>
      </c>
      <c r="L72" s="119">
        <v>176</v>
      </c>
      <c r="M72" s="119">
        <v>354</v>
      </c>
      <c r="N72" s="119">
        <v>201</v>
      </c>
      <c r="O72" s="248"/>
      <c r="P72" s="91">
        <f t="shared" si="103"/>
        <v>579</v>
      </c>
      <c r="Q72" s="92">
        <f t="shared" si="104"/>
        <v>1024</v>
      </c>
      <c r="R72" s="251">
        <f t="shared" si="88"/>
        <v>0.15985643290999449</v>
      </c>
      <c r="S72" s="251">
        <f t="shared" si="89"/>
        <v>0.29897810218978105</v>
      </c>
      <c r="T72" s="251">
        <v>0.28999999999999998</v>
      </c>
      <c r="U72" s="94">
        <f t="shared" si="105"/>
        <v>1603</v>
      </c>
      <c r="V72" s="79"/>
      <c r="W72" s="252">
        <f t="shared" si="91"/>
        <v>143.34065276344344</v>
      </c>
      <c r="X72" s="252">
        <f t="shared" si="92"/>
        <v>128.63326305380619</v>
      </c>
      <c r="Y72" s="252">
        <f t="shared" si="93"/>
        <v>131.02662368769182</v>
      </c>
      <c r="Z72" s="252">
        <f t="shared" si="94"/>
        <v>153.41100613688658</v>
      </c>
      <c r="AA72" s="252">
        <f t="shared" si="95"/>
        <v>175.37454279486465</v>
      </c>
      <c r="AB72" s="252">
        <f t="shared" si="96"/>
        <v>187.20728699033921</v>
      </c>
      <c r="AC72" s="252">
        <f t="shared" si="97"/>
        <v>154.76105676309956</v>
      </c>
      <c r="AD72" s="252">
        <f t="shared" si="98"/>
        <v>0</v>
      </c>
      <c r="AE72" s="252">
        <f t="shared" si="99"/>
        <v>211.70156982247616</v>
      </c>
      <c r="AF72" s="252">
        <f t="shared" si="100"/>
        <v>273.86346285140598</v>
      </c>
      <c r="AG72" s="252">
        <f t="shared" si="101"/>
        <v>666.13753532786973</v>
      </c>
      <c r="AH72" s="252">
        <f t="shared" si="102"/>
        <v>328.12970114721531</v>
      </c>
      <c r="AI72" s="120"/>
      <c r="AJ72" s="91">
        <f t="shared" si="106"/>
        <v>918.99337542703188</v>
      </c>
      <c r="AK72" s="92">
        <f t="shared" si="107"/>
        <v>1634.5933259120666</v>
      </c>
      <c r="AL72" s="94">
        <f t="shared" si="108"/>
        <v>2553.5867013390985</v>
      </c>
      <c r="AM72" s="61"/>
      <c r="AN72" s="61"/>
      <c r="AO72" s="61"/>
      <c r="AP72" s="61"/>
      <c r="AQ72" s="61"/>
      <c r="AR72" s="61"/>
      <c r="AS72" s="61"/>
      <c r="AT72" s="61"/>
      <c r="AU72" s="61"/>
    </row>
    <row r="73" spans="2:47" ht="15.75" customHeight="1">
      <c r="B73" s="79" t="s">
        <v>192</v>
      </c>
      <c r="C73" s="119">
        <v>0</v>
      </c>
      <c r="D73" s="119">
        <v>47</v>
      </c>
      <c r="E73" s="119">
        <v>95</v>
      </c>
      <c r="F73" s="119">
        <v>84</v>
      </c>
      <c r="G73" s="119">
        <v>59</v>
      </c>
      <c r="H73" s="119">
        <v>51</v>
      </c>
      <c r="I73" s="119">
        <v>40</v>
      </c>
      <c r="J73" s="119">
        <v>0</v>
      </c>
      <c r="K73" s="119">
        <v>109</v>
      </c>
      <c r="L73" s="119">
        <v>79</v>
      </c>
      <c r="M73" s="119">
        <v>225</v>
      </c>
      <c r="N73" s="119">
        <v>121</v>
      </c>
      <c r="O73" s="248"/>
      <c r="P73" s="91">
        <f t="shared" si="103"/>
        <v>336</v>
      </c>
      <c r="Q73" s="92">
        <f t="shared" si="104"/>
        <v>574</v>
      </c>
      <c r="R73" s="251">
        <f t="shared" si="88"/>
        <v>9.2766427388183317E-2</v>
      </c>
      <c r="S73" s="251">
        <f t="shared" si="89"/>
        <v>0.1675912408759124</v>
      </c>
      <c r="T73" s="251">
        <f t="shared" si="90"/>
        <v>0.12913296438200653</v>
      </c>
      <c r="U73" s="94">
        <f t="shared" si="105"/>
        <v>910</v>
      </c>
      <c r="V73" s="79"/>
      <c r="W73" s="252">
        <f t="shared" si="91"/>
        <v>63.827597957914854</v>
      </c>
      <c r="X73" s="252">
        <f t="shared" si="92"/>
        <v>57.278601987132518</v>
      </c>
      <c r="Y73" s="252">
        <f t="shared" si="93"/>
        <v>58.344332171576838</v>
      </c>
      <c r="Z73" s="252">
        <f t="shared" si="94"/>
        <v>68.311786176835724</v>
      </c>
      <c r="AA73" s="252">
        <f t="shared" si="95"/>
        <v>78.091843407723928</v>
      </c>
      <c r="AB73" s="252">
        <f t="shared" si="96"/>
        <v>83.360799734398441</v>
      </c>
      <c r="AC73" s="252">
        <f t="shared" si="97"/>
        <v>68.912944933486301</v>
      </c>
      <c r="AD73" s="252">
        <f t="shared" si="98"/>
        <v>0</v>
      </c>
      <c r="AE73" s="252">
        <f t="shared" si="99"/>
        <v>94.267763018967884</v>
      </c>
      <c r="AF73" s="252">
        <f t="shared" si="100"/>
        <v>121.94758894456407</v>
      </c>
      <c r="AG73" s="252">
        <f t="shared" si="101"/>
        <v>296.62177456210833</v>
      </c>
      <c r="AH73" s="252">
        <f t="shared" si="102"/>
        <v>146.1115896928338</v>
      </c>
      <c r="AI73" s="120"/>
      <c r="AJ73" s="91">
        <f t="shared" si="106"/>
        <v>409.21496143558232</v>
      </c>
      <c r="AK73" s="92">
        <f t="shared" si="107"/>
        <v>727.86166115196033</v>
      </c>
      <c r="AL73" s="94">
        <f t="shared" si="108"/>
        <v>1137.0766225875427</v>
      </c>
      <c r="AM73" s="61"/>
      <c r="AN73" s="61"/>
      <c r="AO73" s="61"/>
      <c r="AP73" s="61"/>
      <c r="AQ73" s="61"/>
      <c r="AR73" s="61"/>
      <c r="AS73" s="61"/>
      <c r="AT73" s="61"/>
      <c r="AU73" s="61"/>
    </row>
    <row r="74" spans="2:47" ht="15.75" customHeight="1">
      <c r="B74" s="79" t="s">
        <v>193</v>
      </c>
      <c r="C74" s="119">
        <v>0</v>
      </c>
      <c r="D74" s="119">
        <v>0</v>
      </c>
      <c r="E74" s="119">
        <v>0</v>
      </c>
      <c r="F74" s="119">
        <v>30</v>
      </c>
      <c r="G74" s="119">
        <v>44</v>
      </c>
      <c r="H74" s="119">
        <v>52</v>
      </c>
      <c r="I74" s="119">
        <v>22</v>
      </c>
      <c r="J74" s="119">
        <v>0</v>
      </c>
      <c r="K74" s="119">
        <v>26</v>
      </c>
      <c r="L74" s="119">
        <v>23</v>
      </c>
      <c r="M74" s="119">
        <v>52</v>
      </c>
      <c r="N74" s="119">
        <v>23</v>
      </c>
      <c r="O74" s="248"/>
      <c r="P74" s="91">
        <f t="shared" si="103"/>
        <v>126</v>
      </c>
      <c r="Q74" s="92">
        <f t="shared" si="104"/>
        <v>146</v>
      </c>
      <c r="R74" s="251">
        <f t="shared" si="88"/>
        <v>3.4787410270568746E-2</v>
      </c>
      <c r="S74" s="251">
        <f t="shared" si="89"/>
        <v>4.2627737226277371E-2</v>
      </c>
      <c r="T74" s="251">
        <f t="shared" si="90"/>
        <v>3.8597984958138216E-2</v>
      </c>
      <c r="U74" s="94">
        <f t="shared" si="105"/>
        <v>272</v>
      </c>
      <c r="V74" s="79"/>
      <c r="W74" s="252">
        <f t="shared" si="91"/>
        <v>19.078139169838288</v>
      </c>
      <c r="X74" s="252">
        <f t="shared" si="92"/>
        <v>17.12063707747258</v>
      </c>
      <c r="Y74" s="252">
        <f t="shared" si="93"/>
        <v>17.439185000735055</v>
      </c>
      <c r="Z74" s="252">
        <f t="shared" si="94"/>
        <v>20.418467956153098</v>
      </c>
      <c r="AA74" s="252">
        <f t="shared" si="95"/>
        <v>23.341737809781218</v>
      </c>
      <c r="AB74" s="252">
        <f t="shared" si="96"/>
        <v>24.916634645886131</v>
      </c>
      <c r="AC74" s="252">
        <f t="shared" si="97"/>
        <v>20.598154969129972</v>
      </c>
      <c r="AD74" s="252">
        <f t="shared" si="98"/>
        <v>0</v>
      </c>
      <c r="AE74" s="252">
        <f t="shared" si="99"/>
        <v>28.176737957317872</v>
      </c>
      <c r="AF74" s="252">
        <f t="shared" si="100"/>
        <v>36.450268343869702</v>
      </c>
      <c r="AG74" s="252">
        <f t="shared" si="101"/>
        <v>88.660574374608217</v>
      </c>
      <c r="AH74" s="252">
        <f t="shared" si="102"/>
        <v>43.672914721374504</v>
      </c>
      <c r="AI74" s="120"/>
      <c r="AJ74" s="91">
        <f>SUM(W74:AB74)</f>
        <v>122.31480165986638</v>
      </c>
      <c r="AK74" s="92">
        <f t="shared" si="107"/>
        <v>217.55865036630027</v>
      </c>
      <c r="AL74" s="94">
        <f t="shared" si="108"/>
        <v>339.87345202616666</v>
      </c>
      <c r="AM74" s="61"/>
      <c r="AN74" s="61"/>
      <c r="AO74" s="61"/>
      <c r="AP74" s="61"/>
      <c r="AQ74" s="61"/>
      <c r="AR74" s="61"/>
      <c r="AS74" s="61"/>
      <c r="AT74" s="61"/>
      <c r="AU74" s="61"/>
    </row>
    <row r="75" spans="2:47" ht="15.75" customHeight="1">
      <c r="B75" s="79" t="s">
        <v>194</v>
      </c>
      <c r="C75" s="119">
        <v>0</v>
      </c>
      <c r="D75" s="119">
        <v>0</v>
      </c>
      <c r="E75" s="119">
        <v>0</v>
      </c>
      <c r="F75" s="119">
        <v>19</v>
      </c>
      <c r="G75" s="119">
        <v>22</v>
      </c>
      <c r="H75" s="119">
        <v>10</v>
      </c>
      <c r="I75" s="119">
        <v>17</v>
      </c>
      <c r="J75" s="119">
        <v>0</v>
      </c>
      <c r="K75" s="119">
        <v>9</v>
      </c>
      <c r="L75" s="119">
        <v>10</v>
      </c>
      <c r="M75" s="119">
        <v>29</v>
      </c>
      <c r="N75" s="119">
        <v>12</v>
      </c>
      <c r="O75" s="248"/>
      <c r="P75" s="91">
        <f t="shared" si="103"/>
        <v>51</v>
      </c>
      <c r="Q75" s="92">
        <f t="shared" si="104"/>
        <v>77</v>
      </c>
      <c r="R75" s="251">
        <f t="shared" si="88"/>
        <v>1.4080618442849255E-2</v>
      </c>
      <c r="S75" s="251">
        <f t="shared" si="89"/>
        <v>2.2481751824817518E-2</v>
      </c>
      <c r="T75" s="251">
        <f t="shared" si="90"/>
        <v>1.816375762735916E-2</v>
      </c>
      <c r="U75" s="94">
        <f t="shared" si="105"/>
        <v>128</v>
      </c>
      <c r="V75" s="79"/>
      <c r="W75" s="252">
        <f t="shared" si="91"/>
        <v>8.9779478446297816</v>
      </c>
      <c r="X75" s="252">
        <f t="shared" si="92"/>
        <v>8.05677038939886</v>
      </c>
      <c r="Y75" s="252">
        <f t="shared" si="93"/>
        <v>8.2066752944635546</v>
      </c>
      <c r="Z75" s="252">
        <f t="shared" si="94"/>
        <v>9.6086908028955751</v>
      </c>
      <c r="AA75" s="252">
        <f t="shared" si="95"/>
        <v>10.984347204602926</v>
      </c>
      <c r="AB75" s="252">
        <f t="shared" si="96"/>
        <v>11.725475127475825</v>
      </c>
      <c r="AC75" s="252">
        <f t="shared" si="97"/>
        <v>9.6932493972376346</v>
      </c>
      <c r="AD75" s="252">
        <f t="shared" si="98"/>
        <v>0</v>
      </c>
      <c r="AE75" s="252">
        <f t="shared" si="99"/>
        <v>13.259641391678999</v>
      </c>
      <c r="AF75" s="252">
        <f t="shared" si="100"/>
        <v>17.153067455938682</v>
      </c>
      <c r="AG75" s="252">
        <f t="shared" si="101"/>
        <v>41.722623235109751</v>
      </c>
      <c r="AH75" s="252">
        <f t="shared" si="102"/>
        <v>20.551959868882118</v>
      </c>
      <c r="AI75" s="120"/>
      <c r="AJ75" s="91">
        <f t="shared" si="106"/>
        <v>57.559906663466521</v>
      </c>
      <c r="AK75" s="92">
        <f t="shared" si="107"/>
        <v>102.38054134884719</v>
      </c>
      <c r="AL75" s="94">
        <f t="shared" si="108"/>
        <v>159.94044801231368</v>
      </c>
      <c r="AM75" s="61"/>
      <c r="AN75" s="61"/>
      <c r="AO75" s="61"/>
      <c r="AP75" s="61"/>
      <c r="AQ75" s="61"/>
      <c r="AR75" s="61"/>
      <c r="AS75" s="61"/>
      <c r="AT75" s="61"/>
      <c r="AU75" s="61"/>
    </row>
    <row r="76" spans="2:47" ht="15.75" customHeight="1">
      <c r="B76" s="79" t="s">
        <v>195</v>
      </c>
      <c r="C76" s="119">
        <v>43</v>
      </c>
      <c r="D76" s="119">
        <v>44</v>
      </c>
      <c r="E76" s="119">
        <v>81</v>
      </c>
      <c r="F76" s="119">
        <v>59</v>
      </c>
      <c r="G76" s="119">
        <v>64</v>
      </c>
      <c r="H76" s="119">
        <v>89</v>
      </c>
      <c r="I76" s="119">
        <v>45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248"/>
      <c r="P76" s="91">
        <f>SUM(C76:J76)</f>
        <v>425</v>
      </c>
      <c r="Q76" s="92">
        <f t="shared" si="104"/>
        <v>45</v>
      </c>
      <c r="R76" s="251">
        <f t="shared" si="88"/>
        <v>0.11733848702374379</v>
      </c>
      <c r="S76" s="251">
        <f t="shared" si="89"/>
        <v>1.3138686131386862E-2</v>
      </c>
      <c r="T76" s="251"/>
      <c r="U76" s="94">
        <f t="shared" si="105"/>
        <v>425</v>
      </c>
      <c r="V76" s="79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120"/>
      <c r="AJ76" s="91">
        <f t="shared" si="106"/>
        <v>0</v>
      </c>
      <c r="AK76" s="92">
        <f t="shared" si="107"/>
        <v>0</v>
      </c>
      <c r="AL76" s="94">
        <f t="shared" si="108"/>
        <v>0</v>
      </c>
      <c r="AM76" s="61"/>
      <c r="AN76" s="61"/>
      <c r="AO76" s="61"/>
      <c r="AP76" s="61"/>
      <c r="AQ76" s="61"/>
      <c r="AR76" s="61"/>
      <c r="AS76" s="61"/>
      <c r="AT76" s="61"/>
      <c r="AU76" s="61"/>
    </row>
    <row r="77" spans="2:47" ht="15.75" customHeight="1">
      <c r="B77" s="79" t="s">
        <v>270</v>
      </c>
      <c r="C77" s="254"/>
      <c r="D77" s="25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79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120"/>
      <c r="AJ77" s="91"/>
      <c r="AK77" s="92"/>
      <c r="AL77" s="94"/>
      <c r="AM77" s="61"/>
      <c r="AN77" s="61"/>
      <c r="AO77" s="61"/>
      <c r="AP77" s="61"/>
      <c r="AQ77" s="61"/>
      <c r="AR77" s="61"/>
      <c r="AS77" s="61"/>
      <c r="AT77" s="61"/>
      <c r="AU77" s="61"/>
    </row>
    <row r="78" spans="2:47" ht="15.75" customHeight="1">
      <c r="B78" s="79" t="s">
        <v>271</v>
      </c>
      <c r="C78" s="254"/>
      <c r="D78" s="254"/>
      <c r="E78" s="254"/>
      <c r="F78" s="254"/>
      <c r="G78" s="254"/>
      <c r="H78" s="254"/>
      <c r="I78" s="254"/>
      <c r="J78" s="254"/>
      <c r="K78" s="254"/>
      <c r="L78" s="254"/>
      <c r="M78" s="254"/>
      <c r="N78" s="254"/>
      <c r="O78" s="254"/>
      <c r="P78" s="254"/>
      <c r="Q78" s="254"/>
      <c r="R78" s="254"/>
      <c r="S78" s="254"/>
      <c r="T78" s="254"/>
      <c r="U78" s="254"/>
      <c r="V78" s="79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120"/>
      <c r="AJ78" s="91"/>
      <c r="AK78" s="92"/>
      <c r="AL78" s="94"/>
      <c r="AM78" s="61"/>
      <c r="AN78" s="61"/>
      <c r="AO78" s="61"/>
      <c r="AP78" s="61"/>
      <c r="AQ78" s="61"/>
      <c r="AR78" s="61"/>
      <c r="AS78" s="61"/>
      <c r="AT78" s="61"/>
      <c r="AU78" s="61"/>
    </row>
    <row r="79" spans="2:47" ht="15.75" customHeight="1">
      <c r="B79" s="79" t="s">
        <v>272</v>
      </c>
      <c r="C79" s="254"/>
      <c r="D79" s="254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79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120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</row>
    <row r="80" spans="2:47" ht="15.75" customHeight="1">
      <c r="B80" s="79"/>
      <c r="C80" s="61"/>
      <c r="D80" s="61"/>
      <c r="E80" s="61"/>
      <c r="F80" s="70"/>
      <c r="G80" s="121"/>
      <c r="H80" s="121"/>
      <c r="I80" s="121"/>
      <c r="J80" s="121"/>
      <c r="K80" s="121"/>
      <c r="L80" s="121"/>
      <c r="M80" s="121"/>
      <c r="N80" s="121"/>
      <c r="O80" s="248"/>
      <c r="P80" s="117"/>
      <c r="Q80" s="117"/>
      <c r="R80" s="117"/>
      <c r="S80" s="117"/>
      <c r="T80" s="117"/>
      <c r="U80" s="117"/>
      <c r="V80" s="79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117"/>
      <c r="AJ80" s="117"/>
      <c r="AK80" s="117"/>
      <c r="AL80" s="117"/>
      <c r="AM80" s="61"/>
      <c r="AN80" s="61"/>
      <c r="AO80" s="61"/>
      <c r="AP80" s="61"/>
      <c r="AQ80" s="61"/>
      <c r="AR80" s="61"/>
      <c r="AS80" s="61"/>
      <c r="AT80" s="61"/>
      <c r="AU80" s="61"/>
    </row>
    <row r="81" spans="2:47" ht="15.75" customHeight="1">
      <c r="B81" s="74" t="s">
        <v>28</v>
      </c>
      <c r="C81" s="97">
        <f t="shared" ref="C81:I86" si="109">C9/C67</f>
        <v>104.82539682539682</v>
      </c>
      <c r="D81" s="97">
        <f t="shared" si="109"/>
        <v>81.214285714285708</v>
      </c>
      <c r="E81" s="97">
        <f t="shared" si="109"/>
        <v>186.59435364041605</v>
      </c>
      <c r="F81" s="97">
        <f t="shared" si="109"/>
        <v>200.95406360424028</v>
      </c>
      <c r="G81" s="97">
        <f t="shared" si="109"/>
        <v>232.56140350877192</v>
      </c>
      <c r="H81" s="97">
        <f t="shared" si="109"/>
        <v>194.93983739837398</v>
      </c>
      <c r="I81" s="97">
        <f t="shared" si="109"/>
        <v>114.63002114164905</v>
      </c>
      <c r="J81" s="97"/>
      <c r="K81" s="97">
        <f t="shared" ref="K81:N89" si="110">K9/K67</f>
        <v>91.109704641350206</v>
      </c>
      <c r="L81" s="97">
        <f t="shared" si="110"/>
        <v>185.83590733590734</v>
      </c>
      <c r="M81" s="97">
        <f t="shared" si="110"/>
        <v>134.30079858030169</v>
      </c>
      <c r="N81" s="97">
        <f t="shared" si="110"/>
        <v>158.39597315436242</v>
      </c>
      <c r="O81" s="248"/>
      <c r="P81" s="75">
        <f t="shared" ref="P81:Q90" si="111">P9/P67</f>
        <v>167.06929872998344</v>
      </c>
      <c r="Q81" s="122">
        <f t="shared" si="111"/>
        <v>143.66686131386862</v>
      </c>
      <c r="R81" s="122"/>
      <c r="S81" s="122"/>
      <c r="T81" s="122"/>
      <c r="U81" s="78">
        <f t="shared" ref="U81:U90" si="112">U9/U67</f>
        <v>155.69518944231589</v>
      </c>
      <c r="V81" s="74"/>
      <c r="W81" s="122">
        <f t="shared" ref="W81:AC89" si="113">W9/W67</f>
        <v>185.52736625866851</v>
      </c>
      <c r="X81" s="122">
        <f t="shared" si="113"/>
        <v>186.40865438490866</v>
      </c>
      <c r="Y81" s="122">
        <f t="shared" si="113"/>
        <v>193.48515409682685</v>
      </c>
      <c r="Z81" s="122">
        <f t="shared" si="113"/>
        <v>176.64473467320659</v>
      </c>
      <c r="AA81" s="122">
        <f t="shared" si="113"/>
        <v>169.69724340100433</v>
      </c>
      <c r="AB81" s="122">
        <f t="shared" si="113"/>
        <v>155.4439837403429</v>
      </c>
      <c r="AC81" s="122">
        <f t="shared" si="113"/>
        <v>167.60835715089803</v>
      </c>
      <c r="AD81" s="122"/>
      <c r="AE81" s="122">
        <f t="shared" ref="AE81:AH89" si="114">AE9/AE67</f>
        <v>122.52741676290607</v>
      </c>
      <c r="AF81" s="122">
        <f t="shared" si="114"/>
        <v>127.86657400972909</v>
      </c>
      <c r="AG81" s="122">
        <f t="shared" si="114"/>
        <v>70.967741935483829</v>
      </c>
      <c r="AH81" s="122">
        <f t="shared" si="114"/>
        <v>121.32757704582562</v>
      </c>
      <c r="AI81" s="82"/>
      <c r="AJ81" s="75">
        <f t="shared" ref="AJ81:AL89" si="115">AJ9/AJ67</f>
        <v>176.15332981565498</v>
      </c>
      <c r="AK81" s="122">
        <f t="shared" si="115"/>
        <v>112.76960273042016</v>
      </c>
      <c r="AL81" s="78">
        <f t="shared" si="115"/>
        <v>135.58035173324816</v>
      </c>
      <c r="AM81" s="61"/>
      <c r="AN81" s="61"/>
      <c r="AO81" s="61"/>
      <c r="AP81" s="61"/>
      <c r="AQ81" s="61"/>
      <c r="AR81" s="61"/>
      <c r="AS81" s="61"/>
      <c r="AT81" s="61"/>
      <c r="AU81" s="61"/>
    </row>
    <row r="82" spans="2:47" ht="15.75" customHeight="1">
      <c r="B82" s="79" t="s">
        <v>196</v>
      </c>
      <c r="C82" s="101">
        <f t="shared" si="109"/>
        <v>88.416666666666671</v>
      </c>
      <c r="D82" s="101">
        <f t="shared" si="109"/>
        <v>52.886904761904759</v>
      </c>
      <c r="E82" s="101">
        <f t="shared" si="109"/>
        <v>157.21698113207546</v>
      </c>
      <c r="F82" s="101">
        <f t="shared" si="109"/>
        <v>268.10909090909092</v>
      </c>
      <c r="G82" s="101">
        <f t="shared" si="109"/>
        <v>250.75308641975309</v>
      </c>
      <c r="H82" s="101">
        <f t="shared" si="109"/>
        <v>220.53424657534248</v>
      </c>
      <c r="I82" s="101">
        <f t="shared" si="109"/>
        <v>90.316455696202539</v>
      </c>
      <c r="J82" s="101">
        <v>0</v>
      </c>
      <c r="K82" s="101">
        <f t="shared" si="110"/>
        <v>73.207920792079207</v>
      </c>
      <c r="L82" s="101">
        <f t="shared" si="110"/>
        <v>203.4814814814815</v>
      </c>
      <c r="M82" s="101">
        <f t="shared" si="110"/>
        <v>164.54285714285714</v>
      </c>
      <c r="N82" s="101">
        <f t="shared" si="110"/>
        <v>168.375</v>
      </c>
      <c r="O82" s="248"/>
      <c r="P82" s="80">
        <f t="shared" si="111"/>
        <v>152.44821092278718</v>
      </c>
      <c r="Q82" s="81">
        <f t="shared" si="111"/>
        <v>141.71960297766751</v>
      </c>
      <c r="R82" s="81"/>
      <c r="S82" s="81"/>
      <c r="T82" s="81"/>
      <c r="U82" s="83">
        <f t="shared" si="112"/>
        <v>147.81905781584584</v>
      </c>
      <c r="V82" s="79"/>
      <c r="W82" s="81">
        <f t="shared" si="113"/>
        <v>176.14211831234729</v>
      </c>
      <c r="X82" s="81">
        <f t="shared" si="113"/>
        <v>176.97882483457013</v>
      </c>
      <c r="Y82" s="81">
        <f t="shared" si="113"/>
        <v>183.69734660648012</v>
      </c>
      <c r="Z82" s="81">
        <f t="shared" si="113"/>
        <v>167.70883121727795</v>
      </c>
      <c r="AA82" s="81">
        <f t="shared" si="113"/>
        <v>161.11279175247972</v>
      </c>
      <c r="AB82" s="81">
        <f t="shared" si="113"/>
        <v>147.58055982296227</v>
      </c>
      <c r="AC82" s="81">
        <f t="shared" si="113"/>
        <v>159.12957571040937</v>
      </c>
      <c r="AD82" s="81"/>
      <c r="AE82" s="81">
        <f t="shared" si="114"/>
        <v>116.32913879598441</v>
      </c>
      <c r="AF82" s="81">
        <f t="shared" si="114"/>
        <v>121.39820481262218</v>
      </c>
      <c r="AG82" s="81">
        <f t="shared" si="114"/>
        <v>67.377706310623907</v>
      </c>
      <c r="AH82" s="81">
        <f t="shared" si="114"/>
        <v>115.18999520944107</v>
      </c>
      <c r="AI82" s="77"/>
      <c r="AJ82" s="80">
        <f t="shared" si="115"/>
        <v>167.24228499122182</v>
      </c>
      <c r="AK82" s="81">
        <f t="shared" si="115"/>
        <v>107.06494199073434</v>
      </c>
      <c r="AL82" s="83">
        <f t="shared" si="115"/>
        <v>128.72176669899571</v>
      </c>
      <c r="AM82" s="61"/>
      <c r="AN82" s="61"/>
      <c r="AO82" s="61"/>
      <c r="AP82" s="61"/>
      <c r="AQ82" s="61"/>
      <c r="AR82" s="61"/>
      <c r="AS82" s="61"/>
      <c r="AT82" s="61"/>
      <c r="AU82" s="61"/>
    </row>
    <row r="83" spans="2:47" ht="15.75" customHeight="1">
      <c r="B83" s="79" t="s">
        <v>197</v>
      </c>
      <c r="C83" s="101">
        <f t="shared" si="109"/>
        <v>64.980769230769226</v>
      </c>
      <c r="D83" s="101">
        <f t="shared" si="109"/>
        <v>38.037634408602152</v>
      </c>
      <c r="E83" s="101">
        <f t="shared" si="109"/>
        <v>141.15957446808511</v>
      </c>
      <c r="F83" s="101">
        <f t="shared" si="109"/>
        <v>131.92134831460675</v>
      </c>
      <c r="G83" s="101">
        <f t="shared" si="109"/>
        <v>202.15</v>
      </c>
      <c r="H83" s="101">
        <f t="shared" si="109"/>
        <v>178.02777777777777</v>
      </c>
      <c r="I83" s="101">
        <f t="shared" si="109"/>
        <v>99.666666666666671</v>
      </c>
      <c r="J83" s="101">
        <v>0</v>
      </c>
      <c r="K83" s="101">
        <f t="shared" si="110"/>
        <v>93.444444444444443</v>
      </c>
      <c r="L83" s="101">
        <f t="shared" si="110"/>
        <v>672.92307692307691</v>
      </c>
      <c r="M83" s="101">
        <f t="shared" si="110"/>
        <v>167.7439024390244</v>
      </c>
      <c r="N83" s="101">
        <f t="shared" si="110"/>
        <v>199.53488372093022</v>
      </c>
      <c r="O83" s="248"/>
      <c r="P83" s="80">
        <f t="shared" si="111"/>
        <v>112.48516579406632</v>
      </c>
      <c r="Q83" s="81">
        <f t="shared" si="111"/>
        <v>176.24806201550388</v>
      </c>
      <c r="R83" s="81"/>
      <c r="S83" s="81"/>
      <c r="T83" s="81"/>
      <c r="U83" s="83">
        <f t="shared" si="112"/>
        <v>132.28158844765343</v>
      </c>
      <c r="V83" s="79"/>
      <c r="W83" s="81">
        <f t="shared" si="113"/>
        <v>157.62757216271515</v>
      </c>
      <c r="X83" s="81">
        <f t="shared" si="113"/>
        <v>158.3763312838972</v>
      </c>
      <c r="Y83" s="81">
        <f t="shared" si="113"/>
        <v>164.38865976941355</v>
      </c>
      <c r="Z83" s="81">
        <f t="shared" si="113"/>
        <v>150.08071975238082</v>
      </c>
      <c r="AA83" s="81">
        <f t="shared" si="113"/>
        <v>144.17799928616105</v>
      </c>
      <c r="AB83" s="81">
        <f t="shared" si="113"/>
        <v>132.06815931472312</v>
      </c>
      <c r="AC83" s="81">
        <f t="shared" si="113"/>
        <v>142.403241875606</v>
      </c>
      <c r="AD83" s="81"/>
      <c r="AE83" s="81">
        <f t="shared" si="114"/>
        <v>104.10161916910005</v>
      </c>
      <c r="AF83" s="81">
        <f t="shared" si="114"/>
        <v>108.63786851701722</v>
      </c>
      <c r="AG83" s="81">
        <f t="shared" si="114"/>
        <v>60.295540699714707</v>
      </c>
      <c r="AH83" s="81">
        <f t="shared" si="114"/>
        <v>103.08221256940679</v>
      </c>
      <c r="AI83" s="82"/>
      <c r="AJ83" s="80">
        <f t="shared" si="115"/>
        <v>149.66321285726957</v>
      </c>
      <c r="AK83" s="81">
        <f t="shared" si="115"/>
        <v>95.811195138547305</v>
      </c>
      <c r="AL83" s="83">
        <f t="shared" si="115"/>
        <v>115.19164049837497</v>
      </c>
      <c r="AM83" s="61"/>
      <c r="AN83" s="61"/>
      <c r="AO83" s="61"/>
      <c r="AP83" s="61"/>
      <c r="AQ83" s="61"/>
      <c r="AR83" s="61"/>
      <c r="AS83" s="61"/>
      <c r="AT83" s="61"/>
      <c r="AU83" s="61"/>
    </row>
    <row r="84" spans="2:47" ht="15.75" customHeight="1">
      <c r="B84" s="79" t="s">
        <v>198</v>
      </c>
      <c r="C84" s="101">
        <f t="shared" si="109"/>
        <v>88.407407407407405</v>
      </c>
      <c r="D84" s="101">
        <f t="shared" si="109"/>
        <v>53.170212765957444</v>
      </c>
      <c r="E84" s="101">
        <f t="shared" si="109"/>
        <v>195.29166666666666</v>
      </c>
      <c r="F84" s="101">
        <f t="shared" si="109"/>
        <v>243.97058823529412</v>
      </c>
      <c r="G84" s="101">
        <f t="shared" si="109"/>
        <v>27.403846153846153</v>
      </c>
      <c r="H84" s="101">
        <f t="shared" si="109"/>
        <v>201.24444444444444</v>
      </c>
      <c r="I84" s="101">
        <f t="shared" si="109"/>
        <v>66.88333333333334</v>
      </c>
      <c r="J84" s="101">
        <v>0</v>
      </c>
      <c r="K84" s="101">
        <f t="shared" si="110"/>
        <v>70.491525423728817</v>
      </c>
      <c r="L84" s="101">
        <f t="shared" si="110"/>
        <v>143.74418604651163</v>
      </c>
      <c r="M84" s="101">
        <f t="shared" si="110"/>
        <v>133.12328767123287</v>
      </c>
      <c r="N84" s="101">
        <f t="shared" si="110"/>
        <v>168.36111111111111</v>
      </c>
      <c r="O84" s="61"/>
      <c r="P84" s="80">
        <f t="shared" si="111"/>
        <v>118.45</v>
      </c>
      <c r="Q84" s="81">
        <f t="shared" si="111"/>
        <v>118.54243542435424</v>
      </c>
      <c r="R84" s="81"/>
      <c r="S84" s="81"/>
      <c r="T84" s="81"/>
      <c r="U84" s="83">
        <f t="shared" si="112"/>
        <v>118.4938704028021</v>
      </c>
      <c r="V84" s="61"/>
      <c r="W84" s="81">
        <f t="shared" si="113"/>
        <v>141.19804068688168</v>
      </c>
      <c r="X84" s="81">
        <f t="shared" si="113"/>
        <v>141.86875659912195</v>
      </c>
      <c r="Y84" s="81">
        <f t="shared" si="113"/>
        <v>147.25441971930567</v>
      </c>
      <c r="Z84" s="81">
        <f t="shared" si="113"/>
        <v>134.43779716430629</v>
      </c>
      <c r="AA84" s="81">
        <f t="shared" si="113"/>
        <v>129.15031761287199</v>
      </c>
      <c r="AB84" s="81">
        <f t="shared" si="113"/>
        <v>118.30268700143532</v>
      </c>
      <c r="AC84" s="81">
        <f t="shared" si="113"/>
        <v>127.56054327563729</v>
      </c>
      <c r="AD84" s="81"/>
      <c r="AE84" s="81">
        <f t="shared" si="114"/>
        <v>93.251101043639011</v>
      </c>
      <c r="AF84" s="81">
        <f t="shared" si="114"/>
        <v>97.314536844907764</v>
      </c>
      <c r="AG84" s="81">
        <f t="shared" si="114"/>
        <v>54.010932809188034</v>
      </c>
      <c r="AH84" s="81">
        <f t="shared" si="114"/>
        <v>92.337947256106347</v>
      </c>
      <c r="AI84" s="61"/>
      <c r="AJ84" s="80">
        <f t="shared" si="115"/>
        <v>134.06380703837758</v>
      </c>
      <c r="AK84" s="81">
        <f t="shared" si="115"/>
        <v>85.824788416244644</v>
      </c>
      <c r="AL84" s="83">
        <f t="shared" si="115"/>
        <v>103.18520877228507</v>
      </c>
      <c r="AM84" s="61"/>
      <c r="AN84" s="61"/>
      <c r="AO84" s="61"/>
      <c r="AP84" s="61"/>
      <c r="AQ84" s="61"/>
      <c r="AR84" s="61"/>
      <c r="AS84" s="61"/>
      <c r="AT84" s="61"/>
      <c r="AU84" s="61"/>
    </row>
    <row r="85" spans="2:47" ht="15.75" customHeight="1">
      <c r="B85" s="79" t="s">
        <v>199</v>
      </c>
      <c r="C85" s="101">
        <f t="shared" si="109"/>
        <v>148.20689655172413</v>
      </c>
      <c r="D85" s="101">
        <f t="shared" si="109"/>
        <v>77.497757847533634</v>
      </c>
      <c r="E85" s="101">
        <f t="shared" si="109"/>
        <v>185.14649681528661</v>
      </c>
      <c r="F85" s="101">
        <f t="shared" si="109"/>
        <v>198.06603773584905</v>
      </c>
      <c r="G85" s="101">
        <f t="shared" si="109"/>
        <v>320.68</v>
      </c>
      <c r="H85" s="101">
        <f t="shared" si="109"/>
        <v>305.63013698630135</v>
      </c>
      <c r="I85" s="101">
        <f t="shared" si="109"/>
        <v>203.68965517241378</v>
      </c>
      <c r="J85" s="101"/>
      <c r="K85" s="101">
        <f t="shared" si="110"/>
        <v>83.863013698630141</v>
      </c>
      <c r="L85" s="101">
        <f t="shared" si="110"/>
        <v>151.625</v>
      </c>
      <c r="M85" s="101">
        <f t="shared" si="110"/>
        <v>138.20289855072463</v>
      </c>
      <c r="N85" s="101">
        <f t="shared" si="110"/>
        <v>185.86458333333334</v>
      </c>
      <c r="O85" s="61"/>
      <c r="P85" s="80">
        <f t="shared" si="111"/>
        <v>180.45308310991956</v>
      </c>
      <c r="Q85" s="81">
        <f t="shared" si="111"/>
        <v>150.82934609250398</v>
      </c>
      <c r="R85" s="81"/>
      <c r="S85" s="81"/>
      <c r="T85" s="81"/>
      <c r="U85" s="83">
        <f t="shared" si="112"/>
        <v>166.92498179169701</v>
      </c>
      <c r="V85" s="61"/>
      <c r="W85" s="81">
        <f t="shared" si="113"/>
        <v>198.90885739962843</v>
      </c>
      <c r="X85" s="81">
        <f t="shared" si="113"/>
        <v>199.85370999881795</v>
      </c>
      <c r="Y85" s="81">
        <f t="shared" si="113"/>
        <v>207.4406148337842</v>
      </c>
      <c r="Z85" s="81">
        <f t="shared" si="113"/>
        <v>142.03916266395964</v>
      </c>
      <c r="AA85" s="81">
        <f t="shared" si="113"/>
        <v>136.45271908983111</v>
      </c>
      <c r="AB85" s="81">
        <f t="shared" si="113"/>
        <v>124.99174307388751</v>
      </c>
      <c r="AC85" s="81">
        <f t="shared" si="113"/>
        <v>134.77305592628278</v>
      </c>
      <c r="AD85" s="81"/>
      <c r="AE85" s="81">
        <f t="shared" si="114"/>
        <v>98.523693404041097</v>
      </c>
      <c r="AF85" s="81">
        <f t="shared" si="114"/>
        <v>102.81688349585413</v>
      </c>
      <c r="AG85" s="81">
        <f t="shared" si="114"/>
        <v>57.064812372225553</v>
      </c>
      <c r="AH85" s="81">
        <f t="shared" si="114"/>
        <v>97.558908186636472</v>
      </c>
      <c r="AI85" s="61"/>
      <c r="AJ85" s="80">
        <f t="shared" si="115"/>
        <v>163.78776703776316</v>
      </c>
      <c r="AK85" s="81">
        <f t="shared" si="115"/>
        <v>90.677483115525988</v>
      </c>
      <c r="AL85" s="83">
        <f t="shared" si="115"/>
        <v>116.98865812473646</v>
      </c>
      <c r="AM85" s="61"/>
      <c r="AN85" s="61"/>
      <c r="AO85" s="61"/>
      <c r="AP85" s="61"/>
      <c r="AQ85" s="61"/>
      <c r="AR85" s="61"/>
      <c r="AS85" s="61"/>
      <c r="AT85" s="61"/>
      <c r="AU85" s="61"/>
    </row>
    <row r="86" spans="2:47" ht="15.75" customHeight="1">
      <c r="B86" s="79" t="s">
        <v>200</v>
      </c>
      <c r="C86" s="101">
        <f t="shared" si="109"/>
        <v>103.65517241379311</v>
      </c>
      <c r="D86" s="101">
        <f t="shared" si="109"/>
        <v>199.171875</v>
      </c>
      <c r="E86" s="101">
        <f t="shared" si="109"/>
        <v>229.61956521739131</v>
      </c>
      <c r="F86" s="101">
        <f t="shared" si="109"/>
        <v>177.4</v>
      </c>
      <c r="G86" s="101">
        <f t="shared" si="109"/>
        <v>195.48</v>
      </c>
      <c r="H86" s="101">
        <f t="shared" si="109"/>
        <v>122.96666666666667</v>
      </c>
      <c r="I86" s="101">
        <f t="shared" si="109"/>
        <v>91.378947368421052</v>
      </c>
      <c r="J86" s="101"/>
      <c r="K86" s="101">
        <f t="shared" si="110"/>
        <v>75.616161616161619</v>
      </c>
      <c r="L86" s="101">
        <f t="shared" si="110"/>
        <v>126.40909090909091</v>
      </c>
      <c r="M86" s="101">
        <f t="shared" si="110"/>
        <v>98.819209039548028</v>
      </c>
      <c r="N86" s="101">
        <f t="shared" si="110"/>
        <v>108.55223880597015</v>
      </c>
      <c r="O86" s="61"/>
      <c r="P86" s="80">
        <f t="shared" si="111"/>
        <v>170.51813471502589</v>
      </c>
      <c r="Q86" s="81">
        <f t="shared" si="111"/>
        <v>107.2998046875</v>
      </c>
      <c r="R86" s="81"/>
      <c r="S86" s="81"/>
      <c r="T86" s="81"/>
      <c r="U86" s="83">
        <f t="shared" si="112"/>
        <v>130.13412351840299</v>
      </c>
      <c r="V86" s="61"/>
      <c r="W86" s="81">
        <f t="shared" si="113"/>
        <v>166.33488009397868</v>
      </c>
      <c r="X86" s="81">
        <f t="shared" si="113"/>
        <v>167.12500048302155</v>
      </c>
      <c r="Y86" s="81">
        <f t="shared" si="113"/>
        <v>173.46944850060339</v>
      </c>
      <c r="Z86" s="81">
        <f t="shared" si="113"/>
        <v>158.37114143115073</v>
      </c>
      <c r="AA86" s="81">
        <f t="shared" si="113"/>
        <v>152.14235615262456</v>
      </c>
      <c r="AB86" s="81">
        <f t="shared" si="113"/>
        <v>139.36357162927297</v>
      </c>
      <c r="AC86" s="81">
        <f t="shared" si="113"/>
        <v>150.26956158356379</v>
      </c>
      <c r="AD86" s="81"/>
      <c r="AE86" s="81">
        <f t="shared" si="114"/>
        <v>109.8521667529503</v>
      </c>
      <c r="AF86" s="81">
        <f t="shared" si="114"/>
        <v>114.638997388033</v>
      </c>
      <c r="AG86" s="81">
        <f t="shared" si="114"/>
        <v>63.626251390433787</v>
      </c>
      <c r="AH86" s="81">
        <f t="shared" si="114"/>
        <v>108.77644838591263</v>
      </c>
      <c r="AI86" s="61"/>
      <c r="AJ86" s="80">
        <f t="shared" si="115"/>
        <v>157.93057155886308</v>
      </c>
      <c r="AK86" s="81">
        <f t="shared" si="115"/>
        <v>101.10378175830776</v>
      </c>
      <c r="AL86" s="83">
        <f t="shared" si="115"/>
        <v>121.5547981056708</v>
      </c>
      <c r="AM86" s="61"/>
      <c r="AN86" s="61"/>
      <c r="AO86" s="61"/>
      <c r="AP86" s="61"/>
      <c r="AQ86" s="61"/>
      <c r="AR86" s="61"/>
      <c r="AS86" s="61"/>
      <c r="AT86" s="61"/>
      <c r="AU86" s="61"/>
    </row>
    <row r="87" spans="2:47" ht="15.75" customHeight="1">
      <c r="B87" s="79" t="s">
        <v>201</v>
      </c>
      <c r="C87" s="101">
        <v>0</v>
      </c>
      <c r="D87" s="101">
        <f t="shared" ref="D87:I87" si="116">D15/D73</f>
        <v>163.04255319148936</v>
      </c>
      <c r="E87" s="101">
        <f t="shared" si="116"/>
        <v>183.97894736842105</v>
      </c>
      <c r="F87" s="101">
        <f t="shared" si="116"/>
        <v>198.07142857142858</v>
      </c>
      <c r="G87" s="101">
        <f t="shared" si="116"/>
        <v>320.67796610169489</v>
      </c>
      <c r="H87" s="101">
        <f t="shared" si="116"/>
        <v>284.07843137254901</v>
      </c>
      <c r="I87" s="101">
        <f t="shared" si="116"/>
        <v>165.95</v>
      </c>
      <c r="J87" s="101"/>
      <c r="K87" s="101">
        <f t="shared" si="110"/>
        <v>141.89908256880733</v>
      </c>
      <c r="L87" s="101">
        <f t="shared" si="110"/>
        <v>290.94936708860757</v>
      </c>
      <c r="M87" s="101">
        <f t="shared" si="110"/>
        <v>160.62222222222223</v>
      </c>
      <c r="N87" s="101">
        <f t="shared" si="110"/>
        <v>186.28925619834712</v>
      </c>
      <c r="O87" s="61"/>
      <c r="P87" s="80">
        <f t="shared" si="111"/>
        <v>223.77083333333334</v>
      </c>
      <c r="Q87" s="81">
        <f t="shared" si="111"/>
        <v>193.69512195121951</v>
      </c>
      <c r="R87" s="81"/>
      <c r="S87" s="81"/>
      <c r="T87" s="81"/>
      <c r="U87" s="83">
        <f t="shared" si="112"/>
        <v>204.8</v>
      </c>
      <c r="V87" s="61"/>
      <c r="W87" s="81">
        <f t="shared" si="113"/>
        <v>244.04096713503532</v>
      </c>
      <c r="X87" s="81">
        <f t="shared" si="113"/>
        <v>245.20020531638488</v>
      </c>
      <c r="Y87" s="81">
        <f t="shared" si="113"/>
        <v>254.50856703386611</v>
      </c>
      <c r="Z87" s="81">
        <f t="shared" si="113"/>
        <v>232.35683639715796</v>
      </c>
      <c r="AA87" s="81">
        <f t="shared" si="113"/>
        <v>223.21817117799793</v>
      </c>
      <c r="AB87" s="81">
        <f t="shared" si="113"/>
        <v>204.46956636265804</v>
      </c>
      <c r="AC87" s="81">
        <f t="shared" si="113"/>
        <v>220.470469687964</v>
      </c>
      <c r="AD87" s="81"/>
      <c r="AE87" s="81">
        <f t="shared" si="114"/>
        <v>161.17142117830295</v>
      </c>
      <c r="AF87" s="81">
        <f t="shared" si="114"/>
        <v>168.19449882165222</v>
      </c>
      <c r="AG87" s="81">
        <f t="shared" si="114"/>
        <v>93.350305815144779</v>
      </c>
      <c r="AH87" s="81">
        <f t="shared" si="114"/>
        <v>159.59316320554063</v>
      </c>
      <c r="AI87" s="61"/>
      <c r="AJ87" s="80">
        <f t="shared" si="115"/>
        <v>231.71044703094151</v>
      </c>
      <c r="AK87" s="81">
        <f t="shared" si="115"/>
        <v>148.33608361256844</v>
      </c>
      <c r="AL87" s="83">
        <f t="shared" si="115"/>
        <v>178.34113009160555</v>
      </c>
      <c r="AM87" s="61"/>
      <c r="AN87" s="61"/>
      <c r="AO87" s="61"/>
      <c r="AP87" s="61"/>
      <c r="AQ87" s="61"/>
      <c r="AR87" s="61"/>
      <c r="AS87" s="61"/>
      <c r="AT87" s="61"/>
      <c r="AU87" s="61"/>
    </row>
    <row r="88" spans="2:47" ht="15.75" customHeight="1">
      <c r="B88" s="79" t="s">
        <v>202</v>
      </c>
      <c r="C88" s="101">
        <v>0</v>
      </c>
      <c r="D88" s="101">
        <v>0</v>
      </c>
      <c r="E88" s="101">
        <v>0</v>
      </c>
      <c r="F88" s="101">
        <f t="shared" ref="F88:I90" si="117">F16/F74</f>
        <v>272.83333333333331</v>
      </c>
      <c r="G88" s="101">
        <f t="shared" si="117"/>
        <v>256.22727272727275</v>
      </c>
      <c r="H88" s="101">
        <f t="shared" si="117"/>
        <v>171.84615384615384</v>
      </c>
      <c r="I88" s="101">
        <f t="shared" si="117"/>
        <v>116.40909090909091</v>
      </c>
      <c r="J88" s="101"/>
      <c r="K88" s="101">
        <f t="shared" si="110"/>
        <v>102.07692307692308</v>
      </c>
      <c r="L88" s="101">
        <f t="shared" si="110"/>
        <v>171.43478260869566</v>
      </c>
      <c r="M88" s="101">
        <f t="shared" si="110"/>
        <v>119.23076923076923</v>
      </c>
      <c r="N88" s="101">
        <f t="shared" si="110"/>
        <v>168.13043478260869</v>
      </c>
      <c r="O88" s="61"/>
      <c r="P88" s="80">
        <f t="shared" si="111"/>
        <v>225.35714285714286</v>
      </c>
      <c r="Q88" s="81">
        <f t="shared" si="111"/>
        <v>140.38356164383561</v>
      </c>
      <c r="R88" s="81"/>
      <c r="S88" s="81"/>
      <c r="T88" s="81"/>
      <c r="U88" s="83">
        <f t="shared" si="112"/>
        <v>179.74632352941177</v>
      </c>
      <c r="V88" s="61"/>
      <c r="W88" s="81">
        <f t="shared" si="113"/>
        <v>214.18684879435841</v>
      </c>
      <c r="X88" s="81">
        <f t="shared" si="113"/>
        <v>215.20427458143118</v>
      </c>
      <c r="Y88" s="81">
        <f t="shared" si="113"/>
        <v>223.37392202673968</v>
      </c>
      <c r="Z88" s="81">
        <f t="shared" si="113"/>
        <v>203.93206586579177</v>
      </c>
      <c r="AA88" s="81">
        <f t="shared" si="113"/>
        <v>195.91135553810565</v>
      </c>
      <c r="AB88" s="81">
        <f t="shared" si="113"/>
        <v>179.45631263350032</v>
      </c>
      <c r="AC88" s="81">
        <f t="shared" si="113"/>
        <v>193.49978697858472</v>
      </c>
      <c r="AD88" s="81"/>
      <c r="AE88" s="81">
        <f t="shared" si="114"/>
        <v>141.45493366606607</v>
      </c>
      <c r="AF88" s="81">
        <f t="shared" si="114"/>
        <v>147.61886133332015</v>
      </c>
      <c r="AG88" s="81">
        <f t="shared" si="114"/>
        <v>81.930538430754609</v>
      </c>
      <c r="AH88" s="81">
        <f t="shared" si="114"/>
        <v>140.06974778625644</v>
      </c>
      <c r="AI88" s="61"/>
      <c r="AJ88" s="80">
        <f t="shared" si="115"/>
        <v>203.36475086507932</v>
      </c>
      <c r="AK88" s="81">
        <f t="shared" si="115"/>
        <v>130.18977380913381</v>
      </c>
      <c r="AL88" s="83">
        <f t="shared" si="115"/>
        <v>156.52423080100903</v>
      </c>
      <c r="AM88" s="61"/>
      <c r="AN88" s="61"/>
      <c r="AO88" s="61"/>
      <c r="AP88" s="61"/>
      <c r="AQ88" s="61"/>
      <c r="AR88" s="61"/>
      <c r="AS88" s="61"/>
      <c r="AT88" s="61"/>
      <c r="AU88" s="61"/>
    </row>
    <row r="89" spans="2:47" ht="15.75" customHeight="1">
      <c r="B89" s="79" t="s">
        <v>203</v>
      </c>
      <c r="C89" s="101">
        <v>0</v>
      </c>
      <c r="D89" s="101">
        <v>0</v>
      </c>
      <c r="E89" s="101">
        <v>0</v>
      </c>
      <c r="F89" s="101">
        <f t="shared" si="117"/>
        <v>325</v>
      </c>
      <c r="G89" s="101">
        <f t="shared" si="117"/>
        <v>386.59090909090907</v>
      </c>
      <c r="H89" s="101">
        <f t="shared" si="117"/>
        <v>674.1</v>
      </c>
      <c r="I89" s="101">
        <f t="shared" si="117"/>
        <v>113.64705882352941</v>
      </c>
      <c r="J89" s="101"/>
      <c r="K89" s="101">
        <f t="shared" si="110"/>
        <v>222.44444444444446</v>
      </c>
      <c r="L89" s="101">
        <f t="shared" si="110"/>
        <v>297.5</v>
      </c>
      <c r="M89" s="101">
        <f t="shared" si="110"/>
        <v>161.27586206896552</v>
      </c>
      <c r="N89" s="101">
        <f t="shared" si="110"/>
        <v>243.08333333333334</v>
      </c>
      <c r="O89" s="61"/>
      <c r="P89" s="80">
        <f t="shared" si="111"/>
        <v>420.01960784313724</v>
      </c>
      <c r="Q89" s="81">
        <f t="shared" si="111"/>
        <v>200.80519480519482</v>
      </c>
      <c r="R89" s="81"/>
      <c r="S89" s="81"/>
      <c r="T89" s="81"/>
      <c r="U89" s="83">
        <f t="shared" si="112"/>
        <v>288.1484375</v>
      </c>
      <c r="V89" s="61"/>
      <c r="W89" s="81">
        <f t="shared" si="113"/>
        <v>343.35948909154922</v>
      </c>
      <c r="X89" s="81">
        <f t="shared" si="113"/>
        <v>344.99050799118896</v>
      </c>
      <c r="Y89" s="81">
        <f t="shared" si="113"/>
        <v>358.08713828697535</v>
      </c>
      <c r="Z89" s="81">
        <f t="shared" si="113"/>
        <v>326.92021167130957</v>
      </c>
      <c r="AA89" s="81">
        <f t="shared" si="113"/>
        <v>314.06234007103342</v>
      </c>
      <c r="AB89" s="81">
        <f t="shared" si="113"/>
        <v>287.68352570167224</v>
      </c>
      <c r="AC89" s="81">
        <f t="shared" si="113"/>
        <v>310.19639333729464</v>
      </c>
      <c r="AD89" s="81"/>
      <c r="AE89" s="81">
        <f t="shared" si="114"/>
        <v>226.76412686612505</v>
      </c>
      <c r="AF89" s="81">
        <f t="shared" si="114"/>
        <v>236.6454200759506</v>
      </c>
      <c r="AG89" s="81">
        <f t="shared" si="114"/>
        <v>131.34152715225162</v>
      </c>
      <c r="AH89" s="81">
        <f t="shared" si="114"/>
        <v>224.54355768241709</v>
      </c>
      <c r="AI89" s="61"/>
      <c r="AJ89" s="80">
        <f t="shared" si="115"/>
        <v>326.01075812691556</v>
      </c>
      <c r="AK89" s="81">
        <f t="shared" si="115"/>
        <v>208.70513045815895</v>
      </c>
      <c r="AL89" s="83">
        <f t="shared" si="115"/>
        <v>250.92147450136903</v>
      </c>
      <c r="AM89" s="61"/>
      <c r="AN89" s="61"/>
      <c r="AO89" s="61"/>
      <c r="AP89" s="61"/>
      <c r="AQ89" s="61"/>
      <c r="AR89" s="61"/>
      <c r="AS89" s="61"/>
      <c r="AT89" s="61"/>
      <c r="AU89" s="61"/>
    </row>
    <row r="90" spans="2:47" ht="15.75" customHeight="1">
      <c r="B90" s="79" t="s">
        <v>204</v>
      </c>
      <c r="C90" s="101">
        <f>C18/C76</f>
        <v>95.441860465116278</v>
      </c>
      <c r="D90" s="101">
        <f>D18/D76</f>
        <v>191.65909090909091</v>
      </c>
      <c r="E90" s="101">
        <f>E18/E76</f>
        <v>229.61728395061729</v>
      </c>
      <c r="F90" s="101">
        <f t="shared" si="117"/>
        <v>186.42372881355934</v>
      </c>
      <c r="G90" s="101">
        <f t="shared" si="117"/>
        <v>198.53125</v>
      </c>
      <c r="H90" s="101">
        <f t="shared" si="117"/>
        <v>123.52808988764045</v>
      </c>
      <c r="I90" s="101">
        <f t="shared" si="117"/>
        <v>128.11111111111111</v>
      </c>
      <c r="J90" s="101"/>
      <c r="K90" s="101"/>
      <c r="L90" s="101"/>
      <c r="M90" s="101"/>
      <c r="N90" s="101"/>
      <c r="O90" s="61"/>
      <c r="P90" s="80">
        <f t="shared" si="111"/>
        <v>168.47058823529412</v>
      </c>
      <c r="Q90" s="81">
        <f t="shared" si="111"/>
        <v>128.11111111111111</v>
      </c>
      <c r="R90" s="81"/>
      <c r="S90" s="81"/>
      <c r="T90" s="81"/>
      <c r="U90" s="83">
        <f t="shared" si="112"/>
        <v>168.47058823529412</v>
      </c>
      <c r="V90" s="6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77"/>
      <c r="AJ90" s="80"/>
      <c r="AK90" s="81"/>
      <c r="AL90" s="102"/>
      <c r="AM90" s="61"/>
      <c r="AN90" s="61"/>
      <c r="AO90" s="61"/>
      <c r="AP90" s="61"/>
      <c r="AQ90" s="61"/>
      <c r="AR90" s="61"/>
      <c r="AS90" s="61"/>
      <c r="AT90" s="61"/>
      <c r="AU90" s="61"/>
    </row>
    <row r="91" spans="2:47" ht="15.75" customHeight="1">
      <c r="B91" s="79" t="s">
        <v>252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77"/>
      <c r="AJ91" s="80"/>
      <c r="AK91" s="81"/>
      <c r="AL91" s="102"/>
      <c r="AM91" s="61"/>
      <c r="AN91" s="61"/>
      <c r="AO91" s="61"/>
      <c r="AP91" s="61"/>
      <c r="AQ91" s="61"/>
      <c r="AR91" s="61"/>
      <c r="AS91" s="61"/>
      <c r="AT91" s="61"/>
      <c r="AU91" s="61"/>
    </row>
    <row r="92" spans="2:47" s="261" customFormat="1" ht="15.75" customHeight="1">
      <c r="B92" s="79" t="s">
        <v>273</v>
      </c>
      <c r="C92" s="256"/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7"/>
      <c r="P92" s="258"/>
      <c r="Q92" s="259"/>
      <c r="R92" s="259"/>
      <c r="S92" s="259"/>
      <c r="T92" s="259"/>
      <c r="U92" s="260"/>
      <c r="V92" s="257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77"/>
      <c r="AJ92" s="80"/>
      <c r="AK92" s="81"/>
      <c r="AL92" s="102"/>
      <c r="AM92" s="61"/>
      <c r="AN92" s="257"/>
      <c r="AO92" s="257"/>
      <c r="AP92" s="257"/>
      <c r="AQ92" s="257"/>
      <c r="AR92" s="257"/>
      <c r="AS92" s="257"/>
      <c r="AT92" s="257"/>
      <c r="AU92" s="257"/>
    </row>
    <row r="93" spans="2:47" s="261" customFormat="1" ht="15.75" hidden="1" customHeight="1">
      <c r="B93" s="79" t="s">
        <v>204</v>
      </c>
      <c r="C93" s="256"/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7"/>
      <c r="P93" s="258"/>
      <c r="Q93" s="259"/>
      <c r="R93" s="259"/>
      <c r="S93" s="259"/>
      <c r="T93" s="259"/>
      <c r="U93" s="260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61"/>
      <c r="AK93" s="61"/>
      <c r="AL93" s="61"/>
      <c r="AM93" s="61"/>
      <c r="AN93" s="257"/>
      <c r="AO93" s="257"/>
      <c r="AP93" s="257"/>
      <c r="AQ93" s="257"/>
      <c r="AR93" s="257"/>
      <c r="AS93" s="257"/>
      <c r="AT93" s="257"/>
      <c r="AU93" s="257"/>
    </row>
    <row r="94" spans="2:47" ht="15.75" hidden="1" customHeight="1">
      <c r="B94" s="79" t="s">
        <v>204</v>
      </c>
      <c r="C94" s="106">
        <f t="shared" ref="C94:N94" si="118">C106/C67</f>
        <v>0.47936507936507938</v>
      </c>
      <c r="D94" s="106">
        <f t="shared" si="118"/>
        <v>0.45399515738498791</v>
      </c>
      <c r="E94" s="106">
        <f t="shared" si="118"/>
        <v>0.41456166419019319</v>
      </c>
      <c r="F94" s="106">
        <f t="shared" si="118"/>
        <v>0.39929328621908128</v>
      </c>
      <c r="G94" s="106">
        <f t="shared" si="118"/>
        <v>0.43381180223285487</v>
      </c>
      <c r="H94" s="106">
        <f t="shared" si="118"/>
        <v>0.3983739837398374</v>
      </c>
      <c r="I94" s="106">
        <f t="shared" si="118"/>
        <v>0.47780126849894294</v>
      </c>
      <c r="J94" s="106" t="e">
        <f t="shared" si="118"/>
        <v>#DIV/0!</v>
      </c>
      <c r="K94" s="106">
        <f t="shared" si="118"/>
        <v>0.45288326300984527</v>
      </c>
      <c r="L94" s="106">
        <f t="shared" si="118"/>
        <v>0.45366795366795365</v>
      </c>
      <c r="M94" s="106">
        <f t="shared" si="118"/>
        <v>0.48624667258207632</v>
      </c>
      <c r="N94" s="106">
        <f t="shared" si="118"/>
        <v>0.4412751677852349</v>
      </c>
      <c r="O94" s="248"/>
      <c r="P94" s="109">
        <f t="shared" ref="P94:Q103" si="119">P106/P67</f>
        <v>0.42738818332413031</v>
      </c>
      <c r="Q94" s="107">
        <f t="shared" si="119"/>
        <v>0.4654014598540146</v>
      </c>
      <c r="R94" s="107"/>
      <c r="S94" s="107"/>
      <c r="T94" s="107"/>
      <c r="U94" s="110">
        <f t="shared" ref="U94:U103" si="120">U106/U67</f>
        <v>0.44586348800908188</v>
      </c>
      <c r="V94" s="74"/>
      <c r="W94" s="106">
        <f>W106/W67</f>
        <v>0</v>
      </c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8"/>
      <c r="AJ94" s="61">
        <f t="shared" ref="AJ94:AL96" si="121">AJ107/AJ67</f>
        <v>0</v>
      </c>
      <c r="AK94" s="61">
        <f t="shared" si="121"/>
        <v>0</v>
      </c>
      <c r="AL94" s="61">
        <f t="shared" si="121"/>
        <v>0</v>
      </c>
      <c r="AM94" s="61"/>
      <c r="AN94" s="61"/>
      <c r="AO94" s="61"/>
      <c r="AP94" s="61"/>
      <c r="AQ94" s="61"/>
      <c r="AR94" s="61"/>
      <c r="AS94" s="61"/>
      <c r="AT94" s="61"/>
      <c r="AU94" s="61"/>
    </row>
    <row r="95" spans="2:47" ht="15.75" hidden="1" customHeight="1">
      <c r="B95" s="79" t="s">
        <v>204</v>
      </c>
      <c r="C95" s="111">
        <f t="shared" ref="C95:N95" si="122">C107/C68</f>
        <v>0.47916666666666669</v>
      </c>
      <c r="D95" s="111">
        <f t="shared" si="122"/>
        <v>0.45238095238095238</v>
      </c>
      <c r="E95" s="111">
        <f t="shared" si="122"/>
        <v>0.330188679245283</v>
      </c>
      <c r="F95" s="111">
        <f t="shared" si="122"/>
        <v>0.36363636363636365</v>
      </c>
      <c r="G95" s="111">
        <f t="shared" si="122"/>
        <v>0.5679012345679012</v>
      </c>
      <c r="H95" s="111">
        <f t="shared" si="122"/>
        <v>0.47945205479452052</v>
      </c>
      <c r="I95" s="111">
        <f t="shared" si="122"/>
        <v>0.50632911392405067</v>
      </c>
      <c r="J95" s="111" t="e">
        <f t="shared" si="122"/>
        <v>#DIV/0!</v>
      </c>
      <c r="K95" s="111">
        <f t="shared" si="122"/>
        <v>0.57425742574257421</v>
      </c>
      <c r="L95" s="111">
        <f t="shared" si="122"/>
        <v>0.61111111111111116</v>
      </c>
      <c r="M95" s="111">
        <f t="shared" si="122"/>
        <v>0.580952380952381</v>
      </c>
      <c r="N95" s="111">
        <f t="shared" si="122"/>
        <v>0.453125</v>
      </c>
      <c r="O95" s="248"/>
      <c r="P95" s="114">
        <f t="shared" si="119"/>
        <v>0.44256120527306969</v>
      </c>
      <c r="Q95" s="112">
        <f t="shared" si="119"/>
        <v>0.54838709677419351</v>
      </c>
      <c r="R95" s="112"/>
      <c r="S95" s="112"/>
      <c r="T95" s="112"/>
      <c r="U95" s="115">
        <f t="shared" si="120"/>
        <v>0.48822269807280516</v>
      </c>
      <c r="V95" s="79"/>
      <c r="W95" s="112">
        <f>'[4]MK Digital-Elims-2023'!U57</f>
        <v>0</v>
      </c>
      <c r="X95" s="112">
        <f>'[4]MK Digital-Elims-2023'!V57</f>
        <v>0</v>
      </c>
      <c r="Y95" s="112">
        <f>'[4]MK Digital-Elims-2023'!W57</f>
        <v>0</v>
      </c>
      <c r="Z95" s="112">
        <f>'[4]MK Digital-Elims-2023'!X57</f>
        <v>0</v>
      </c>
      <c r="AA95" s="112">
        <f>'[4]MK Digital-Elims-2023'!Y57</f>
        <v>0</v>
      </c>
      <c r="AB95" s="112">
        <f>'[4]MK Digital-Elims-2023'!Z57</f>
        <v>0</v>
      </c>
      <c r="AC95" s="112">
        <f>'[4]MK Digital-Elims-2023'!AA57</f>
        <v>0</v>
      </c>
      <c r="AD95" s="112">
        <f>'[4]MK Digital-Elims-2023'!AB57</f>
        <v>0</v>
      </c>
      <c r="AE95" s="112">
        <f>'[4]MK Digital-Elims-2023'!AC57</f>
        <v>0</v>
      </c>
      <c r="AF95" s="112">
        <f>'[4]MK Digital-Elims-2023'!AD57</f>
        <v>0</v>
      </c>
      <c r="AG95" s="112">
        <f>'[4]MK Digital-Elims-2023'!AE57</f>
        <v>0</v>
      </c>
      <c r="AH95" s="112">
        <f>'[4]MK Digital-Elims-2023'!AF57</f>
        <v>0</v>
      </c>
      <c r="AI95" s="113"/>
      <c r="AJ95" s="61">
        <f t="shared" si="121"/>
        <v>0</v>
      </c>
      <c r="AK95" s="61">
        <f t="shared" si="121"/>
        <v>0</v>
      </c>
      <c r="AL95" s="61">
        <f t="shared" si="121"/>
        <v>0</v>
      </c>
      <c r="AM95" s="61"/>
      <c r="AN95" s="61"/>
      <c r="AO95" s="61"/>
      <c r="AP95" s="61"/>
      <c r="AQ95" s="61"/>
      <c r="AR95" s="61"/>
      <c r="AS95" s="61"/>
      <c r="AT95" s="61"/>
      <c r="AU95" s="61"/>
    </row>
    <row r="96" spans="2:47" ht="15.75" hidden="1" customHeight="1">
      <c r="B96" s="79" t="s">
        <v>204</v>
      </c>
      <c r="C96" s="111">
        <f t="shared" ref="C96:N96" si="123">C108/C69</f>
        <v>0.36538461538461536</v>
      </c>
      <c r="D96" s="111">
        <f t="shared" si="123"/>
        <v>0.4946236559139785</v>
      </c>
      <c r="E96" s="111">
        <f t="shared" si="123"/>
        <v>0.28723404255319152</v>
      </c>
      <c r="F96" s="111">
        <f t="shared" si="123"/>
        <v>0.3258426966292135</v>
      </c>
      <c r="G96" s="111">
        <f t="shared" si="123"/>
        <v>0.4</v>
      </c>
      <c r="H96" s="111">
        <f t="shared" si="123"/>
        <v>0.45833333333333331</v>
      </c>
      <c r="I96" s="111">
        <f t="shared" si="123"/>
        <v>0.57894736842105265</v>
      </c>
      <c r="J96" s="111" t="e">
        <f t="shared" si="123"/>
        <v>#DIV/0!</v>
      </c>
      <c r="K96" s="111">
        <f t="shared" si="123"/>
        <v>0.42857142857142855</v>
      </c>
      <c r="L96" s="111">
        <f t="shared" si="123"/>
        <v>0</v>
      </c>
      <c r="M96" s="111">
        <f t="shared" si="123"/>
        <v>0.63414634146341464</v>
      </c>
      <c r="N96" s="111">
        <f t="shared" si="123"/>
        <v>0.48837209302325579</v>
      </c>
      <c r="O96" s="248"/>
      <c r="P96" s="114">
        <f t="shared" si="119"/>
        <v>0.4048865619546248</v>
      </c>
      <c r="Q96" s="112">
        <f t="shared" si="119"/>
        <v>0.51550387596899228</v>
      </c>
      <c r="R96" s="112"/>
      <c r="S96" s="112"/>
      <c r="T96" s="112"/>
      <c r="U96" s="115">
        <f t="shared" si="120"/>
        <v>0.43922984356197353</v>
      </c>
      <c r="V96" s="79"/>
      <c r="W96" s="116">
        <f>'[4]MK Digital-CEL-2023'!U59</f>
        <v>0</v>
      </c>
      <c r="X96" s="116">
        <f>'[4]MK Digital-CEL-2023'!V59</f>
        <v>0</v>
      </c>
      <c r="Y96" s="116">
        <f>'[4]MK Digital-CEL-2023'!W59</f>
        <v>0</v>
      </c>
      <c r="Z96" s="116">
        <f>'[4]MK Digital-CEL-2023'!X59</f>
        <v>0</v>
      </c>
      <c r="AA96" s="116">
        <f>'[4]MK Digital-CEL-2023'!Y59</f>
        <v>0</v>
      </c>
      <c r="AB96" s="116">
        <f>'[4]MK Digital-CEL-2023'!Z59</f>
        <v>0</v>
      </c>
      <c r="AC96" s="116">
        <f>'[4]MK Digital-CEL-2023'!AA59</f>
        <v>0</v>
      </c>
      <c r="AD96" s="116">
        <f>'[4]MK Digital-CEL-2023'!AB59</f>
        <v>0</v>
      </c>
      <c r="AE96" s="116">
        <f>'[4]MK Digital-CEL-2023'!AC59</f>
        <v>0</v>
      </c>
      <c r="AF96" s="116">
        <f>'[4]MK Digital-CEL-2023'!AD59</f>
        <v>0</v>
      </c>
      <c r="AG96" s="116">
        <f>'[4]MK Digital-CEL-2023'!AE59</f>
        <v>0</v>
      </c>
      <c r="AH96" s="116">
        <f>'[4]MK Digital-CEL-2023'!AF59</f>
        <v>0</v>
      </c>
      <c r="AI96" s="117"/>
      <c r="AJ96" s="61">
        <f t="shared" si="121"/>
        <v>0</v>
      </c>
      <c r="AK96" s="61">
        <f t="shared" si="121"/>
        <v>0</v>
      </c>
      <c r="AL96" s="61">
        <f t="shared" si="121"/>
        <v>0</v>
      </c>
      <c r="AM96" s="61"/>
      <c r="AN96" s="61"/>
      <c r="AO96" s="61"/>
      <c r="AP96" s="61"/>
      <c r="AQ96" s="61"/>
      <c r="AR96" s="61"/>
      <c r="AS96" s="61"/>
      <c r="AT96" s="61"/>
      <c r="AU96" s="61"/>
    </row>
    <row r="97" spans="2:47" ht="15.75" hidden="1" customHeight="1">
      <c r="B97" s="79" t="s">
        <v>204</v>
      </c>
      <c r="C97" s="111">
        <f t="shared" ref="C97:N97" si="124">C109/C70</f>
        <v>0.55555555555555558</v>
      </c>
      <c r="D97" s="111">
        <f t="shared" si="124"/>
        <v>0.52127659574468088</v>
      </c>
      <c r="E97" s="111">
        <f t="shared" si="124"/>
        <v>0.41666666666666669</v>
      </c>
      <c r="F97" s="111">
        <f t="shared" si="124"/>
        <v>0.41176470588235292</v>
      </c>
      <c r="G97" s="111">
        <f t="shared" si="124"/>
        <v>0.63461538461538458</v>
      </c>
      <c r="H97" s="111">
        <f t="shared" si="124"/>
        <v>0.44444444444444442</v>
      </c>
      <c r="I97" s="111">
        <f t="shared" si="124"/>
        <v>0.65</v>
      </c>
      <c r="J97" s="111" t="e">
        <f t="shared" si="124"/>
        <v>#DIV/0!</v>
      </c>
      <c r="K97" s="111">
        <f t="shared" si="124"/>
        <v>0.57627118644067798</v>
      </c>
      <c r="L97" s="111">
        <f t="shared" si="124"/>
        <v>0.53488372093023251</v>
      </c>
      <c r="M97" s="111">
        <f t="shared" si="124"/>
        <v>0.72602739726027399</v>
      </c>
      <c r="N97" s="111">
        <f t="shared" si="124"/>
        <v>0.63888888888888884</v>
      </c>
      <c r="O97" s="248"/>
      <c r="P97" s="114">
        <f t="shared" si="119"/>
        <v>0.5033333333333333</v>
      </c>
      <c r="Q97" s="112">
        <f t="shared" si="119"/>
        <v>0.63468634686346859</v>
      </c>
      <c r="R97" s="112"/>
      <c r="S97" s="112"/>
      <c r="T97" s="112"/>
      <c r="U97" s="115">
        <f t="shared" si="120"/>
        <v>0.56567425569176888</v>
      </c>
      <c r="V97" s="79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7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</row>
    <row r="98" spans="2:47" ht="15.75" hidden="1" customHeight="1">
      <c r="B98" s="79" t="s">
        <v>204</v>
      </c>
      <c r="C98" s="111">
        <f t="shared" ref="C98:N98" si="125">C110/C71</f>
        <v>0.44827586206896552</v>
      </c>
      <c r="D98" s="111">
        <f t="shared" si="125"/>
        <v>0.40807174887892378</v>
      </c>
      <c r="E98" s="111">
        <f t="shared" si="125"/>
        <v>0.48407643312101911</v>
      </c>
      <c r="F98" s="111">
        <f t="shared" si="125"/>
        <v>0.43396226415094341</v>
      </c>
      <c r="G98" s="111">
        <f t="shared" si="125"/>
        <v>0.4</v>
      </c>
      <c r="H98" s="111">
        <f t="shared" si="125"/>
        <v>0.46575342465753422</v>
      </c>
      <c r="I98" s="111">
        <f t="shared" si="125"/>
        <v>0.46551724137931033</v>
      </c>
      <c r="J98" s="111" t="e">
        <f t="shared" si="125"/>
        <v>#DIV/0!</v>
      </c>
      <c r="K98" s="111">
        <f t="shared" si="125"/>
        <v>0.41095890410958902</v>
      </c>
      <c r="L98" s="111">
        <f t="shared" si="125"/>
        <v>0.5</v>
      </c>
      <c r="M98" s="111">
        <f t="shared" si="125"/>
        <v>0.40096618357487923</v>
      </c>
      <c r="N98" s="111">
        <f t="shared" si="125"/>
        <v>0.46875</v>
      </c>
      <c r="O98" s="248"/>
      <c r="P98" s="114">
        <f t="shared" si="119"/>
        <v>0.43699731903485256</v>
      </c>
      <c r="Q98" s="112">
        <f t="shared" si="119"/>
        <v>0.43859649122807015</v>
      </c>
      <c r="R98" s="112"/>
      <c r="S98" s="112"/>
      <c r="T98" s="112"/>
      <c r="U98" s="115">
        <f t="shared" si="120"/>
        <v>0.437727603787327</v>
      </c>
      <c r="V98" s="79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7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</row>
    <row r="99" spans="2:47" ht="15.75" hidden="1" customHeight="1">
      <c r="B99" s="79" t="s">
        <v>204</v>
      </c>
      <c r="C99" s="111">
        <f t="shared" ref="C99:N99" si="126">C111/C72</f>
        <v>0.5</v>
      </c>
      <c r="D99" s="111">
        <f t="shared" si="126"/>
        <v>0.390625</v>
      </c>
      <c r="E99" s="111">
        <f t="shared" si="126"/>
        <v>0.47826086956521741</v>
      </c>
      <c r="F99" s="111">
        <f t="shared" si="126"/>
        <v>0.44444444444444442</v>
      </c>
      <c r="G99" s="111">
        <f t="shared" si="126"/>
        <v>0.38400000000000001</v>
      </c>
      <c r="H99" s="111">
        <f t="shared" si="126"/>
        <v>0.38</v>
      </c>
      <c r="I99" s="111">
        <f t="shared" si="126"/>
        <v>0.4</v>
      </c>
      <c r="J99" s="111" t="e">
        <f t="shared" si="126"/>
        <v>#DIV/0!</v>
      </c>
      <c r="K99" s="111">
        <f t="shared" si="126"/>
        <v>0.37878787878787878</v>
      </c>
      <c r="L99" s="111">
        <f t="shared" si="126"/>
        <v>0.40909090909090912</v>
      </c>
      <c r="M99" s="111">
        <f t="shared" si="126"/>
        <v>0.47175141242937851</v>
      </c>
      <c r="N99" s="111">
        <f t="shared" si="126"/>
        <v>0.35820895522388058</v>
      </c>
      <c r="O99" s="248"/>
      <c r="P99" s="114">
        <f t="shared" si="119"/>
        <v>0.41968911917098445</v>
      </c>
      <c r="Q99" s="112">
        <f t="shared" si="119"/>
        <v>0.4140625</v>
      </c>
      <c r="R99" s="112"/>
      <c r="S99" s="112"/>
      <c r="T99" s="112"/>
      <c r="U99" s="115">
        <f t="shared" si="120"/>
        <v>0.41609482220835931</v>
      </c>
      <c r="V99" s="79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7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</row>
    <row r="100" spans="2:47" ht="15.75" hidden="1" customHeight="1">
      <c r="B100" s="79" t="s">
        <v>204</v>
      </c>
      <c r="C100" s="111" t="e">
        <f t="shared" ref="C100:N100" si="127">C112/C73</f>
        <v>#DIV/0!</v>
      </c>
      <c r="D100" s="111">
        <f t="shared" si="127"/>
        <v>0.44680851063829785</v>
      </c>
      <c r="E100" s="111">
        <f t="shared" si="127"/>
        <v>0.49473684210526314</v>
      </c>
      <c r="F100" s="111">
        <f t="shared" si="127"/>
        <v>0.51190476190476186</v>
      </c>
      <c r="G100" s="111">
        <f t="shared" si="127"/>
        <v>0.40677966101694918</v>
      </c>
      <c r="H100" s="111">
        <f t="shared" si="127"/>
        <v>0.33333333333333331</v>
      </c>
      <c r="I100" s="111">
        <f t="shared" si="127"/>
        <v>0.52500000000000002</v>
      </c>
      <c r="J100" s="111" t="e">
        <f t="shared" si="127"/>
        <v>#DIV/0!</v>
      </c>
      <c r="K100" s="111">
        <f t="shared" si="127"/>
        <v>0.44954128440366975</v>
      </c>
      <c r="L100" s="111">
        <f t="shared" si="127"/>
        <v>0.46835443037974683</v>
      </c>
      <c r="M100" s="111">
        <f t="shared" si="127"/>
        <v>0.41333333333333333</v>
      </c>
      <c r="N100" s="111">
        <f t="shared" si="127"/>
        <v>0.46280991735537191</v>
      </c>
      <c r="O100" s="248"/>
      <c r="P100" s="114">
        <f t="shared" si="119"/>
        <v>0.45238095238095238</v>
      </c>
      <c r="Q100" s="112">
        <f t="shared" si="119"/>
        <v>0.44599303135888502</v>
      </c>
      <c r="R100" s="112"/>
      <c r="S100" s="112"/>
      <c r="T100" s="112"/>
      <c r="U100" s="115">
        <f t="shared" si="120"/>
        <v>0.44835164835164837</v>
      </c>
      <c r="V100" s="79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7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</row>
    <row r="101" spans="2:47" ht="15.75" hidden="1" customHeight="1">
      <c r="B101" s="79" t="s">
        <v>204</v>
      </c>
      <c r="C101" s="111" t="e">
        <f t="shared" ref="C101:N101" si="128">C113/C74</f>
        <v>#DIV/0!</v>
      </c>
      <c r="D101" s="111" t="e">
        <f t="shared" si="128"/>
        <v>#DIV/0!</v>
      </c>
      <c r="E101" s="111" t="e">
        <f t="shared" si="128"/>
        <v>#DIV/0!</v>
      </c>
      <c r="F101" s="111">
        <f t="shared" si="128"/>
        <v>0.16666666666666666</v>
      </c>
      <c r="G101" s="111">
        <f t="shared" si="128"/>
        <v>0.29545454545454547</v>
      </c>
      <c r="H101" s="111">
        <f t="shared" si="128"/>
        <v>0.26923076923076922</v>
      </c>
      <c r="I101" s="111">
        <f t="shared" si="128"/>
        <v>0.36363636363636365</v>
      </c>
      <c r="J101" s="111" t="e">
        <f t="shared" si="128"/>
        <v>#DIV/0!</v>
      </c>
      <c r="K101" s="111">
        <f t="shared" si="128"/>
        <v>0.53846153846153844</v>
      </c>
      <c r="L101" s="111">
        <f t="shared" si="128"/>
        <v>0.34782608695652173</v>
      </c>
      <c r="M101" s="111">
        <f t="shared" si="128"/>
        <v>0.38461538461538464</v>
      </c>
      <c r="N101" s="111">
        <f t="shared" si="128"/>
        <v>0.39130434782608697</v>
      </c>
      <c r="O101" s="248"/>
      <c r="P101" s="114">
        <f t="shared" si="119"/>
        <v>0.25396825396825395</v>
      </c>
      <c r="Q101" s="112">
        <f t="shared" si="119"/>
        <v>0.4041095890410959</v>
      </c>
      <c r="R101" s="112"/>
      <c r="S101" s="112"/>
      <c r="T101" s="112"/>
      <c r="U101" s="115">
        <f t="shared" si="120"/>
        <v>0.33455882352941174</v>
      </c>
      <c r="V101" s="79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7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</row>
    <row r="102" spans="2:47" ht="15.75" hidden="1" customHeight="1">
      <c r="B102" s="79" t="s">
        <v>204</v>
      </c>
      <c r="C102" s="111" t="e">
        <f t="shared" ref="C102:N102" si="129">C114/C75</f>
        <v>#DIV/0!</v>
      </c>
      <c r="D102" s="111" t="e">
        <f t="shared" si="129"/>
        <v>#DIV/0!</v>
      </c>
      <c r="E102" s="111" t="e">
        <f t="shared" si="129"/>
        <v>#DIV/0!</v>
      </c>
      <c r="F102" s="111">
        <f t="shared" si="129"/>
        <v>0.42105263157894735</v>
      </c>
      <c r="G102" s="111">
        <f t="shared" si="129"/>
        <v>0.36363636363636365</v>
      </c>
      <c r="H102" s="111">
        <f t="shared" si="129"/>
        <v>0.1</v>
      </c>
      <c r="I102" s="111">
        <f t="shared" si="129"/>
        <v>0.17647058823529413</v>
      </c>
      <c r="J102" s="111" t="e">
        <f t="shared" si="129"/>
        <v>#DIV/0!</v>
      </c>
      <c r="K102" s="111">
        <f t="shared" si="129"/>
        <v>0.55555555555555558</v>
      </c>
      <c r="L102" s="111">
        <f t="shared" si="129"/>
        <v>0.2</v>
      </c>
      <c r="M102" s="111">
        <f t="shared" si="129"/>
        <v>0.65517241379310343</v>
      </c>
      <c r="N102" s="111">
        <f t="shared" si="129"/>
        <v>0.66666666666666663</v>
      </c>
      <c r="O102" s="248"/>
      <c r="P102" s="114">
        <f t="shared" si="119"/>
        <v>0.33333333333333331</v>
      </c>
      <c r="Q102" s="112">
        <f t="shared" si="119"/>
        <v>0.48051948051948051</v>
      </c>
      <c r="R102" s="112"/>
      <c r="S102" s="112"/>
      <c r="T102" s="112"/>
      <c r="U102" s="115">
        <f t="shared" si="120"/>
        <v>0.421875</v>
      </c>
      <c r="V102" s="79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7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</row>
    <row r="103" spans="2:47" ht="15.75" hidden="1" customHeight="1">
      <c r="B103" s="79" t="s">
        <v>204</v>
      </c>
      <c r="C103" s="111">
        <f t="shared" ref="C103:N103" si="130">C115/C76</f>
        <v>0.60465116279069764</v>
      </c>
      <c r="D103" s="111">
        <f t="shared" si="130"/>
        <v>0.47727272727272729</v>
      </c>
      <c r="E103" s="111">
        <f t="shared" si="130"/>
        <v>0.37037037037037035</v>
      </c>
      <c r="F103" s="111">
        <f t="shared" si="130"/>
        <v>0.3559322033898305</v>
      </c>
      <c r="G103" s="111">
        <f t="shared" si="130"/>
        <v>0.4375</v>
      </c>
      <c r="H103" s="111">
        <f t="shared" si="130"/>
        <v>0.38202247191011235</v>
      </c>
      <c r="I103" s="111">
        <f t="shared" si="130"/>
        <v>0.37777777777777777</v>
      </c>
      <c r="J103" s="111" t="e">
        <f t="shared" si="130"/>
        <v>#DIV/0!</v>
      </c>
      <c r="K103" s="111" t="e">
        <f t="shared" si="130"/>
        <v>#DIV/0!</v>
      </c>
      <c r="L103" s="111" t="e">
        <f t="shared" si="130"/>
        <v>#DIV/0!</v>
      </c>
      <c r="M103" s="111" t="e">
        <f t="shared" si="130"/>
        <v>#DIV/0!</v>
      </c>
      <c r="N103" s="111" t="e">
        <f t="shared" si="130"/>
        <v>#DIV/0!</v>
      </c>
      <c r="O103" s="248"/>
      <c r="P103" s="114">
        <f t="shared" si="119"/>
        <v>0.41647058823529409</v>
      </c>
      <c r="Q103" s="112">
        <f t="shared" si="119"/>
        <v>0.37777777777777777</v>
      </c>
      <c r="R103" s="112"/>
      <c r="S103" s="112"/>
      <c r="T103" s="112"/>
      <c r="U103" s="115">
        <f t="shared" si="120"/>
        <v>0.41647058823529409</v>
      </c>
      <c r="V103" s="79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7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</row>
    <row r="104" spans="2:47" ht="15.75" hidden="1" customHeight="1">
      <c r="B104" s="79" t="s">
        <v>204</v>
      </c>
      <c r="AJ104" s="61"/>
      <c r="AK104" s="61"/>
      <c r="AL104" s="61"/>
      <c r="AM104" s="61"/>
    </row>
    <row r="105" spans="2:47" ht="15.75" hidden="1" customHeight="1">
      <c r="B105" s="79" t="s">
        <v>204</v>
      </c>
      <c r="AJ105" s="61"/>
      <c r="AK105" s="61"/>
      <c r="AL105" s="61"/>
      <c r="AM105" s="61"/>
    </row>
    <row r="106" spans="2:47" ht="15.75" hidden="1" customHeight="1">
      <c r="B106" s="79" t="s">
        <v>204</v>
      </c>
      <c r="C106" s="88">
        <f>SUM(C107:C115)</f>
        <v>151</v>
      </c>
      <c r="D106" s="88">
        <f t="shared" ref="D106:N106" si="131">SUM(D107:D115)</f>
        <v>375</v>
      </c>
      <c r="E106" s="88">
        <f t="shared" si="131"/>
        <v>279</v>
      </c>
      <c r="F106" s="88">
        <f t="shared" si="131"/>
        <v>226</v>
      </c>
      <c r="G106" s="88">
        <f t="shared" si="131"/>
        <v>272</v>
      </c>
      <c r="H106" s="88">
        <f t="shared" si="131"/>
        <v>245</v>
      </c>
      <c r="I106" s="88">
        <f t="shared" si="131"/>
        <v>226</v>
      </c>
      <c r="J106" s="88">
        <f t="shared" si="131"/>
        <v>0</v>
      </c>
      <c r="K106" s="88">
        <f t="shared" si="131"/>
        <v>322</v>
      </c>
      <c r="L106" s="88">
        <f t="shared" si="131"/>
        <v>235</v>
      </c>
      <c r="M106" s="88">
        <f t="shared" si="131"/>
        <v>548</v>
      </c>
      <c r="N106" s="88">
        <f t="shared" si="131"/>
        <v>263</v>
      </c>
      <c r="O106" s="248"/>
      <c r="P106" s="88">
        <f>SUM(C106:H106)</f>
        <v>1548</v>
      </c>
      <c r="Q106" s="89">
        <f>SUM(I106:N106)</f>
        <v>1594</v>
      </c>
      <c r="R106" s="89"/>
      <c r="S106" s="89"/>
      <c r="T106" s="89"/>
      <c r="U106" s="90">
        <f>SUM(C106:N106)</f>
        <v>3142</v>
      </c>
      <c r="V106" s="74"/>
      <c r="W106" s="89">
        <f>SUM(W107:W108)</f>
        <v>0</v>
      </c>
      <c r="X106" s="89">
        <f t="shared" ref="X106:AH106" si="132">SUM(X107:X108)</f>
        <v>0</v>
      </c>
      <c r="Y106" s="89">
        <f t="shared" si="132"/>
        <v>0</v>
      </c>
      <c r="Z106" s="89">
        <f t="shared" si="132"/>
        <v>0</v>
      </c>
      <c r="AA106" s="89">
        <f t="shared" si="132"/>
        <v>0</v>
      </c>
      <c r="AB106" s="89">
        <f t="shared" si="132"/>
        <v>0</v>
      </c>
      <c r="AC106" s="89">
        <f t="shared" si="132"/>
        <v>0</v>
      </c>
      <c r="AD106" s="89">
        <f t="shared" si="132"/>
        <v>0</v>
      </c>
      <c r="AE106" s="89">
        <f t="shared" si="132"/>
        <v>0</v>
      </c>
      <c r="AF106" s="89">
        <f t="shared" si="132"/>
        <v>0</v>
      </c>
      <c r="AG106" s="89">
        <f t="shared" si="132"/>
        <v>0</v>
      </c>
      <c r="AH106" s="89">
        <f t="shared" si="132"/>
        <v>0</v>
      </c>
      <c r="AI106" s="93"/>
      <c r="AJ106" s="61">
        <f>SUM(W106:AB106)</f>
        <v>0</v>
      </c>
      <c r="AK106" s="61">
        <f>SUM(AC106:AH106)</f>
        <v>0</v>
      </c>
      <c r="AL106" s="61">
        <f>SUM(W106:AH106)</f>
        <v>0</v>
      </c>
      <c r="AM106" s="61"/>
      <c r="AN106" s="61"/>
      <c r="AO106" s="61"/>
      <c r="AP106" s="61"/>
      <c r="AQ106" s="61"/>
      <c r="AR106" s="61"/>
      <c r="AS106" s="61"/>
      <c r="AT106" s="61"/>
      <c r="AU106" s="61"/>
    </row>
    <row r="107" spans="2:47" ht="15.75" hidden="1" customHeight="1">
      <c r="B107" s="79" t="s">
        <v>204</v>
      </c>
      <c r="C107" s="119">
        <v>23</v>
      </c>
      <c r="D107" s="119">
        <v>76</v>
      </c>
      <c r="E107" s="119">
        <v>35</v>
      </c>
      <c r="F107" s="119">
        <v>20</v>
      </c>
      <c r="G107" s="119">
        <v>46</v>
      </c>
      <c r="H107" s="119">
        <v>35</v>
      </c>
      <c r="I107" s="119">
        <v>40</v>
      </c>
      <c r="J107" s="119">
        <v>0</v>
      </c>
      <c r="K107" s="119">
        <v>58</v>
      </c>
      <c r="L107" s="119">
        <v>33</v>
      </c>
      <c r="M107" s="119">
        <v>61</v>
      </c>
      <c r="N107" s="119">
        <v>29</v>
      </c>
      <c r="O107" s="248"/>
      <c r="P107" s="91">
        <f>SUM(C107:H107)</f>
        <v>235</v>
      </c>
      <c r="Q107" s="92">
        <f>SUM(I107:N107)</f>
        <v>221</v>
      </c>
      <c r="R107" s="92"/>
      <c r="S107" s="92"/>
      <c r="T107" s="92"/>
      <c r="U107" s="94">
        <f>SUM(C107:N107)</f>
        <v>456</v>
      </c>
      <c r="V107" s="79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120"/>
      <c r="AJ107" s="61">
        <f>SUM(W107:AB107)</f>
        <v>0</v>
      </c>
      <c r="AK107" s="61">
        <f>SUM(AC107:AH107)</f>
        <v>0</v>
      </c>
      <c r="AL107" s="61">
        <f>SUM(W107:AH107)</f>
        <v>0</v>
      </c>
      <c r="AM107" s="61"/>
      <c r="AN107" s="61"/>
      <c r="AO107" s="61"/>
      <c r="AP107" s="61"/>
      <c r="AQ107" s="61"/>
      <c r="AR107" s="61"/>
      <c r="AS107" s="61"/>
      <c r="AT107" s="61"/>
      <c r="AU107" s="61"/>
    </row>
    <row r="108" spans="2:47" ht="15.75" hidden="1" customHeight="1">
      <c r="B108" s="79" t="s">
        <v>204</v>
      </c>
      <c r="C108" s="119">
        <v>19</v>
      </c>
      <c r="D108" s="119">
        <v>92</v>
      </c>
      <c r="E108" s="119">
        <v>27</v>
      </c>
      <c r="F108" s="119">
        <v>29</v>
      </c>
      <c r="G108" s="119">
        <v>32</v>
      </c>
      <c r="H108" s="119">
        <v>33</v>
      </c>
      <c r="I108" s="119">
        <v>33</v>
      </c>
      <c r="J108" s="119">
        <v>0</v>
      </c>
      <c r="K108" s="119">
        <v>27</v>
      </c>
      <c r="L108" s="119">
        <v>0</v>
      </c>
      <c r="M108" s="119">
        <v>52</v>
      </c>
      <c r="N108" s="119">
        <v>21</v>
      </c>
      <c r="O108" s="248"/>
      <c r="P108" s="91">
        <f>SUM(C108:H108)</f>
        <v>232</v>
      </c>
      <c r="Q108" s="92">
        <f>SUM(I108:N108)</f>
        <v>133</v>
      </c>
      <c r="R108" s="92"/>
      <c r="S108" s="92"/>
      <c r="T108" s="92"/>
      <c r="U108" s="94">
        <f>SUM(C108:N108)</f>
        <v>365</v>
      </c>
      <c r="V108" s="79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120"/>
      <c r="AJ108" s="61">
        <f>SUM(W108:AB108)</f>
        <v>0</v>
      </c>
      <c r="AK108" s="61">
        <f>SUM(AC108:AH108)</f>
        <v>0</v>
      </c>
      <c r="AL108" s="61">
        <f>SUM(W108:AH108)</f>
        <v>0</v>
      </c>
      <c r="AM108" s="61"/>
      <c r="AN108" s="61"/>
      <c r="AO108" s="61"/>
      <c r="AP108" s="61"/>
      <c r="AQ108" s="61"/>
      <c r="AR108" s="61"/>
      <c r="AS108" s="61"/>
      <c r="AT108" s="61"/>
      <c r="AU108" s="61"/>
    </row>
    <row r="109" spans="2:47" ht="15.75" hidden="1" customHeight="1">
      <c r="B109" s="79" t="s">
        <v>204</v>
      </c>
      <c r="C109" s="119">
        <v>15</v>
      </c>
      <c r="D109" s="119">
        <v>49</v>
      </c>
      <c r="E109" s="119">
        <v>20</v>
      </c>
      <c r="F109" s="119">
        <v>14</v>
      </c>
      <c r="G109" s="119">
        <v>33</v>
      </c>
      <c r="H109" s="119">
        <v>20</v>
      </c>
      <c r="I109" s="119">
        <v>39</v>
      </c>
      <c r="J109" s="119">
        <v>0</v>
      </c>
      <c r="K109" s="119">
        <v>34</v>
      </c>
      <c r="L109" s="119">
        <v>23</v>
      </c>
      <c r="M109" s="119">
        <v>53</v>
      </c>
      <c r="N109" s="119">
        <v>23</v>
      </c>
      <c r="O109" s="248"/>
      <c r="P109" s="91">
        <f t="shared" ref="P109:P114" si="133">SUM(C109:H109)</f>
        <v>151</v>
      </c>
      <c r="Q109" s="92">
        <f t="shared" ref="Q109:Q115" si="134">SUM(I109:N109)</f>
        <v>172</v>
      </c>
      <c r="R109" s="92"/>
      <c r="S109" s="92"/>
      <c r="T109" s="92"/>
      <c r="U109" s="94">
        <f t="shared" ref="U109:U115" si="135">SUM(C109:N109)</f>
        <v>323</v>
      </c>
      <c r="V109" s="79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120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</row>
    <row r="110" spans="2:47" ht="15.75" hidden="1" customHeight="1">
      <c r="B110" s="79" t="s">
        <v>204</v>
      </c>
      <c r="C110" s="119">
        <v>39</v>
      </c>
      <c r="D110" s="119">
        <v>91</v>
      </c>
      <c r="E110" s="119">
        <v>76</v>
      </c>
      <c r="F110" s="119">
        <v>46</v>
      </c>
      <c r="G110" s="119">
        <v>40</v>
      </c>
      <c r="H110" s="119">
        <v>34</v>
      </c>
      <c r="I110" s="119">
        <v>27</v>
      </c>
      <c r="J110" s="119">
        <v>0</v>
      </c>
      <c r="K110" s="119">
        <v>60</v>
      </c>
      <c r="L110" s="119">
        <v>60</v>
      </c>
      <c r="M110" s="119">
        <v>83</v>
      </c>
      <c r="N110" s="119">
        <v>45</v>
      </c>
      <c r="O110" s="248"/>
      <c r="P110" s="91">
        <f t="shared" si="133"/>
        <v>326</v>
      </c>
      <c r="Q110" s="92">
        <f t="shared" si="134"/>
        <v>275</v>
      </c>
      <c r="R110" s="92"/>
      <c r="S110" s="92"/>
      <c r="T110" s="92"/>
      <c r="U110" s="94">
        <f t="shared" si="135"/>
        <v>601</v>
      </c>
      <c r="V110" s="79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120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</row>
    <row r="111" spans="2:47" ht="15.75" hidden="1" customHeight="1">
      <c r="B111" s="79" t="s">
        <v>204</v>
      </c>
      <c r="C111" s="119">
        <v>29</v>
      </c>
      <c r="D111" s="119">
        <v>25</v>
      </c>
      <c r="E111" s="119">
        <v>44</v>
      </c>
      <c r="F111" s="119">
        <v>40</v>
      </c>
      <c r="G111" s="119">
        <v>48</v>
      </c>
      <c r="H111" s="119">
        <v>57</v>
      </c>
      <c r="I111" s="119">
        <v>38</v>
      </c>
      <c r="J111" s="119">
        <v>0</v>
      </c>
      <c r="K111" s="119">
        <v>75</v>
      </c>
      <c r="L111" s="119">
        <v>72</v>
      </c>
      <c r="M111" s="119">
        <v>167</v>
      </c>
      <c r="N111" s="119">
        <v>72</v>
      </c>
      <c r="O111" s="248"/>
      <c r="P111" s="91">
        <f t="shared" si="133"/>
        <v>243</v>
      </c>
      <c r="Q111" s="92">
        <f t="shared" si="134"/>
        <v>424</v>
      </c>
      <c r="R111" s="92"/>
      <c r="S111" s="92"/>
      <c r="T111" s="92"/>
      <c r="U111" s="94">
        <f t="shared" si="135"/>
        <v>667</v>
      </c>
      <c r="V111" s="79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120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</row>
    <row r="112" spans="2:47" ht="15.75" hidden="1" customHeight="1">
      <c r="B112" s="79" t="s">
        <v>204</v>
      </c>
      <c r="C112" s="119">
        <v>0</v>
      </c>
      <c r="D112" s="119">
        <v>21</v>
      </c>
      <c r="E112" s="119">
        <v>47</v>
      </c>
      <c r="F112" s="119">
        <v>43</v>
      </c>
      <c r="G112" s="119">
        <v>24</v>
      </c>
      <c r="H112" s="119">
        <v>17</v>
      </c>
      <c r="I112" s="119">
        <v>21</v>
      </c>
      <c r="J112" s="119">
        <v>0</v>
      </c>
      <c r="K112" s="119">
        <v>49</v>
      </c>
      <c r="L112" s="119">
        <v>37</v>
      </c>
      <c r="M112" s="119">
        <v>93</v>
      </c>
      <c r="N112" s="119">
        <v>56</v>
      </c>
      <c r="O112" s="248"/>
      <c r="P112" s="91">
        <f t="shared" si="133"/>
        <v>152</v>
      </c>
      <c r="Q112" s="92">
        <f t="shared" si="134"/>
        <v>256</v>
      </c>
      <c r="R112" s="92"/>
      <c r="S112" s="92"/>
      <c r="T112" s="92"/>
      <c r="U112" s="94">
        <f t="shared" si="135"/>
        <v>408</v>
      </c>
      <c r="V112" s="79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120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</row>
    <row r="113" spans="2:47" ht="15.75" hidden="1" customHeight="1">
      <c r="B113" s="79" t="s">
        <v>204</v>
      </c>
      <c r="C113" s="119">
        <v>0</v>
      </c>
      <c r="D113" s="119">
        <v>0</v>
      </c>
      <c r="E113" s="119">
        <v>0</v>
      </c>
      <c r="F113" s="119">
        <v>5</v>
      </c>
      <c r="G113" s="119">
        <v>13</v>
      </c>
      <c r="H113" s="119">
        <v>14</v>
      </c>
      <c r="I113" s="119">
        <v>8</v>
      </c>
      <c r="J113" s="119">
        <v>0</v>
      </c>
      <c r="K113" s="119">
        <v>14</v>
      </c>
      <c r="L113" s="119">
        <v>8</v>
      </c>
      <c r="M113" s="119">
        <v>20</v>
      </c>
      <c r="N113" s="119">
        <v>9</v>
      </c>
      <c r="O113" s="248"/>
      <c r="P113" s="91">
        <f t="shared" si="133"/>
        <v>32</v>
      </c>
      <c r="Q113" s="92">
        <f t="shared" si="134"/>
        <v>59</v>
      </c>
      <c r="R113" s="92"/>
      <c r="S113" s="92"/>
      <c r="T113" s="92"/>
      <c r="U113" s="94">
        <f t="shared" si="135"/>
        <v>91</v>
      </c>
      <c r="V113" s="79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120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</row>
    <row r="114" spans="2:47" ht="15.75" hidden="1" customHeight="1">
      <c r="B114" s="79" t="s">
        <v>204</v>
      </c>
      <c r="C114" s="119">
        <v>0</v>
      </c>
      <c r="D114" s="119">
        <v>0</v>
      </c>
      <c r="E114" s="119">
        <v>0</v>
      </c>
      <c r="F114" s="119">
        <v>8</v>
      </c>
      <c r="G114" s="119">
        <v>8</v>
      </c>
      <c r="H114" s="119">
        <v>1</v>
      </c>
      <c r="I114" s="119">
        <v>3</v>
      </c>
      <c r="J114" s="119">
        <v>0</v>
      </c>
      <c r="K114" s="119">
        <v>5</v>
      </c>
      <c r="L114" s="119">
        <v>2</v>
      </c>
      <c r="M114" s="119">
        <v>19</v>
      </c>
      <c r="N114" s="119">
        <v>8</v>
      </c>
      <c r="O114" s="248"/>
      <c r="P114" s="91">
        <f t="shared" si="133"/>
        <v>17</v>
      </c>
      <c r="Q114" s="92">
        <f t="shared" si="134"/>
        <v>37</v>
      </c>
      <c r="R114" s="92"/>
      <c r="S114" s="92"/>
      <c r="T114" s="92"/>
      <c r="U114" s="94">
        <f t="shared" si="135"/>
        <v>54</v>
      </c>
      <c r="V114" s="79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120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</row>
    <row r="115" spans="2:47" ht="15.75" hidden="1" customHeight="1">
      <c r="B115" s="79" t="s">
        <v>204</v>
      </c>
      <c r="C115" s="119">
        <v>26</v>
      </c>
      <c r="D115" s="119">
        <v>21</v>
      </c>
      <c r="E115" s="119">
        <v>30</v>
      </c>
      <c r="F115" s="119">
        <v>21</v>
      </c>
      <c r="G115" s="119">
        <v>28</v>
      </c>
      <c r="H115" s="119">
        <v>34</v>
      </c>
      <c r="I115" s="119">
        <v>17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248"/>
      <c r="P115" s="91">
        <f>SUM(C115:N115)</f>
        <v>177</v>
      </c>
      <c r="Q115" s="92">
        <f t="shared" si="134"/>
        <v>17</v>
      </c>
      <c r="R115" s="92"/>
      <c r="S115" s="92"/>
      <c r="T115" s="92"/>
      <c r="U115" s="94">
        <f t="shared" si="135"/>
        <v>177</v>
      </c>
      <c r="V115" s="79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120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</row>
    <row r="116" spans="2:47" ht="15.75" hidden="1" customHeight="1">
      <c r="B116" s="79" t="s">
        <v>204</v>
      </c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</row>
    <row r="117" spans="2:47" ht="15.6" hidden="1" customHeight="1">
      <c r="B117" s="79" t="s">
        <v>204</v>
      </c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</row>
    <row r="118" spans="2:47" ht="15.75" hidden="1" customHeight="1">
      <c r="B118" s="79" t="s">
        <v>204</v>
      </c>
      <c r="C118" s="97">
        <f t="shared" ref="C118:N118" si="136">C9/C106</f>
        <v>218.67549668874173</v>
      </c>
      <c r="D118" s="97">
        <f t="shared" si="136"/>
        <v>178.88800000000001</v>
      </c>
      <c r="E118" s="97">
        <f t="shared" si="136"/>
        <v>450.10035842293905</v>
      </c>
      <c r="F118" s="97">
        <f t="shared" si="136"/>
        <v>503.27433628318585</v>
      </c>
      <c r="G118" s="97">
        <f t="shared" si="136"/>
        <v>536.08823529411768</v>
      </c>
      <c r="H118" s="97">
        <f t="shared" si="136"/>
        <v>489.33877551020407</v>
      </c>
      <c r="I118" s="97">
        <f t="shared" si="136"/>
        <v>239.91150442477877</v>
      </c>
      <c r="J118" s="97" t="e">
        <f t="shared" si="136"/>
        <v>#DIV/0!</v>
      </c>
      <c r="K118" s="97">
        <f t="shared" si="136"/>
        <v>201.17701863354037</v>
      </c>
      <c r="L118" s="97">
        <f t="shared" si="136"/>
        <v>409.62978723404257</v>
      </c>
      <c r="M118" s="97">
        <f t="shared" si="136"/>
        <v>276.19890510948903</v>
      </c>
      <c r="N118" s="97">
        <f t="shared" si="136"/>
        <v>358.95057034220531</v>
      </c>
      <c r="O118" s="248"/>
      <c r="P118" s="75">
        <f t="shared" ref="P118:Q127" si="137">P9/P106</f>
        <v>390.90762273901811</v>
      </c>
      <c r="Q118" s="122">
        <f t="shared" si="137"/>
        <v>308.69447929736509</v>
      </c>
      <c r="R118" s="122"/>
      <c r="S118" s="122"/>
      <c r="T118" s="122"/>
      <c r="U118" s="78">
        <f t="shared" ref="U118:U127" si="138">U9/U106</f>
        <v>349.19923615531508</v>
      </c>
      <c r="V118" s="61"/>
      <c r="W118" s="89">
        <f>SUM(W119:W120)</f>
        <v>0</v>
      </c>
      <c r="X118" s="89">
        <f t="shared" ref="X118:AH118" si="139">SUM(X119:X120)</f>
        <v>0</v>
      </c>
      <c r="Y118" s="89">
        <f t="shared" si="139"/>
        <v>0</v>
      </c>
      <c r="Z118" s="89">
        <f t="shared" si="139"/>
        <v>0</v>
      </c>
      <c r="AA118" s="89">
        <f t="shared" si="139"/>
        <v>0</v>
      </c>
      <c r="AB118" s="89">
        <f t="shared" si="139"/>
        <v>0</v>
      </c>
      <c r="AC118" s="89">
        <f t="shared" si="139"/>
        <v>0</v>
      </c>
      <c r="AD118" s="89">
        <f t="shared" si="139"/>
        <v>0</v>
      </c>
      <c r="AE118" s="89">
        <f t="shared" si="139"/>
        <v>0</v>
      </c>
      <c r="AF118" s="89">
        <f t="shared" si="139"/>
        <v>0</v>
      </c>
      <c r="AG118" s="89">
        <f t="shared" si="139"/>
        <v>0</v>
      </c>
      <c r="AH118" s="89">
        <f t="shared" si="139"/>
        <v>0</v>
      </c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</row>
    <row r="119" spans="2:47" ht="15.75" hidden="1" customHeight="1">
      <c r="B119" s="79" t="s">
        <v>204</v>
      </c>
      <c r="C119" s="101">
        <f t="shared" ref="C119:N119" si="140">C10/C107</f>
        <v>184.52173913043478</v>
      </c>
      <c r="D119" s="101">
        <f t="shared" si="140"/>
        <v>116.90789473684211</v>
      </c>
      <c r="E119" s="101">
        <f t="shared" si="140"/>
        <v>476.14285714285717</v>
      </c>
      <c r="F119" s="101">
        <f t="shared" si="140"/>
        <v>737.3</v>
      </c>
      <c r="G119" s="101">
        <f t="shared" si="140"/>
        <v>441.54347826086956</v>
      </c>
      <c r="H119" s="101">
        <f t="shared" si="140"/>
        <v>459.97142857142859</v>
      </c>
      <c r="I119" s="101">
        <f t="shared" si="140"/>
        <v>178.375</v>
      </c>
      <c r="J119" s="101" t="e">
        <f t="shared" si="140"/>
        <v>#DIV/0!</v>
      </c>
      <c r="K119" s="101">
        <f t="shared" si="140"/>
        <v>127.48275862068965</v>
      </c>
      <c r="L119" s="101">
        <f t="shared" si="140"/>
        <v>332.969696969697</v>
      </c>
      <c r="M119" s="101">
        <f t="shared" si="140"/>
        <v>283.22950819672133</v>
      </c>
      <c r="N119" s="101">
        <f t="shared" si="140"/>
        <v>371.58620689655174</v>
      </c>
      <c r="O119" s="248"/>
      <c r="P119" s="80">
        <f t="shared" si="137"/>
        <v>344.468085106383</v>
      </c>
      <c r="Q119" s="81">
        <f t="shared" si="137"/>
        <v>258.42986425339365</v>
      </c>
      <c r="R119" s="81"/>
      <c r="S119" s="81"/>
      <c r="T119" s="81"/>
      <c r="U119" s="83">
        <f t="shared" si="138"/>
        <v>302.76973684210526</v>
      </c>
      <c r="V119" s="61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</row>
    <row r="120" spans="2:47" ht="15.75" hidden="1" customHeight="1">
      <c r="B120" s="79" t="s">
        <v>204</v>
      </c>
      <c r="C120" s="101">
        <f t="shared" ref="C120:N120" si="141">C11/C108</f>
        <v>177.84210526315789</v>
      </c>
      <c r="D120" s="101">
        <f t="shared" si="141"/>
        <v>76.902173913043484</v>
      </c>
      <c r="E120" s="101">
        <f t="shared" si="141"/>
        <v>491.44444444444446</v>
      </c>
      <c r="F120" s="101">
        <f t="shared" si="141"/>
        <v>404.86206896551727</v>
      </c>
      <c r="G120" s="101">
        <f t="shared" si="141"/>
        <v>505.375</v>
      </c>
      <c r="H120" s="101">
        <f t="shared" si="141"/>
        <v>388.42424242424244</v>
      </c>
      <c r="I120" s="101">
        <f t="shared" si="141"/>
        <v>172.15151515151516</v>
      </c>
      <c r="J120" s="101" t="e">
        <f t="shared" si="141"/>
        <v>#DIV/0!</v>
      </c>
      <c r="K120" s="101">
        <f t="shared" si="141"/>
        <v>218.03703703703704</v>
      </c>
      <c r="L120" s="101" t="e">
        <f t="shared" si="141"/>
        <v>#DIV/0!</v>
      </c>
      <c r="M120" s="101">
        <f t="shared" si="141"/>
        <v>264.51923076923077</v>
      </c>
      <c r="N120" s="101">
        <f t="shared" si="141"/>
        <v>408.57142857142856</v>
      </c>
      <c r="O120" s="248"/>
      <c r="P120" s="80">
        <f t="shared" si="137"/>
        <v>277.81896551724139</v>
      </c>
      <c r="Q120" s="81">
        <f t="shared" si="137"/>
        <v>341.89473684210526</v>
      </c>
      <c r="R120" s="81"/>
      <c r="S120" s="81"/>
      <c r="T120" s="81"/>
      <c r="U120" s="83">
        <f t="shared" si="138"/>
        <v>301.16712328767125</v>
      </c>
      <c r="V120" s="61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</row>
    <row r="121" spans="2:47" ht="15.75" hidden="1" customHeight="1">
      <c r="B121" s="79" t="s">
        <v>204</v>
      </c>
      <c r="C121" s="101">
        <f t="shared" ref="C121:N121" si="142">C12/C109</f>
        <v>159.13333333333333</v>
      </c>
      <c r="D121" s="101">
        <f t="shared" si="142"/>
        <v>102</v>
      </c>
      <c r="E121" s="101">
        <f t="shared" si="142"/>
        <v>468.7</v>
      </c>
      <c r="F121" s="101">
        <f t="shared" si="142"/>
        <v>592.5</v>
      </c>
      <c r="G121" s="101">
        <f t="shared" si="142"/>
        <v>43.18181818181818</v>
      </c>
      <c r="H121" s="101">
        <f t="shared" si="142"/>
        <v>452.8</v>
      </c>
      <c r="I121" s="101">
        <f t="shared" si="142"/>
        <v>102.8974358974359</v>
      </c>
      <c r="J121" s="101" t="e">
        <f t="shared" si="142"/>
        <v>#DIV/0!</v>
      </c>
      <c r="K121" s="101">
        <f t="shared" si="142"/>
        <v>122.32352941176471</v>
      </c>
      <c r="L121" s="101">
        <f t="shared" si="142"/>
        <v>268.73913043478262</v>
      </c>
      <c r="M121" s="101">
        <f t="shared" si="142"/>
        <v>183.35849056603774</v>
      </c>
      <c r="N121" s="101">
        <f t="shared" si="142"/>
        <v>263.52173913043481</v>
      </c>
      <c r="O121" s="61"/>
      <c r="P121" s="80">
        <f t="shared" si="137"/>
        <v>235.33112582781456</v>
      </c>
      <c r="Q121" s="81">
        <f t="shared" si="137"/>
        <v>186.77325581395348</v>
      </c>
      <c r="R121" s="81"/>
      <c r="S121" s="81"/>
      <c r="T121" s="81"/>
      <c r="U121" s="83">
        <f t="shared" si="138"/>
        <v>209.47368421052633</v>
      </c>
      <c r="V121" s="61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</row>
    <row r="122" spans="2:47" ht="15.75" hidden="1" customHeight="1">
      <c r="B122" s="79" t="s">
        <v>204</v>
      </c>
      <c r="C122" s="101">
        <f t="shared" ref="C122:N122" si="143">C13/C110</f>
        <v>330.61538461538464</v>
      </c>
      <c r="D122" s="101">
        <f t="shared" si="143"/>
        <v>189.91208791208791</v>
      </c>
      <c r="E122" s="101">
        <f t="shared" si="143"/>
        <v>382.4736842105263</v>
      </c>
      <c r="F122" s="101">
        <f t="shared" si="143"/>
        <v>456.41304347826087</v>
      </c>
      <c r="G122" s="101">
        <f t="shared" si="143"/>
        <v>801.7</v>
      </c>
      <c r="H122" s="101">
        <f t="shared" si="143"/>
        <v>656.20588235294122</v>
      </c>
      <c r="I122" s="101">
        <f t="shared" si="143"/>
        <v>437.55555555555554</v>
      </c>
      <c r="J122" s="101" t="e">
        <f t="shared" si="143"/>
        <v>#DIV/0!</v>
      </c>
      <c r="K122" s="101">
        <f t="shared" si="143"/>
        <v>204.06666666666666</v>
      </c>
      <c r="L122" s="101">
        <f t="shared" si="143"/>
        <v>303.25</v>
      </c>
      <c r="M122" s="101">
        <f t="shared" si="143"/>
        <v>344.67469879518075</v>
      </c>
      <c r="N122" s="101">
        <f t="shared" si="143"/>
        <v>396.51111111111112</v>
      </c>
      <c r="O122" s="61"/>
      <c r="P122" s="80">
        <f t="shared" si="137"/>
        <v>412.93865030674846</v>
      </c>
      <c r="Q122" s="81">
        <f t="shared" si="137"/>
        <v>343.89090909090908</v>
      </c>
      <c r="R122" s="81"/>
      <c r="S122" s="81"/>
      <c r="T122" s="81"/>
      <c r="U122" s="83">
        <f t="shared" si="138"/>
        <v>381.34442595673875</v>
      </c>
      <c r="V122" s="61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</row>
    <row r="123" spans="2:47" ht="15.75" hidden="1" customHeight="1">
      <c r="B123" s="79" t="s">
        <v>204</v>
      </c>
      <c r="C123" s="101">
        <f t="shared" ref="C123:N123" si="144">C14/C111</f>
        <v>207.31034482758622</v>
      </c>
      <c r="D123" s="101">
        <f t="shared" si="144"/>
        <v>509.88</v>
      </c>
      <c r="E123" s="101">
        <f t="shared" si="144"/>
        <v>480.11363636363637</v>
      </c>
      <c r="F123" s="101">
        <f t="shared" si="144"/>
        <v>399.15</v>
      </c>
      <c r="G123" s="101">
        <f t="shared" si="144"/>
        <v>509.0625</v>
      </c>
      <c r="H123" s="101">
        <f t="shared" si="144"/>
        <v>323.59649122807019</v>
      </c>
      <c r="I123" s="101">
        <f t="shared" si="144"/>
        <v>228.44736842105263</v>
      </c>
      <c r="J123" s="101" t="e">
        <f t="shared" si="144"/>
        <v>#DIV/0!</v>
      </c>
      <c r="K123" s="101">
        <f t="shared" si="144"/>
        <v>199.62666666666667</v>
      </c>
      <c r="L123" s="101">
        <f t="shared" si="144"/>
        <v>309</v>
      </c>
      <c r="M123" s="101">
        <f t="shared" si="144"/>
        <v>209.47305389221557</v>
      </c>
      <c r="N123" s="101">
        <f t="shared" si="144"/>
        <v>303.04166666666669</v>
      </c>
      <c r="O123" s="61"/>
      <c r="P123" s="80">
        <f t="shared" si="137"/>
        <v>406.2962962962963</v>
      </c>
      <c r="Q123" s="81">
        <f t="shared" si="137"/>
        <v>259.1391509433962</v>
      </c>
      <c r="R123" s="81"/>
      <c r="S123" s="81"/>
      <c r="T123" s="81"/>
      <c r="U123" s="83">
        <f t="shared" si="138"/>
        <v>312.75112443778113</v>
      </c>
      <c r="V123" s="61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</row>
    <row r="124" spans="2:47" ht="15.75" hidden="1" customHeight="1">
      <c r="B124" s="79" t="s">
        <v>204</v>
      </c>
      <c r="C124" s="101" t="e">
        <f t="shared" ref="C124:N124" si="145">C15/C112</f>
        <v>#DIV/0!</v>
      </c>
      <c r="D124" s="101">
        <f t="shared" si="145"/>
        <v>364.90476190476193</v>
      </c>
      <c r="E124" s="101">
        <f t="shared" si="145"/>
        <v>371.87234042553189</v>
      </c>
      <c r="F124" s="101">
        <f t="shared" si="145"/>
        <v>386.93023255813955</v>
      </c>
      <c r="G124" s="101">
        <f t="shared" si="145"/>
        <v>788.33333333333337</v>
      </c>
      <c r="H124" s="101">
        <f t="shared" si="145"/>
        <v>852.23529411764707</v>
      </c>
      <c r="I124" s="101">
        <f t="shared" si="145"/>
        <v>316.09523809523807</v>
      </c>
      <c r="J124" s="101" t="e">
        <f t="shared" si="145"/>
        <v>#DIV/0!</v>
      </c>
      <c r="K124" s="101">
        <f t="shared" si="145"/>
        <v>315.65306122448982</v>
      </c>
      <c r="L124" s="101">
        <f t="shared" si="145"/>
        <v>621.21621621621625</v>
      </c>
      <c r="M124" s="101">
        <f t="shared" si="145"/>
        <v>388.60215053763443</v>
      </c>
      <c r="N124" s="101">
        <f t="shared" si="145"/>
        <v>402.51785714285717</v>
      </c>
      <c r="O124" s="61"/>
      <c r="P124" s="80">
        <f t="shared" si="137"/>
        <v>494.6513157894737</v>
      </c>
      <c r="Q124" s="81">
        <f t="shared" si="137"/>
        <v>434.30078125</v>
      </c>
      <c r="R124" s="81"/>
      <c r="S124" s="81"/>
      <c r="T124" s="81"/>
      <c r="U124" s="83">
        <f t="shared" si="138"/>
        <v>456.78431372549022</v>
      </c>
      <c r="V124" s="61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</row>
    <row r="125" spans="2:47" ht="15.75" hidden="1" customHeight="1">
      <c r="B125" s="79" t="s">
        <v>204</v>
      </c>
      <c r="C125" s="101" t="e">
        <f t="shared" ref="C125:N125" si="146">C16/C113</f>
        <v>#DIV/0!</v>
      </c>
      <c r="D125" s="101" t="e">
        <f t="shared" si="146"/>
        <v>#DIV/0!</v>
      </c>
      <c r="E125" s="101" t="e">
        <f t="shared" si="146"/>
        <v>#DIV/0!</v>
      </c>
      <c r="F125" s="101">
        <f t="shared" si="146"/>
        <v>1637</v>
      </c>
      <c r="G125" s="101">
        <f t="shared" si="146"/>
        <v>867.23076923076928</v>
      </c>
      <c r="H125" s="101">
        <f t="shared" si="146"/>
        <v>638.28571428571433</v>
      </c>
      <c r="I125" s="101">
        <f t="shared" si="146"/>
        <v>320.125</v>
      </c>
      <c r="J125" s="101" t="e">
        <f t="shared" si="146"/>
        <v>#DIV/0!</v>
      </c>
      <c r="K125" s="101">
        <f t="shared" si="146"/>
        <v>189.57142857142858</v>
      </c>
      <c r="L125" s="101">
        <f t="shared" si="146"/>
        <v>492.875</v>
      </c>
      <c r="M125" s="101">
        <f t="shared" si="146"/>
        <v>310</v>
      </c>
      <c r="N125" s="101">
        <f t="shared" si="146"/>
        <v>429.66666666666669</v>
      </c>
      <c r="O125" s="61"/>
      <c r="P125" s="80">
        <f t="shared" si="137"/>
        <v>887.34375</v>
      </c>
      <c r="Q125" s="81">
        <f t="shared" si="137"/>
        <v>347.38983050847457</v>
      </c>
      <c r="R125" s="81"/>
      <c r="S125" s="81"/>
      <c r="T125" s="81"/>
      <c r="U125" s="83">
        <f t="shared" si="138"/>
        <v>537.26373626373629</v>
      </c>
      <c r="V125" s="61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</row>
    <row r="126" spans="2:47" ht="15.75" hidden="1" customHeight="1">
      <c r="B126" s="79" t="s">
        <v>204</v>
      </c>
      <c r="C126" s="101" t="e">
        <f t="shared" ref="C126:N126" si="147">C17/C114</f>
        <v>#DIV/0!</v>
      </c>
      <c r="D126" s="101" t="e">
        <f t="shared" si="147"/>
        <v>#DIV/0!</v>
      </c>
      <c r="E126" s="101" t="e">
        <f t="shared" si="147"/>
        <v>#DIV/0!</v>
      </c>
      <c r="F126" s="101">
        <f t="shared" si="147"/>
        <v>771.875</v>
      </c>
      <c r="G126" s="101">
        <f t="shared" si="147"/>
        <v>1063.125</v>
      </c>
      <c r="H126" s="101">
        <f t="shared" si="147"/>
        <v>6741</v>
      </c>
      <c r="I126" s="101">
        <f t="shared" si="147"/>
        <v>644</v>
      </c>
      <c r="J126" s="101" t="e">
        <f t="shared" si="147"/>
        <v>#DIV/0!</v>
      </c>
      <c r="K126" s="101">
        <f t="shared" si="147"/>
        <v>400.4</v>
      </c>
      <c r="L126" s="101">
        <f t="shared" si="147"/>
        <v>1487.5</v>
      </c>
      <c r="M126" s="101">
        <f t="shared" si="147"/>
        <v>246.15789473684211</v>
      </c>
      <c r="N126" s="101">
        <f t="shared" si="147"/>
        <v>364.625</v>
      </c>
      <c r="O126" s="61"/>
      <c r="P126" s="80">
        <f t="shared" si="137"/>
        <v>1260.0588235294117</v>
      </c>
      <c r="Q126" s="81">
        <f t="shared" si="137"/>
        <v>417.89189189189187</v>
      </c>
      <c r="R126" s="81"/>
      <c r="S126" s="81"/>
      <c r="T126" s="81"/>
      <c r="U126" s="83">
        <f t="shared" si="138"/>
        <v>683.01851851851848</v>
      </c>
      <c r="V126" s="61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</row>
    <row r="127" spans="2:47" ht="15.75" hidden="1" customHeight="1">
      <c r="B127" s="79" t="s">
        <v>204</v>
      </c>
      <c r="C127" s="101">
        <f t="shared" ref="C127:N127" si="148">C18/C115</f>
        <v>157.84615384615384</v>
      </c>
      <c r="D127" s="101">
        <f t="shared" si="148"/>
        <v>401.57142857142856</v>
      </c>
      <c r="E127" s="101">
        <f t="shared" si="148"/>
        <v>619.9666666666667</v>
      </c>
      <c r="F127" s="101">
        <f t="shared" si="148"/>
        <v>523.76190476190482</v>
      </c>
      <c r="G127" s="101">
        <f t="shared" si="148"/>
        <v>453.78571428571428</v>
      </c>
      <c r="H127" s="101">
        <f t="shared" si="148"/>
        <v>323.35294117647061</v>
      </c>
      <c r="I127" s="101">
        <f t="shared" si="148"/>
        <v>339.11764705882354</v>
      </c>
      <c r="J127" s="101" t="e">
        <f t="shared" si="148"/>
        <v>#DIV/0!</v>
      </c>
      <c r="K127" s="101" t="e">
        <f t="shared" si="148"/>
        <v>#DIV/0!</v>
      </c>
      <c r="L127" s="101" t="e">
        <f t="shared" si="148"/>
        <v>#DIV/0!</v>
      </c>
      <c r="M127" s="101" t="e">
        <f t="shared" si="148"/>
        <v>#DIV/0!</v>
      </c>
      <c r="N127" s="101" t="e">
        <f t="shared" si="148"/>
        <v>#DIV/0!</v>
      </c>
      <c r="O127" s="61"/>
      <c r="P127" s="80">
        <f t="shared" si="137"/>
        <v>404.51977401129943</v>
      </c>
      <c r="Q127" s="81">
        <f t="shared" si="137"/>
        <v>339.11764705882354</v>
      </c>
      <c r="R127" s="81"/>
      <c r="S127" s="81"/>
      <c r="T127" s="81"/>
      <c r="U127" s="83">
        <f t="shared" si="138"/>
        <v>404.51977401129943</v>
      </c>
      <c r="V127" s="61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</row>
    <row r="128" spans="2:47" s="261" customFormat="1" ht="15.75" hidden="1" customHeight="1">
      <c r="B128" s="79" t="s">
        <v>204</v>
      </c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7"/>
      <c r="P128" s="258"/>
      <c r="Q128" s="259"/>
      <c r="R128" s="259"/>
      <c r="S128" s="259"/>
      <c r="T128" s="259"/>
      <c r="U128" s="260"/>
      <c r="V128" s="257"/>
      <c r="W128" s="257"/>
      <c r="X128" s="257"/>
      <c r="Y128" s="257"/>
      <c r="Z128" s="257"/>
      <c r="AA128" s="257"/>
      <c r="AB128" s="257"/>
      <c r="AC128" s="257"/>
      <c r="AD128" s="257"/>
      <c r="AE128" s="257"/>
      <c r="AF128" s="257"/>
      <c r="AG128" s="257"/>
      <c r="AH128" s="257"/>
      <c r="AI128" s="257"/>
      <c r="AJ128" s="61"/>
      <c r="AK128" s="61"/>
      <c r="AL128" s="61"/>
      <c r="AM128" s="61"/>
      <c r="AN128" s="257"/>
      <c r="AO128" s="257"/>
      <c r="AP128" s="257"/>
      <c r="AQ128" s="257"/>
      <c r="AR128" s="257"/>
      <c r="AS128" s="257"/>
      <c r="AT128" s="257"/>
      <c r="AU128" s="257"/>
    </row>
    <row r="129" spans="2:47" s="261" customFormat="1" ht="15.75" hidden="1" customHeight="1">
      <c r="B129" s="79" t="s">
        <v>204</v>
      </c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7"/>
      <c r="P129" s="258"/>
      <c r="Q129" s="259"/>
      <c r="R129" s="259"/>
      <c r="S129" s="259"/>
      <c r="T129" s="259"/>
      <c r="U129" s="260"/>
      <c r="V129" s="257"/>
      <c r="W129" s="257"/>
      <c r="X129" s="257"/>
      <c r="Y129" s="257"/>
      <c r="Z129" s="257"/>
      <c r="AA129" s="257"/>
      <c r="AB129" s="257"/>
      <c r="AC129" s="257"/>
      <c r="AD129" s="257"/>
      <c r="AE129" s="257"/>
      <c r="AF129" s="257"/>
      <c r="AG129" s="257"/>
      <c r="AH129" s="257"/>
      <c r="AI129" s="257"/>
      <c r="AJ129" s="61"/>
      <c r="AK129" s="61"/>
      <c r="AL129" s="61"/>
      <c r="AM129" s="61"/>
      <c r="AN129" s="257"/>
      <c r="AO129" s="257"/>
      <c r="AP129" s="257"/>
      <c r="AQ129" s="257"/>
      <c r="AR129" s="257"/>
      <c r="AS129" s="257"/>
      <c r="AT129" s="257"/>
      <c r="AU129" s="257"/>
    </row>
    <row r="130" spans="2:47" ht="15.75" hidden="1" customHeight="1">
      <c r="B130" s="79" t="s">
        <v>204</v>
      </c>
      <c r="C130" s="106">
        <f t="shared" ref="C130:N139" si="149">C142/C106</f>
        <v>0.25165562913907286</v>
      </c>
      <c r="D130" s="106">
        <f t="shared" si="149"/>
        <v>0.18133333333333335</v>
      </c>
      <c r="E130" s="106">
        <f t="shared" si="149"/>
        <v>0.25089605734767023</v>
      </c>
      <c r="F130" s="106">
        <f t="shared" si="149"/>
        <v>0.25663716814159293</v>
      </c>
      <c r="G130" s="106">
        <f t="shared" si="149"/>
        <v>0.24264705882352941</v>
      </c>
      <c r="H130" s="106">
        <f t="shared" si="149"/>
        <v>0.24897959183673468</v>
      </c>
      <c r="I130" s="106">
        <f t="shared" si="149"/>
        <v>0.3584070796460177</v>
      </c>
      <c r="J130" s="106" t="e">
        <f t="shared" si="149"/>
        <v>#DIV/0!</v>
      </c>
      <c r="K130" s="106">
        <f t="shared" si="149"/>
        <v>0.32298136645962733</v>
      </c>
      <c r="L130" s="106">
        <f t="shared" si="149"/>
        <v>0.2978723404255319</v>
      </c>
      <c r="M130" s="106">
        <f t="shared" si="149"/>
        <v>0.34306569343065696</v>
      </c>
      <c r="N130" s="106">
        <f t="shared" si="149"/>
        <v>0.36501901140684412</v>
      </c>
      <c r="O130" s="248"/>
      <c r="P130" s="109">
        <f t="shared" ref="P130:U138" si="150">P142/P106</f>
        <v>0.23320413436692505</v>
      </c>
      <c r="Q130" s="107">
        <f t="shared" si="150"/>
        <v>0.33814303638644916</v>
      </c>
      <c r="R130" s="107"/>
      <c r="S130" s="107"/>
      <c r="T130" s="107"/>
      <c r="U130" s="110">
        <f t="shared" si="150"/>
        <v>0.28644175684277529</v>
      </c>
      <c r="V130" s="74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8"/>
      <c r="AJ130" s="61" t="e">
        <f t="shared" ref="AJ130:AL132" si="151">AJ142/AJ106</f>
        <v>#DIV/0!</v>
      </c>
      <c r="AK130" s="61" t="e">
        <f t="shared" si="151"/>
        <v>#DIV/0!</v>
      </c>
      <c r="AL130" s="61" t="e">
        <f t="shared" si="151"/>
        <v>#DIV/0!</v>
      </c>
      <c r="AM130" s="61"/>
      <c r="AN130" s="61"/>
      <c r="AO130" s="61"/>
      <c r="AP130" s="61"/>
      <c r="AQ130" s="61"/>
      <c r="AR130" s="61"/>
      <c r="AS130" s="61"/>
      <c r="AT130" s="61"/>
      <c r="AU130" s="61"/>
    </row>
    <row r="131" spans="2:47" ht="15.75" hidden="1" customHeight="1">
      <c r="B131" s="79" t="s">
        <v>204</v>
      </c>
      <c r="C131" s="111">
        <f t="shared" si="149"/>
        <v>0.30434782608695654</v>
      </c>
      <c r="D131" s="111">
        <f t="shared" si="149"/>
        <v>0.17105263157894737</v>
      </c>
      <c r="E131" s="111">
        <f t="shared" si="149"/>
        <v>0.2857142857142857</v>
      </c>
      <c r="F131" s="111">
        <f t="shared" si="149"/>
        <v>0.3</v>
      </c>
      <c r="G131" s="111">
        <f t="shared" si="149"/>
        <v>0.2608695652173913</v>
      </c>
      <c r="H131" s="111">
        <f t="shared" si="149"/>
        <v>0.22857142857142856</v>
      </c>
      <c r="I131" s="111">
        <f t="shared" si="149"/>
        <v>0.25</v>
      </c>
      <c r="J131" s="111" t="e">
        <f t="shared" si="149"/>
        <v>#DIV/0!</v>
      </c>
      <c r="K131" s="111">
        <f t="shared" si="149"/>
        <v>0.32758620689655171</v>
      </c>
      <c r="L131" s="111">
        <f t="shared" si="149"/>
        <v>0.30303030303030304</v>
      </c>
      <c r="M131" s="111">
        <f t="shared" si="149"/>
        <v>0.32786885245901637</v>
      </c>
      <c r="N131" s="111">
        <f t="shared" si="149"/>
        <v>0.41379310344827586</v>
      </c>
      <c r="O131" s="248"/>
      <c r="P131" s="114">
        <f t="shared" si="150"/>
        <v>0.23829787234042554</v>
      </c>
      <c r="Q131" s="112">
        <f t="shared" si="150"/>
        <v>0.32126696832579188</v>
      </c>
      <c r="R131" s="112"/>
      <c r="S131" s="112"/>
      <c r="T131" s="112"/>
      <c r="U131" s="115">
        <f t="shared" si="150"/>
        <v>0.27850877192982454</v>
      </c>
      <c r="V131" s="79"/>
      <c r="W131" s="112">
        <f>'[4]MK Digital-Elims-2023'!U90</f>
        <v>0</v>
      </c>
      <c r="X131" s="112">
        <f>'[4]MK Digital-Elims-2023'!V90</f>
        <v>0</v>
      </c>
      <c r="Y131" s="112">
        <f>'[4]MK Digital-Elims-2023'!W90</f>
        <v>0</v>
      </c>
      <c r="Z131" s="112">
        <f>'[4]MK Digital-Elims-2023'!X90</f>
        <v>0</v>
      </c>
      <c r="AA131" s="112">
        <f>'[4]MK Digital-Elims-2023'!Y90</f>
        <v>0</v>
      </c>
      <c r="AB131" s="112">
        <f>'[4]MK Digital-Elims-2023'!Z90</f>
        <v>0</v>
      </c>
      <c r="AC131" s="112">
        <f>'[4]MK Digital-Elims-2023'!AA90</f>
        <v>0</v>
      </c>
      <c r="AD131" s="112">
        <f>'[4]MK Digital-Elims-2023'!AB90</f>
        <v>0</v>
      </c>
      <c r="AE131" s="112">
        <f>'[4]MK Digital-Elims-2023'!AC90</f>
        <v>0</v>
      </c>
      <c r="AF131" s="112">
        <f>'[4]MK Digital-Elims-2023'!AD90</f>
        <v>0</v>
      </c>
      <c r="AG131" s="112">
        <f>'[4]MK Digital-Elims-2023'!AE90</f>
        <v>0</v>
      </c>
      <c r="AH131" s="112">
        <f>'[4]MK Digital-Elims-2023'!AF90</f>
        <v>0</v>
      </c>
      <c r="AI131" s="113"/>
      <c r="AJ131" s="61" t="e">
        <f t="shared" si="151"/>
        <v>#DIV/0!</v>
      </c>
      <c r="AK131" s="61" t="e">
        <f t="shared" si="151"/>
        <v>#DIV/0!</v>
      </c>
      <c r="AL131" s="61" t="e">
        <f t="shared" si="151"/>
        <v>#DIV/0!</v>
      </c>
      <c r="AM131" s="61"/>
      <c r="AN131" s="61"/>
      <c r="AO131" s="61"/>
      <c r="AP131" s="61"/>
      <c r="AQ131" s="61"/>
      <c r="AR131" s="61"/>
      <c r="AS131" s="61"/>
      <c r="AT131" s="61"/>
      <c r="AU131" s="61"/>
    </row>
    <row r="132" spans="2:47" ht="15.75" hidden="1" customHeight="1">
      <c r="B132" s="79" t="s">
        <v>204</v>
      </c>
      <c r="C132" s="111">
        <f t="shared" si="149"/>
        <v>0.31578947368421051</v>
      </c>
      <c r="D132" s="111">
        <f t="shared" si="149"/>
        <v>0.16304347826086957</v>
      </c>
      <c r="E132" s="111">
        <f t="shared" si="149"/>
        <v>0.22222222222222221</v>
      </c>
      <c r="F132" s="111">
        <f t="shared" si="149"/>
        <v>0.31034482758620691</v>
      </c>
      <c r="G132" s="111">
        <f t="shared" si="149"/>
        <v>0.21875</v>
      </c>
      <c r="H132" s="111">
        <f t="shared" si="149"/>
        <v>0.30303030303030304</v>
      </c>
      <c r="I132" s="111">
        <f t="shared" si="149"/>
        <v>0.42424242424242425</v>
      </c>
      <c r="J132" s="111" t="e">
        <f t="shared" si="149"/>
        <v>#DIV/0!</v>
      </c>
      <c r="K132" s="111">
        <f t="shared" si="149"/>
        <v>0.25925925925925924</v>
      </c>
      <c r="L132" s="111" t="e">
        <f t="shared" si="149"/>
        <v>#DIV/0!</v>
      </c>
      <c r="M132" s="111">
        <f t="shared" si="149"/>
        <v>0.23076923076923078</v>
      </c>
      <c r="N132" s="111">
        <f t="shared" si="149"/>
        <v>0.61904761904761907</v>
      </c>
      <c r="O132" s="248"/>
      <c r="P132" s="114">
        <f t="shared" si="150"/>
        <v>0.22844827586206898</v>
      </c>
      <c r="Q132" s="112">
        <f t="shared" si="150"/>
        <v>0.34586466165413532</v>
      </c>
      <c r="R132" s="112"/>
      <c r="S132" s="112"/>
      <c r="T132" s="112"/>
      <c r="U132" s="115">
        <f t="shared" si="150"/>
        <v>0.27123287671232876</v>
      </c>
      <c r="V132" s="79"/>
      <c r="W132" s="116">
        <f>'[4]MK Digital-CEL-2023'!U92</f>
        <v>0</v>
      </c>
      <c r="X132" s="116">
        <f>'[4]MK Digital-CEL-2023'!V92</f>
        <v>0</v>
      </c>
      <c r="Y132" s="116">
        <f>'[4]MK Digital-CEL-2023'!W92</f>
        <v>0</v>
      </c>
      <c r="Z132" s="116">
        <f>'[4]MK Digital-CEL-2023'!X92</f>
        <v>0</v>
      </c>
      <c r="AA132" s="116">
        <f>'[4]MK Digital-CEL-2023'!Y92</f>
        <v>0</v>
      </c>
      <c r="AB132" s="116">
        <f>'[4]MK Digital-CEL-2023'!Z92</f>
        <v>0</v>
      </c>
      <c r="AC132" s="116">
        <f>'[4]MK Digital-CEL-2023'!AA92</f>
        <v>0</v>
      </c>
      <c r="AD132" s="116">
        <f>'[4]MK Digital-CEL-2023'!AB92</f>
        <v>0</v>
      </c>
      <c r="AE132" s="116">
        <f>'[4]MK Digital-CEL-2023'!AC92</f>
        <v>0</v>
      </c>
      <c r="AF132" s="116">
        <f>'[4]MK Digital-CEL-2023'!AD92</f>
        <v>0</v>
      </c>
      <c r="AG132" s="116">
        <f>'[4]MK Digital-CEL-2023'!AE92</f>
        <v>0</v>
      </c>
      <c r="AH132" s="116">
        <f>'[4]MK Digital-CEL-2023'!AF92</f>
        <v>0</v>
      </c>
      <c r="AI132" s="117"/>
      <c r="AJ132" s="61" t="e">
        <f t="shared" si="151"/>
        <v>#DIV/0!</v>
      </c>
      <c r="AK132" s="61" t="e">
        <f t="shared" si="151"/>
        <v>#DIV/0!</v>
      </c>
      <c r="AL132" s="61" t="e">
        <f t="shared" si="151"/>
        <v>#DIV/0!</v>
      </c>
      <c r="AM132" s="61"/>
      <c r="AN132" s="61"/>
      <c r="AO132" s="61"/>
      <c r="AP132" s="61"/>
      <c r="AQ132" s="61"/>
      <c r="AR132" s="61"/>
      <c r="AS132" s="61"/>
      <c r="AT132" s="61"/>
      <c r="AU132" s="61"/>
    </row>
    <row r="133" spans="2:47" ht="15.75" hidden="1" customHeight="1">
      <c r="B133" s="79" t="s">
        <v>204</v>
      </c>
      <c r="C133" s="111">
        <f t="shared" si="149"/>
        <v>0.2</v>
      </c>
      <c r="D133" s="111">
        <f t="shared" si="149"/>
        <v>0.30612244897959184</v>
      </c>
      <c r="E133" s="111">
        <f t="shared" si="149"/>
        <v>0.35</v>
      </c>
      <c r="F133" s="111">
        <f t="shared" si="149"/>
        <v>0.42857142857142855</v>
      </c>
      <c r="G133" s="111">
        <f t="shared" si="149"/>
        <v>0.21212121212121213</v>
      </c>
      <c r="H133" s="111">
        <f t="shared" si="149"/>
        <v>0.35</v>
      </c>
      <c r="I133" s="111">
        <f t="shared" si="149"/>
        <v>0.25641025641025639</v>
      </c>
      <c r="J133" s="111" t="e">
        <f t="shared" si="149"/>
        <v>#DIV/0!</v>
      </c>
      <c r="K133" s="111">
        <f t="shared" si="149"/>
        <v>0.35294117647058826</v>
      </c>
      <c r="L133" s="111">
        <f t="shared" si="149"/>
        <v>0.60869565217391308</v>
      </c>
      <c r="M133" s="111">
        <f t="shared" si="149"/>
        <v>0.54716981132075471</v>
      </c>
      <c r="N133" s="111">
        <f t="shared" si="149"/>
        <v>0.52173913043478259</v>
      </c>
      <c r="O133" s="248"/>
      <c r="P133" s="114">
        <f t="shared" si="150"/>
        <v>0.29801324503311261</v>
      </c>
      <c r="Q133" s="112">
        <f t="shared" si="150"/>
        <v>0.44767441860465118</v>
      </c>
      <c r="R133" s="112"/>
      <c r="S133" s="112"/>
      <c r="T133" s="112"/>
      <c r="U133" s="115">
        <f t="shared" si="150"/>
        <v>0.37770897832817335</v>
      </c>
      <c r="V133" s="79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7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</row>
    <row r="134" spans="2:47" ht="15.75" hidden="1" customHeight="1">
      <c r="B134" s="79" t="s">
        <v>204</v>
      </c>
      <c r="C134" s="111">
        <f t="shared" si="149"/>
        <v>0.41025641025641024</v>
      </c>
      <c r="D134" s="111">
        <f t="shared" si="149"/>
        <v>5.4945054945054944E-2</v>
      </c>
      <c r="E134" s="111">
        <f t="shared" si="149"/>
        <v>0.26315789473684209</v>
      </c>
      <c r="F134" s="111">
        <f t="shared" si="149"/>
        <v>0.2608695652173913</v>
      </c>
      <c r="G134" s="111">
        <f t="shared" si="149"/>
        <v>0.27500000000000002</v>
      </c>
      <c r="H134" s="111">
        <f t="shared" si="149"/>
        <v>0.29411764705882354</v>
      </c>
      <c r="I134" s="111">
        <f t="shared" si="149"/>
        <v>0.29629629629629628</v>
      </c>
      <c r="J134" s="111" t="e">
        <f t="shared" si="149"/>
        <v>#DIV/0!</v>
      </c>
      <c r="K134" s="111">
        <f t="shared" si="149"/>
        <v>0.28333333333333333</v>
      </c>
      <c r="L134" s="111">
        <f t="shared" si="149"/>
        <v>0.15</v>
      </c>
      <c r="M134" s="111">
        <f t="shared" si="149"/>
        <v>0.33734939759036142</v>
      </c>
      <c r="N134" s="111">
        <f t="shared" si="149"/>
        <v>0.28888888888888886</v>
      </c>
      <c r="O134" s="248"/>
      <c r="P134" s="114">
        <f t="shared" si="150"/>
        <v>0.22699386503067484</v>
      </c>
      <c r="Q134" s="112">
        <f t="shared" si="150"/>
        <v>0.27272727272727271</v>
      </c>
      <c r="R134" s="112"/>
      <c r="S134" s="112"/>
      <c r="T134" s="112"/>
      <c r="U134" s="115">
        <f t="shared" si="150"/>
        <v>0.24792013311148087</v>
      </c>
      <c r="V134" s="79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7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</row>
    <row r="135" spans="2:47" ht="15.75" hidden="1" customHeight="1">
      <c r="B135" s="79" t="s">
        <v>204</v>
      </c>
      <c r="C135" s="111">
        <f t="shared" si="149"/>
        <v>0.10344827586206896</v>
      </c>
      <c r="D135" s="111">
        <f t="shared" si="149"/>
        <v>0.24</v>
      </c>
      <c r="E135" s="111">
        <f t="shared" si="149"/>
        <v>0.29545454545454547</v>
      </c>
      <c r="F135" s="111">
        <f t="shared" si="149"/>
        <v>0.25</v>
      </c>
      <c r="G135" s="111">
        <f t="shared" si="149"/>
        <v>0.33333333333333331</v>
      </c>
      <c r="H135" s="111">
        <f t="shared" si="149"/>
        <v>0.17543859649122806</v>
      </c>
      <c r="I135" s="111">
        <f t="shared" si="149"/>
        <v>0.26315789473684209</v>
      </c>
      <c r="J135" s="111" t="e">
        <f t="shared" si="149"/>
        <v>#DIV/0!</v>
      </c>
      <c r="K135" s="111">
        <f t="shared" si="149"/>
        <v>0.36</v>
      </c>
      <c r="L135" s="111">
        <f t="shared" si="149"/>
        <v>0.29166666666666669</v>
      </c>
      <c r="M135" s="111">
        <f t="shared" si="149"/>
        <v>0.32934131736526945</v>
      </c>
      <c r="N135" s="111">
        <f t="shared" si="149"/>
        <v>0.31944444444444442</v>
      </c>
      <c r="O135" s="248"/>
      <c r="P135" s="114">
        <f t="shared" si="150"/>
        <v>0.23868312757201646</v>
      </c>
      <c r="Q135" s="112">
        <f t="shared" si="150"/>
        <v>0.32075471698113206</v>
      </c>
      <c r="R135" s="112"/>
      <c r="S135" s="112"/>
      <c r="T135" s="112"/>
      <c r="U135" s="115">
        <f t="shared" si="150"/>
        <v>0.29085457271364318</v>
      </c>
      <c r="V135" s="79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7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</row>
    <row r="136" spans="2:47" ht="15.75" hidden="1" customHeight="1">
      <c r="B136" s="79" t="s">
        <v>204</v>
      </c>
      <c r="C136" s="111" t="e">
        <f t="shared" si="149"/>
        <v>#DIV/0!</v>
      </c>
      <c r="D136" s="111">
        <f t="shared" si="149"/>
        <v>0.14285714285714285</v>
      </c>
      <c r="E136" s="111">
        <f t="shared" si="149"/>
        <v>0.1702127659574468</v>
      </c>
      <c r="F136" s="111">
        <f t="shared" si="149"/>
        <v>0.13953488372093023</v>
      </c>
      <c r="G136" s="111">
        <f t="shared" si="149"/>
        <v>0.20833333333333334</v>
      </c>
      <c r="H136" s="111">
        <f t="shared" si="149"/>
        <v>5.8823529411764705E-2</v>
      </c>
      <c r="I136" s="111">
        <f t="shared" si="149"/>
        <v>0.7142857142857143</v>
      </c>
      <c r="J136" s="111" t="e">
        <f t="shared" si="149"/>
        <v>#DIV/0!</v>
      </c>
      <c r="K136" s="111">
        <f t="shared" si="149"/>
        <v>0.30612244897959184</v>
      </c>
      <c r="L136" s="111">
        <f t="shared" si="149"/>
        <v>0.29729729729729731</v>
      </c>
      <c r="M136" s="111">
        <f t="shared" si="149"/>
        <v>0.26881720430107525</v>
      </c>
      <c r="N136" s="111">
        <f t="shared" si="149"/>
        <v>0.26785714285714285</v>
      </c>
      <c r="O136" s="248"/>
      <c r="P136" s="114">
        <f t="shared" si="150"/>
        <v>0.15131578947368421</v>
      </c>
      <c r="Q136" s="112">
        <f t="shared" si="150"/>
        <v>0.31640625</v>
      </c>
      <c r="R136" s="112"/>
      <c r="S136" s="112"/>
      <c r="T136" s="112"/>
      <c r="U136" s="115">
        <f t="shared" si="150"/>
        <v>0.25490196078431371</v>
      </c>
      <c r="V136" s="79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7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</row>
    <row r="137" spans="2:47" ht="15.75" hidden="1" customHeight="1">
      <c r="B137" s="79" t="s">
        <v>204</v>
      </c>
      <c r="C137" s="111" t="e">
        <f t="shared" si="149"/>
        <v>#DIV/0!</v>
      </c>
      <c r="D137" s="111" t="e">
        <f t="shared" si="149"/>
        <v>#DIV/0!</v>
      </c>
      <c r="E137" s="111" t="e">
        <f t="shared" si="149"/>
        <v>#DIV/0!</v>
      </c>
      <c r="F137" s="111">
        <f t="shared" si="149"/>
        <v>0.2</v>
      </c>
      <c r="G137" s="111">
        <f t="shared" si="149"/>
        <v>7.6923076923076927E-2</v>
      </c>
      <c r="H137" s="111">
        <f t="shared" si="149"/>
        <v>0.2857142857142857</v>
      </c>
      <c r="I137" s="111">
        <f t="shared" si="149"/>
        <v>0.125</v>
      </c>
      <c r="J137" s="111" t="e">
        <f t="shared" si="149"/>
        <v>#DIV/0!</v>
      </c>
      <c r="K137" s="111">
        <f t="shared" si="149"/>
        <v>0.42857142857142855</v>
      </c>
      <c r="L137" s="111">
        <f t="shared" si="149"/>
        <v>0.5</v>
      </c>
      <c r="M137" s="111">
        <f t="shared" si="149"/>
        <v>0.55000000000000004</v>
      </c>
      <c r="N137" s="111">
        <f t="shared" si="149"/>
        <v>0.55555555555555558</v>
      </c>
      <c r="O137" s="248"/>
      <c r="P137" s="114">
        <f t="shared" si="150"/>
        <v>0.1875</v>
      </c>
      <c r="Q137" s="112">
        <f t="shared" si="150"/>
        <v>0.4576271186440678</v>
      </c>
      <c r="R137" s="112"/>
      <c r="S137" s="112"/>
      <c r="T137" s="112"/>
      <c r="U137" s="115">
        <f t="shared" si="150"/>
        <v>0.36263736263736263</v>
      </c>
      <c r="V137" s="79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7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</row>
    <row r="138" spans="2:47" ht="15.75" hidden="1" customHeight="1">
      <c r="B138" s="79" t="s">
        <v>204</v>
      </c>
      <c r="C138" s="111" t="e">
        <f t="shared" si="149"/>
        <v>#DIV/0!</v>
      </c>
      <c r="D138" s="111" t="e">
        <f t="shared" si="149"/>
        <v>#DIV/0!</v>
      </c>
      <c r="E138" s="111" t="e">
        <f t="shared" si="149"/>
        <v>#DIV/0!</v>
      </c>
      <c r="F138" s="111">
        <f t="shared" si="149"/>
        <v>0.25</v>
      </c>
      <c r="G138" s="111">
        <f t="shared" si="149"/>
        <v>0</v>
      </c>
      <c r="H138" s="111">
        <f t="shared" si="149"/>
        <v>0</v>
      </c>
      <c r="I138" s="111">
        <f t="shared" si="149"/>
        <v>1</v>
      </c>
      <c r="J138" s="111" t="e">
        <f t="shared" si="149"/>
        <v>#DIV/0!</v>
      </c>
      <c r="K138" s="111">
        <f t="shared" si="149"/>
        <v>0.2</v>
      </c>
      <c r="L138" s="111">
        <f t="shared" si="149"/>
        <v>0.5</v>
      </c>
      <c r="M138" s="111">
        <f t="shared" si="149"/>
        <v>0.42105263157894735</v>
      </c>
      <c r="N138" s="111">
        <f t="shared" si="149"/>
        <v>0.375</v>
      </c>
      <c r="O138" s="248"/>
      <c r="P138" s="114">
        <f t="shared" si="150"/>
        <v>0.11764705882352941</v>
      </c>
      <c r="Q138" s="112">
        <f t="shared" si="150"/>
        <v>0.43243243243243246</v>
      </c>
      <c r="R138" s="112"/>
      <c r="S138" s="112"/>
      <c r="T138" s="112"/>
      <c r="U138" s="115">
        <f t="shared" si="150"/>
        <v>0.33333333333333331</v>
      </c>
      <c r="V138" s="79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117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</row>
    <row r="139" spans="2:47" ht="15.75" hidden="1" customHeight="1">
      <c r="B139" s="79" t="s">
        <v>204</v>
      </c>
      <c r="C139" s="111">
        <f t="shared" si="149"/>
        <v>0.11538461538461539</v>
      </c>
      <c r="D139" s="111">
        <f t="shared" si="149"/>
        <v>0.52380952380952384</v>
      </c>
      <c r="E139" s="111">
        <f t="shared" si="149"/>
        <v>0.2</v>
      </c>
      <c r="F139" s="111">
        <f t="shared" si="149"/>
        <v>0.2857142857142857</v>
      </c>
      <c r="G139" s="111">
        <f t="shared" si="149"/>
        <v>0.25</v>
      </c>
      <c r="H139" s="111">
        <f t="shared" si="149"/>
        <v>0.3235294117647059</v>
      </c>
      <c r="I139" s="111">
        <f t="shared" si="149"/>
        <v>0.58823529411764708</v>
      </c>
      <c r="J139" s="111" t="e">
        <f t="shared" si="149"/>
        <v>#DIV/0!</v>
      </c>
      <c r="K139" s="111" t="e">
        <f t="shared" si="149"/>
        <v>#DIV/0!</v>
      </c>
      <c r="L139" s="111" t="e">
        <f t="shared" si="149"/>
        <v>#DIV/0!</v>
      </c>
      <c r="M139" s="111" t="e">
        <f t="shared" si="149"/>
        <v>#DIV/0!</v>
      </c>
      <c r="N139" s="111" t="e">
        <f t="shared" si="149"/>
        <v>#DIV/0!</v>
      </c>
      <c r="O139" s="248"/>
      <c r="P139" s="114"/>
      <c r="Q139" s="112"/>
      <c r="R139" s="112"/>
      <c r="S139" s="112"/>
      <c r="T139" s="112"/>
      <c r="U139" s="115"/>
      <c r="V139" s="79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7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</row>
    <row r="140" spans="2:47" ht="15.75" hidden="1" customHeight="1">
      <c r="B140" s="79" t="s">
        <v>204</v>
      </c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</row>
    <row r="141" spans="2:47" ht="15.75" hidden="1" customHeight="1">
      <c r="B141" s="79" t="s">
        <v>204</v>
      </c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</row>
    <row r="142" spans="2:47" ht="15.75" hidden="1" customHeight="1">
      <c r="B142" s="79" t="s">
        <v>204</v>
      </c>
      <c r="C142" s="262">
        <f>SUM(C143:C151)</f>
        <v>38</v>
      </c>
      <c r="D142" s="262">
        <f t="shared" ref="D142:N142" si="152">SUM(D143:D151)</f>
        <v>68</v>
      </c>
      <c r="E142" s="262">
        <f t="shared" si="152"/>
        <v>70</v>
      </c>
      <c r="F142" s="262">
        <f t="shared" si="152"/>
        <v>58</v>
      </c>
      <c r="G142" s="262">
        <f t="shared" si="152"/>
        <v>66</v>
      </c>
      <c r="H142" s="262">
        <f t="shared" si="152"/>
        <v>61</v>
      </c>
      <c r="I142" s="262">
        <f t="shared" si="152"/>
        <v>81</v>
      </c>
      <c r="J142" s="262">
        <f t="shared" si="152"/>
        <v>0</v>
      </c>
      <c r="K142" s="262">
        <f t="shared" si="152"/>
        <v>104</v>
      </c>
      <c r="L142" s="262">
        <f t="shared" si="152"/>
        <v>70</v>
      </c>
      <c r="M142" s="262">
        <f t="shared" si="152"/>
        <v>188</v>
      </c>
      <c r="N142" s="262">
        <f t="shared" si="152"/>
        <v>96</v>
      </c>
      <c r="O142" s="263"/>
      <c r="P142" s="264">
        <f>SUM(C142:H142)</f>
        <v>361</v>
      </c>
      <c r="Q142" s="265">
        <f>SUM(I142:N142)</f>
        <v>539</v>
      </c>
      <c r="R142" s="265"/>
      <c r="S142" s="265"/>
      <c r="T142" s="265"/>
      <c r="U142" s="266">
        <f>SUM(C142:N142)</f>
        <v>900</v>
      </c>
      <c r="V142" s="61"/>
      <c r="W142" s="89">
        <f>SUM(W143:W144)</f>
        <v>0</v>
      </c>
      <c r="X142" s="89">
        <f t="shared" ref="X142:AH142" si="153">SUM(X143:X144)</f>
        <v>0</v>
      </c>
      <c r="Y142" s="89">
        <f t="shared" si="153"/>
        <v>0</v>
      </c>
      <c r="Z142" s="89">
        <f t="shared" si="153"/>
        <v>0</v>
      </c>
      <c r="AA142" s="89">
        <f t="shared" si="153"/>
        <v>0</v>
      </c>
      <c r="AB142" s="89">
        <f t="shared" si="153"/>
        <v>0</v>
      </c>
      <c r="AC142" s="89">
        <f t="shared" si="153"/>
        <v>0</v>
      </c>
      <c r="AD142" s="89">
        <f t="shared" si="153"/>
        <v>0</v>
      </c>
      <c r="AE142" s="89">
        <f t="shared" si="153"/>
        <v>0</v>
      </c>
      <c r="AF142" s="89">
        <f t="shared" si="153"/>
        <v>0</v>
      </c>
      <c r="AG142" s="89">
        <f t="shared" si="153"/>
        <v>0</v>
      </c>
      <c r="AH142" s="89">
        <f t="shared" si="153"/>
        <v>0</v>
      </c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</row>
    <row r="143" spans="2:47" ht="15.75" hidden="1" customHeight="1">
      <c r="B143" s="79" t="s">
        <v>204</v>
      </c>
      <c r="C143" s="267">
        <v>7</v>
      </c>
      <c r="D143" s="267">
        <v>13</v>
      </c>
      <c r="E143" s="267">
        <v>10</v>
      </c>
      <c r="F143" s="267">
        <v>6</v>
      </c>
      <c r="G143" s="267">
        <v>12</v>
      </c>
      <c r="H143" s="267">
        <v>8</v>
      </c>
      <c r="I143" s="267">
        <v>10</v>
      </c>
      <c r="J143" s="267">
        <v>0</v>
      </c>
      <c r="K143" s="267">
        <v>19</v>
      </c>
      <c r="L143" s="267">
        <v>10</v>
      </c>
      <c r="M143" s="267">
        <v>20</v>
      </c>
      <c r="N143" s="267">
        <v>12</v>
      </c>
      <c r="O143" s="263"/>
      <c r="P143" s="268">
        <f>SUM(C143:H143)</f>
        <v>56</v>
      </c>
      <c r="Q143" s="269">
        <f>SUM(I143:N143)</f>
        <v>71</v>
      </c>
      <c r="R143" s="269"/>
      <c r="S143" s="269"/>
      <c r="T143" s="269"/>
      <c r="U143" s="270">
        <f>SUM(C143:N143)</f>
        <v>127</v>
      </c>
      <c r="V143" s="61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</row>
    <row r="144" spans="2:47" ht="15.75" hidden="1" customHeight="1">
      <c r="B144" s="79" t="s">
        <v>204</v>
      </c>
      <c r="C144" s="267">
        <v>6</v>
      </c>
      <c r="D144" s="267">
        <v>15</v>
      </c>
      <c r="E144" s="267">
        <v>6</v>
      </c>
      <c r="F144" s="267">
        <v>9</v>
      </c>
      <c r="G144" s="267">
        <v>7</v>
      </c>
      <c r="H144" s="267">
        <v>10</v>
      </c>
      <c r="I144" s="267">
        <v>14</v>
      </c>
      <c r="J144" s="267">
        <v>0</v>
      </c>
      <c r="K144" s="267">
        <v>7</v>
      </c>
      <c r="L144" s="267">
        <v>0</v>
      </c>
      <c r="M144" s="267">
        <v>12</v>
      </c>
      <c r="N144" s="267">
        <v>13</v>
      </c>
      <c r="O144" s="263"/>
      <c r="P144" s="268">
        <f t="shared" ref="P144:P150" si="154">SUM(C144:H144)</f>
        <v>53</v>
      </c>
      <c r="Q144" s="269">
        <f t="shared" ref="Q144:Q151" si="155">SUM(I144:N144)</f>
        <v>46</v>
      </c>
      <c r="R144" s="269"/>
      <c r="S144" s="269"/>
      <c r="T144" s="269"/>
      <c r="U144" s="270">
        <f t="shared" ref="U144:U151" si="156">SUM(C144:N144)</f>
        <v>99</v>
      </c>
      <c r="V144" s="61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</row>
    <row r="145" spans="2:47" ht="15.75" hidden="1" customHeight="1">
      <c r="B145" s="79" t="s">
        <v>204</v>
      </c>
      <c r="C145" s="267">
        <v>3</v>
      </c>
      <c r="D145" s="267">
        <v>15</v>
      </c>
      <c r="E145" s="267">
        <v>7</v>
      </c>
      <c r="F145" s="267">
        <v>6</v>
      </c>
      <c r="G145" s="267">
        <v>7</v>
      </c>
      <c r="H145" s="267">
        <v>7</v>
      </c>
      <c r="I145" s="267">
        <v>10</v>
      </c>
      <c r="J145" s="267">
        <v>0</v>
      </c>
      <c r="K145" s="267">
        <v>12</v>
      </c>
      <c r="L145" s="267">
        <v>14</v>
      </c>
      <c r="M145" s="267">
        <v>29</v>
      </c>
      <c r="N145" s="267">
        <v>12</v>
      </c>
      <c r="O145" s="271"/>
      <c r="P145" s="268">
        <f t="shared" si="154"/>
        <v>45</v>
      </c>
      <c r="Q145" s="269">
        <f t="shared" si="155"/>
        <v>77</v>
      </c>
      <c r="R145" s="269"/>
      <c r="S145" s="269"/>
      <c r="T145" s="269"/>
      <c r="U145" s="270">
        <f t="shared" si="156"/>
        <v>122</v>
      </c>
      <c r="V145" s="61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</row>
    <row r="146" spans="2:47" ht="15.75" hidden="1" customHeight="1">
      <c r="B146" s="79" t="s">
        <v>204</v>
      </c>
      <c r="C146" s="267">
        <v>16</v>
      </c>
      <c r="D146" s="267">
        <v>5</v>
      </c>
      <c r="E146" s="267">
        <v>20</v>
      </c>
      <c r="F146" s="267">
        <v>12</v>
      </c>
      <c r="G146" s="267">
        <v>11</v>
      </c>
      <c r="H146" s="267">
        <v>10</v>
      </c>
      <c r="I146" s="267">
        <v>8</v>
      </c>
      <c r="J146" s="267">
        <v>0</v>
      </c>
      <c r="K146" s="267">
        <v>17</v>
      </c>
      <c r="L146" s="267">
        <v>9</v>
      </c>
      <c r="M146" s="267">
        <v>28</v>
      </c>
      <c r="N146" s="267">
        <v>13</v>
      </c>
      <c r="O146" s="271"/>
      <c r="P146" s="268">
        <f t="shared" si="154"/>
        <v>74</v>
      </c>
      <c r="Q146" s="269">
        <f t="shared" si="155"/>
        <v>75</v>
      </c>
      <c r="R146" s="269"/>
      <c r="S146" s="269"/>
      <c r="T146" s="269"/>
      <c r="U146" s="270">
        <f t="shared" si="156"/>
        <v>149</v>
      </c>
      <c r="V146" s="61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</row>
    <row r="147" spans="2:47" ht="15.75" hidden="1" customHeight="1">
      <c r="B147" s="79" t="s">
        <v>204</v>
      </c>
      <c r="C147" s="267">
        <v>3</v>
      </c>
      <c r="D147" s="267">
        <v>6</v>
      </c>
      <c r="E147" s="267">
        <v>13</v>
      </c>
      <c r="F147" s="267">
        <v>10</v>
      </c>
      <c r="G147" s="267">
        <v>16</v>
      </c>
      <c r="H147" s="267">
        <v>10</v>
      </c>
      <c r="I147" s="267">
        <v>10</v>
      </c>
      <c r="J147" s="267">
        <v>0</v>
      </c>
      <c r="K147" s="267">
        <v>27</v>
      </c>
      <c r="L147" s="267">
        <v>21</v>
      </c>
      <c r="M147" s="267">
        <v>55</v>
      </c>
      <c r="N147" s="267">
        <v>23</v>
      </c>
      <c r="O147" s="271"/>
      <c r="P147" s="268">
        <f t="shared" si="154"/>
        <v>58</v>
      </c>
      <c r="Q147" s="269">
        <f t="shared" si="155"/>
        <v>136</v>
      </c>
      <c r="R147" s="269"/>
      <c r="S147" s="269"/>
      <c r="T147" s="269"/>
      <c r="U147" s="270">
        <f t="shared" si="156"/>
        <v>194</v>
      </c>
      <c r="V147" s="61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</row>
    <row r="148" spans="2:47" ht="15.75" hidden="1" customHeight="1">
      <c r="B148" s="79" t="s">
        <v>204</v>
      </c>
      <c r="C148" s="267">
        <v>0</v>
      </c>
      <c r="D148" s="267">
        <v>3</v>
      </c>
      <c r="E148" s="267">
        <v>8</v>
      </c>
      <c r="F148" s="267">
        <v>6</v>
      </c>
      <c r="G148" s="267">
        <v>5</v>
      </c>
      <c r="H148" s="267">
        <v>1</v>
      </c>
      <c r="I148" s="267">
        <v>15</v>
      </c>
      <c r="J148" s="267">
        <v>0</v>
      </c>
      <c r="K148" s="267">
        <v>15</v>
      </c>
      <c r="L148" s="267">
        <v>11</v>
      </c>
      <c r="M148" s="267">
        <v>25</v>
      </c>
      <c r="N148" s="267">
        <v>15</v>
      </c>
      <c r="O148" s="271"/>
      <c r="P148" s="268">
        <f t="shared" si="154"/>
        <v>23</v>
      </c>
      <c r="Q148" s="269">
        <f t="shared" si="155"/>
        <v>81</v>
      </c>
      <c r="R148" s="269"/>
      <c r="S148" s="269"/>
      <c r="T148" s="269"/>
      <c r="U148" s="270">
        <f t="shared" si="156"/>
        <v>104</v>
      </c>
      <c r="V148" s="61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</row>
    <row r="149" spans="2:47" ht="15.75" hidden="1" customHeight="1">
      <c r="B149" s="79" t="s">
        <v>204</v>
      </c>
      <c r="C149" s="267">
        <v>0</v>
      </c>
      <c r="D149" s="267">
        <v>0</v>
      </c>
      <c r="E149" s="267">
        <v>0</v>
      </c>
      <c r="F149" s="267">
        <v>1</v>
      </c>
      <c r="G149" s="267">
        <v>1</v>
      </c>
      <c r="H149" s="267">
        <v>4</v>
      </c>
      <c r="I149" s="267">
        <v>1</v>
      </c>
      <c r="J149" s="267">
        <v>0</v>
      </c>
      <c r="K149" s="267">
        <v>6</v>
      </c>
      <c r="L149" s="267">
        <v>4</v>
      </c>
      <c r="M149" s="267">
        <v>11</v>
      </c>
      <c r="N149" s="267">
        <v>5</v>
      </c>
      <c r="O149" s="271"/>
      <c r="P149" s="268">
        <f t="shared" si="154"/>
        <v>6</v>
      </c>
      <c r="Q149" s="269">
        <f t="shared" si="155"/>
        <v>27</v>
      </c>
      <c r="R149" s="269"/>
      <c r="S149" s="269"/>
      <c r="T149" s="269"/>
      <c r="U149" s="270">
        <f t="shared" si="156"/>
        <v>33</v>
      </c>
      <c r="V149" s="61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</row>
    <row r="150" spans="2:47" ht="15.75" hidden="1" customHeight="1">
      <c r="B150" s="79" t="s">
        <v>204</v>
      </c>
      <c r="C150" s="267">
        <v>0</v>
      </c>
      <c r="D150" s="267">
        <v>0</v>
      </c>
      <c r="E150" s="267">
        <v>0</v>
      </c>
      <c r="F150" s="267">
        <v>2</v>
      </c>
      <c r="G150" s="267">
        <v>0</v>
      </c>
      <c r="H150" s="267">
        <v>0</v>
      </c>
      <c r="I150" s="267">
        <v>3</v>
      </c>
      <c r="J150" s="267">
        <v>0</v>
      </c>
      <c r="K150" s="267">
        <v>1</v>
      </c>
      <c r="L150" s="267">
        <v>1</v>
      </c>
      <c r="M150" s="267">
        <v>8</v>
      </c>
      <c r="N150" s="267">
        <v>3</v>
      </c>
      <c r="O150" s="271"/>
      <c r="P150" s="268">
        <f t="shared" si="154"/>
        <v>2</v>
      </c>
      <c r="Q150" s="269">
        <f t="shared" si="155"/>
        <v>16</v>
      </c>
      <c r="R150" s="269"/>
      <c r="S150" s="269"/>
      <c r="T150" s="269"/>
      <c r="U150" s="270">
        <f t="shared" si="156"/>
        <v>18</v>
      </c>
      <c r="V150" s="61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</row>
    <row r="151" spans="2:47" ht="15.75" hidden="1" customHeight="1">
      <c r="B151" s="79" t="s">
        <v>204</v>
      </c>
      <c r="C151" s="267">
        <v>3</v>
      </c>
      <c r="D151" s="267">
        <v>11</v>
      </c>
      <c r="E151" s="267">
        <v>6</v>
      </c>
      <c r="F151" s="267">
        <v>6</v>
      </c>
      <c r="G151" s="267">
        <v>7</v>
      </c>
      <c r="H151" s="267">
        <v>11</v>
      </c>
      <c r="I151" s="267">
        <v>10</v>
      </c>
      <c r="J151" s="267">
        <v>0</v>
      </c>
      <c r="K151" s="267">
        <v>0</v>
      </c>
      <c r="L151" s="267">
        <v>0</v>
      </c>
      <c r="M151" s="267">
        <v>0</v>
      </c>
      <c r="N151" s="267">
        <v>0</v>
      </c>
      <c r="O151" s="271"/>
      <c r="P151" s="268">
        <f>SUM(C151:N151)</f>
        <v>54</v>
      </c>
      <c r="Q151" s="269">
        <f t="shared" si="155"/>
        <v>10</v>
      </c>
      <c r="R151" s="269"/>
      <c r="S151" s="269"/>
      <c r="T151" s="269"/>
      <c r="U151" s="270">
        <f t="shared" si="156"/>
        <v>54</v>
      </c>
      <c r="V151" s="61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</row>
    <row r="152" spans="2:47" ht="15.75" hidden="1" customHeight="1">
      <c r="B152" s="79" t="s">
        <v>204</v>
      </c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</row>
    <row r="153" spans="2:47" ht="15.75" hidden="1" customHeight="1">
      <c r="B153" s="79" t="s">
        <v>204</v>
      </c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</row>
    <row r="154" spans="2:47" ht="15.75" hidden="1" customHeight="1">
      <c r="B154" s="79" t="s">
        <v>204</v>
      </c>
      <c r="C154" s="97">
        <f t="shared" ref="C154:N154" si="157">C9/C142</f>
        <v>868.9473684210526</v>
      </c>
      <c r="D154" s="97">
        <f t="shared" si="157"/>
        <v>986.51470588235293</v>
      </c>
      <c r="E154" s="97">
        <f t="shared" si="157"/>
        <v>1793.9714285714285</v>
      </c>
      <c r="F154" s="97">
        <f t="shared" si="157"/>
        <v>1961.0344827586207</v>
      </c>
      <c r="G154" s="97">
        <f t="shared" si="157"/>
        <v>2209.3333333333335</v>
      </c>
      <c r="H154" s="97">
        <f t="shared" si="157"/>
        <v>1965.377049180328</v>
      </c>
      <c r="I154" s="97">
        <f t="shared" si="157"/>
        <v>669.38271604938268</v>
      </c>
      <c r="J154" s="97" t="e">
        <f t="shared" si="157"/>
        <v>#DIV/0!</v>
      </c>
      <c r="K154" s="97">
        <f t="shared" si="157"/>
        <v>622.875</v>
      </c>
      <c r="L154" s="97">
        <f t="shared" si="157"/>
        <v>1375.1857142857143</v>
      </c>
      <c r="M154" s="97">
        <f t="shared" si="157"/>
        <v>805.09042553191489</v>
      </c>
      <c r="N154" s="97">
        <f t="shared" si="157"/>
        <v>983.375</v>
      </c>
      <c r="O154" s="248"/>
      <c r="P154" s="75">
        <f t="shared" ref="P154:Q163" si="158">P9/P142</f>
        <v>1676.246537396122</v>
      </c>
      <c r="Q154" s="122">
        <f t="shared" si="158"/>
        <v>912.91094619666046</v>
      </c>
      <c r="R154" s="122"/>
      <c r="S154" s="122"/>
      <c r="T154" s="122"/>
      <c r="U154" s="78">
        <f t="shared" ref="U154:U163" si="159">U9/U142</f>
        <v>1219.0933333333332</v>
      </c>
      <c r="V154" s="61"/>
      <c r="W154" s="89">
        <f>SUM(W155:W156)</f>
        <v>0</v>
      </c>
      <c r="X154" s="89">
        <f t="shared" ref="X154:AH154" si="160">SUM(X155:X156)</f>
        <v>0</v>
      </c>
      <c r="Y154" s="89">
        <f t="shared" si="160"/>
        <v>0</v>
      </c>
      <c r="Z154" s="89">
        <f t="shared" si="160"/>
        <v>0</v>
      </c>
      <c r="AA154" s="89">
        <f t="shared" si="160"/>
        <v>0</v>
      </c>
      <c r="AB154" s="89">
        <f t="shared" si="160"/>
        <v>0</v>
      </c>
      <c r="AC154" s="89">
        <f t="shared" si="160"/>
        <v>0</v>
      </c>
      <c r="AD154" s="89">
        <f t="shared" si="160"/>
        <v>0</v>
      </c>
      <c r="AE154" s="89">
        <f t="shared" si="160"/>
        <v>0</v>
      </c>
      <c r="AF154" s="89">
        <f t="shared" si="160"/>
        <v>0</v>
      </c>
      <c r="AG154" s="89">
        <f t="shared" si="160"/>
        <v>0</v>
      </c>
      <c r="AH154" s="89">
        <f t="shared" si="160"/>
        <v>0</v>
      </c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</row>
    <row r="155" spans="2:47" ht="15.75" hidden="1" customHeight="1">
      <c r="B155" s="79" t="s">
        <v>204</v>
      </c>
      <c r="C155" s="101">
        <f t="shared" ref="C155:N155" si="161">C10/C143</f>
        <v>606.28571428571433</v>
      </c>
      <c r="D155" s="101">
        <f t="shared" si="161"/>
        <v>683.46153846153845</v>
      </c>
      <c r="E155" s="101">
        <f t="shared" si="161"/>
        <v>1666.5</v>
      </c>
      <c r="F155" s="101">
        <f t="shared" si="161"/>
        <v>2457.6666666666665</v>
      </c>
      <c r="G155" s="101">
        <f t="shared" si="161"/>
        <v>1692.5833333333333</v>
      </c>
      <c r="H155" s="101">
        <f t="shared" si="161"/>
        <v>2012.375</v>
      </c>
      <c r="I155" s="101">
        <f t="shared" si="161"/>
        <v>713.5</v>
      </c>
      <c r="J155" s="101" t="e">
        <f t="shared" si="161"/>
        <v>#DIV/0!</v>
      </c>
      <c r="K155" s="101">
        <f t="shared" si="161"/>
        <v>389.15789473684208</v>
      </c>
      <c r="L155" s="101">
        <f t="shared" si="161"/>
        <v>1098.8</v>
      </c>
      <c r="M155" s="101">
        <f t="shared" si="161"/>
        <v>863.85</v>
      </c>
      <c r="N155" s="101">
        <f t="shared" si="161"/>
        <v>898</v>
      </c>
      <c r="O155" s="248"/>
      <c r="P155" s="80">
        <f t="shared" si="158"/>
        <v>1445.5357142857142</v>
      </c>
      <c r="Q155" s="81">
        <f t="shared" si="158"/>
        <v>804.4084507042254</v>
      </c>
      <c r="R155" s="81"/>
      <c r="S155" s="81"/>
      <c r="T155" s="81"/>
      <c r="U155" s="83">
        <f t="shared" si="159"/>
        <v>1087.1102362204724</v>
      </c>
      <c r="V155" s="61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</row>
    <row r="156" spans="2:47" ht="15.75" hidden="1" customHeight="1">
      <c r="B156" s="79" t="s">
        <v>204</v>
      </c>
      <c r="C156" s="101">
        <f t="shared" ref="C156:N156" si="162">C11/C144</f>
        <v>563.16666666666663</v>
      </c>
      <c r="D156" s="101">
        <f t="shared" si="162"/>
        <v>471.66666666666669</v>
      </c>
      <c r="E156" s="101">
        <f t="shared" si="162"/>
        <v>2211.5</v>
      </c>
      <c r="F156" s="101">
        <f t="shared" si="162"/>
        <v>1304.5555555555557</v>
      </c>
      <c r="G156" s="101">
        <f t="shared" si="162"/>
        <v>2310.2857142857142</v>
      </c>
      <c r="H156" s="101">
        <f t="shared" si="162"/>
        <v>1281.8</v>
      </c>
      <c r="I156" s="101">
        <f t="shared" si="162"/>
        <v>405.78571428571428</v>
      </c>
      <c r="J156" s="101" t="e">
        <f t="shared" si="162"/>
        <v>#DIV/0!</v>
      </c>
      <c r="K156" s="101">
        <f t="shared" si="162"/>
        <v>841</v>
      </c>
      <c r="L156" s="101" t="e">
        <f t="shared" si="162"/>
        <v>#DIV/0!</v>
      </c>
      <c r="M156" s="101">
        <f t="shared" si="162"/>
        <v>1146.25</v>
      </c>
      <c r="N156" s="101">
        <f t="shared" si="162"/>
        <v>660</v>
      </c>
      <c r="O156" s="248"/>
      <c r="P156" s="80">
        <f t="shared" si="158"/>
        <v>1216.1132075471698</v>
      </c>
      <c r="Q156" s="81">
        <f t="shared" si="158"/>
        <v>988.52173913043475</v>
      </c>
      <c r="R156" s="81"/>
      <c r="S156" s="81"/>
      <c r="T156" s="81"/>
      <c r="U156" s="83">
        <f t="shared" si="159"/>
        <v>1110.3636363636363</v>
      </c>
      <c r="V156" s="61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</row>
    <row r="157" spans="2:47" ht="15.75" hidden="1" customHeight="1">
      <c r="B157" s="79" t="s">
        <v>204</v>
      </c>
      <c r="C157" s="101">
        <f t="shared" ref="C157:N157" si="163">C12/C145</f>
        <v>795.66666666666663</v>
      </c>
      <c r="D157" s="101">
        <f t="shared" si="163"/>
        <v>333.2</v>
      </c>
      <c r="E157" s="101">
        <f t="shared" si="163"/>
        <v>1339.1428571428571</v>
      </c>
      <c r="F157" s="101">
        <f t="shared" si="163"/>
        <v>1382.5</v>
      </c>
      <c r="G157" s="101">
        <f t="shared" si="163"/>
        <v>203.57142857142858</v>
      </c>
      <c r="H157" s="101">
        <f t="shared" si="163"/>
        <v>1293.7142857142858</v>
      </c>
      <c r="I157" s="101">
        <f t="shared" si="163"/>
        <v>401.3</v>
      </c>
      <c r="J157" s="101" t="e">
        <f t="shared" si="163"/>
        <v>#DIV/0!</v>
      </c>
      <c r="K157" s="101">
        <f t="shared" si="163"/>
        <v>346.58333333333331</v>
      </c>
      <c r="L157" s="101">
        <f t="shared" si="163"/>
        <v>441.5</v>
      </c>
      <c r="M157" s="101">
        <f t="shared" si="163"/>
        <v>335.10344827586209</v>
      </c>
      <c r="N157" s="101">
        <f t="shared" si="163"/>
        <v>505.08333333333331</v>
      </c>
      <c r="O157" s="61"/>
      <c r="P157" s="80">
        <f t="shared" si="158"/>
        <v>789.66666666666663</v>
      </c>
      <c r="Q157" s="81">
        <f t="shared" si="158"/>
        <v>417.20779220779218</v>
      </c>
      <c r="R157" s="81"/>
      <c r="S157" s="81"/>
      <c r="T157" s="81"/>
      <c r="U157" s="83">
        <f t="shared" si="159"/>
        <v>554.59016393442619</v>
      </c>
      <c r="V157" s="61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</row>
    <row r="158" spans="2:47" ht="15.75" hidden="1" customHeight="1">
      <c r="B158" s="79" t="s">
        <v>204</v>
      </c>
      <c r="C158" s="101">
        <f t="shared" ref="C158:N158" si="164">C13/C146</f>
        <v>805.875</v>
      </c>
      <c r="D158" s="101">
        <f t="shared" si="164"/>
        <v>3456.4</v>
      </c>
      <c r="E158" s="101">
        <f t="shared" si="164"/>
        <v>1453.4</v>
      </c>
      <c r="F158" s="101">
        <f t="shared" si="164"/>
        <v>1749.5833333333333</v>
      </c>
      <c r="G158" s="101">
        <f t="shared" si="164"/>
        <v>2915.2727272727275</v>
      </c>
      <c r="H158" s="101">
        <f t="shared" si="164"/>
        <v>2231.1</v>
      </c>
      <c r="I158" s="101">
        <f t="shared" si="164"/>
        <v>1476.75</v>
      </c>
      <c r="J158" s="101" t="e">
        <f t="shared" si="164"/>
        <v>#DIV/0!</v>
      </c>
      <c r="K158" s="101">
        <f t="shared" si="164"/>
        <v>720.23529411764707</v>
      </c>
      <c r="L158" s="101">
        <f t="shared" si="164"/>
        <v>2021.6666666666667</v>
      </c>
      <c r="M158" s="101">
        <f t="shared" si="164"/>
        <v>1021.7142857142857</v>
      </c>
      <c r="N158" s="101">
        <f t="shared" si="164"/>
        <v>1372.5384615384614</v>
      </c>
      <c r="O158" s="61"/>
      <c r="P158" s="80">
        <f t="shared" si="158"/>
        <v>1819.1621621621621</v>
      </c>
      <c r="Q158" s="81">
        <f t="shared" si="158"/>
        <v>1260.9333333333334</v>
      </c>
      <c r="R158" s="81"/>
      <c r="S158" s="81"/>
      <c r="T158" s="81"/>
      <c r="U158" s="83">
        <f t="shared" si="159"/>
        <v>1538.1744966442952</v>
      </c>
      <c r="V158" s="61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</row>
    <row r="159" spans="2:47" ht="15.75" hidden="1" customHeight="1">
      <c r="B159" s="79" t="s">
        <v>204</v>
      </c>
      <c r="C159" s="101">
        <f t="shared" ref="C159:N159" si="165">C14/C147</f>
        <v>2004</v>
      </c>
      <c r="D159" s="101">
        <f t="shared" si="165"/>
        <v>2124.5</v>
      </c>
      <c r="E159" s="101">
        <f t="shared" si="165"/>
        <v>1625</v>
      </c>
      <c r="F159" s="101">
        <f t="shared" si="165"/>
        <v>1596.6</v>
      </c>
      <c r="G159" s="101">
        <f t="shared" si="165"/>
        <v>1527.1875</v>
      </c>
      <c r="H159" s="101">
        <f t="shared" si="165"/>
        <v>1844.5</v>
      </c>
      <c r="I159" s="101">
        <f t="shared" si="165"/>
        <v>868.1</v>
      </c>
      <c r="J159" s="101" t="e">
        <f t="shared" si="165"/>
        <v>#DIV/0!</v>
      </c>
      <c r="K159" s="101">
        <f t="shared" si="165"/>
        <v>554.51851851851848</v>
      </c>
      <c r="L159" s="101">
        <f t="shared" si="165"/>
        <v>1059.4285714285713</v>
      </c>
      <c r="M159" s="101">
        <f t="shared" si="165"/>
        <v>636.0363636363636</v>
      </c>
      <c r="N159" s="101">
        <f t="shared" si="165"/>
        <v>948.6521739130435</v>
      </c>
      <c r="O159" s="61"/>
      <c r="P159" s="80">
        <f t="shared" si="158"/>
        <v>1702.2413793103449</v>
      </c>
      <c r="Q159" s="81">
        <f t="shared" si="158"/>
        <v>807.90441176470586</v>
      </c>
      <c r="R159" s="81"/>
      <c r="S159" s="81"/>
      <c r="T159" s="81"/>
      <c r="U159" s="83">
        <f t="shared" si="159"/>
        <v>1075.2835051546392</v>
      </c>
      <c r="V159" s="61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</row>
    <row r="160" spans="2:47" ht="15.75" hidden="1" customHeight="1">
      <c r="B160" s="79" t="s">
        <v>204</v>
      </c>
      <c r="C160" s="101" t="e">
        <f t="shared" ref="C160:N160" si="166">C15/C148</f>
        <v>#DIV/0!</v>
      </c>
      <c r="D160" s="101">
        <f t="shared" si="166"/>
        <v>2554.3333333333335</v>
      </c>
      <c r="E160" s="101">
        <f t="shared" si="166"/>
        <v>2184.75</v>
      </c>
      <c r="F160" s="101">
        <f t="shared" si="166"/>
        <v>2773</v>
      </c>
      <c r="G160" s="101">
        <f t="shared" si="166"/>
        <v>3784</v>
      </c>
      <c r="H160" s="101">
        <f t="shared" si="166"/>
        <v>14488</v>
      </c>
      <c r="I160" s="101">
        <f t="shared" si="166"/>
        <v>442.53333333333336</v>
      </c>
      <c r="J160" s="101" t="e">
        <f t="shared" si="166"/>
        <v>#DIV/0!</v>
      </c>
      <c r="K160" s="101">
        <f t="shared" si="166"/>
        <v>1031.1333333333334</v>
      </c>
      <c r="L160" s="101">
        <f t="shared" si="166"/>
        <v>2089.5454545454545</v>
      </c>
      <c r="M160" s="101">
        <f t="shared" si="166"/>
        <v>1445.6</v>
      </c>
      <c r="N160" s="101">
        <f t="shared" si="166"/>
        <v>1502.7333333333333</v>
      </c>
      <c r="O160" s="61"/>
      <c r="P160" s="80">
        <f t="shared" si="158"/>
        <v>3269</v>
      </c>
      <c r="Q160" s="81">
        <f t="shared" si="158"/>
        <v>1372.6049382716049</v>
      </c>
      <c r="R160" s="81"/>
      <c r="S160" s="81"/>
      <c r="T160" s="81"/>
      <c r="U160" s="83">
        <f t="shared" si="159"/>
        <v>1792</v>
      </c>
      <c r="V160" s="61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</row>
    <row r="161" spans="2:47" ht="15.75" hidden="1" customHeight="1">
      <c r="B161" s="79" t="s">
        <v>204</v>
      </c>
      <c r="C161" s="101" t="e">
        <f t="shared" ref="C161:N161" si="167">C16/C149</f>
        <v>#DIV/0!</v>
      </c>
      <c r="D161" s="101" t="e">
        <f t="shared" si="167"/>
        <v>#DIV/0!</v>
      </c>
      <c r="E161" s="101" t="e">
        <f t="shared" si="167"/>
        <v>#DIV/0!</v>
      </c>
      <c r="F161" s="101">
        <f t="shared" si="167"/>
        <v>8185</v>
      </c>
      <c r="G161" s="101">
        <f t="shared" si="167"/>
        <v>11274</v>
      </c>
      <c r="H161" s="101">
        <f t="shared" si="167"/>
        <v>2234</v>
      </c>
      <c r="I161" s="101">
        <f t="shared" si="167"/>
        <v>2561</v>
      </c>
      <c r="J161" s="101" t="e">
        <f t="shared" si="167"/>
        <v>#DIV/0!</v>
      </c>
      <c r="K161" s="101">
        <f t="shared" si="167"/>
        <v>442.33333333333331</v>
      </c>
      <c r="L161" s="101">
        <f t="shared" si="167"/>
        <v>985.75</v>
      </c>
      <c r="M161" s="101">
        <f t="shared" si="167"/>
        <v>563.63636363636363</v>
      </c>
      <c r="N161" s="101">
        <f t="shared" si="167"/>
        <v>773.4</v>
      </c>
      <c r="O161" s="61"/>
      <c r="P161" s="80">
        <f t="shared" si="158"/>
        <v>4732.5</v>
      </c>
      <c r="Q161" s="81">
        <f t="shared" si="158"/>
        <v>759.11111111111109</v>
      </c>
      <c r="R161" s="81"/>
      <c r="S161" s="81"/>
      <c r="T161" s="81"/>
      <c r="U161" s="83">
        <f t="shared" si="159"/>
        <v>1481.5454545454545</v>
      </c>
      <c r="V161" s="61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</row>
    <row r="162" spans="2:47" ht="15.75" hidden="1" customHeight="1">
      <c r="B162" s="79" t="s">
        <v>204</v>
      </c>
      <c r="C162" s="101" t="e">
        <f t="shared" ref="C162:N162" si="168">C17/C150</f>
        <v>#DIV/0!</v>
      </c>
      <c r="D162" s="101" t="e">
        <f t="shared" si="168"/>
        <v>#DIV/0!</v>
      </c>
      <c r="E162" s="101" t="e">
        <f t="shared" si="168"/>
        <v>#DIV/0!</v>
      </c>
      <c r="F162" s="101">
        <f t="shared" si="168"/>
        <v>3087.5</v>
      </c>
      <c r="G162" s="101" t="e">
        <f t="shared" si="168"/>
        <v>#DIV/0!</v>
      </c>
      <c r="H162" s="101" t="e">
        <f t="shared" si="168"/>
        <v>#DIV/0!</v>
      </c>
      <c r="I162" s="101">
        <f t="shared" si="168"/>
        <v>644</v>
      </c>
      <c r="J162" s="101" t="e">
        <f t="shared" si="168"/>
        <v>#DIV/0!</v>
      </c>
      <c r="K162" s="101">
        <f t="shared" si="168"/>
        <v>2002</v>
      </c>
      <c r="L162" s="101">
        <f t="shared" si="168"/>
        <v>2975</v>
      </c>
      <c r="M162" s="101">
        <f t="shared" si="168"/>
        <v>584.625</v>
      </c>
      <c r="N162" s="101">
        <f t="shared" si="168"/>
        <v>972.33333333333337</v>
      </c>
      <c r="O162" s="61"/>
      <c r="P162" s="80">
        <f t="shared" si="158"/>
        <v>10710.5</v>
      </c>
      <c r="Q162" s="81">
        <f t="shared" si="158"/>
        <v>966.375</v>
      </c>
      <c r="R162" s="81"/>
      <c r="S162" s="81"/>
      <c r="T162" s="81"/>
      <c r="U162" s="83">
        <f t="shared" si="159"/>
        <v>2049.0555555555557</v>
      </c>
      <c r="V162" s="61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</row>
    <row r="163" spans="2:47" ht="15.75" hidden="1" customHeight="1">
      <c r="B163" s="79" t="s">
        <v>204</v>
      </c>
      <c r="C163" s="101">
        <f t="shared" ref="C163:N163" si="169">C18/C151</f>
        <v>1368</v>
      </c>
      <c r="D163" s="101">
        <f t="shared" si="169"/>
        <v>766.63636363636363</v>
      </c>
      <c r="E163" s="101">
        <f t="shared" si="169"/>
        <v>3099.8333333333335</v>
      </c>
      <c r="F163" s="101">
        <f t="shared" si="169"/>
        <v>1833.1666666666667</v>
      </c>
      <c r="G163" s="101">
        <f t="shared" si="169"/>
        <v>1815.1428571428571</v>
      </c>
      <c r="H163" s="101">
        <f t="shared" si="169"/>
        <v>999.4545454545455</v>
      </c>
      <c r="I163" s="101">
        <f t="shared" si="169"/>
        <v>576.5</v>
      </c>
      <c r="J163" s="101" t="e">
        <f t="shared" si="169"/>
        <v>#DIV/0!</v>
      </c>
      <c r="K163" s="101" t="e">
        <f t="shared" si="169"/>
        <v>#DIV/0!</v>
      </c>
      <c r="L163" s="101" t="e">
        <f t="shared" si="169"/>
        <v>#DIV/0!</v>
      </c>
      <c r="M163" s="101" t="e">
        <f t="shared" si="169"/>
        <v>#DIV/0!</v>
      </c>
      <c r="N163" s="101" t="e">
        <f t="shared" si="169"/>
        <v>#DIV/0!</v>
      </c>
      <c r="O163" s="61"/>
      <c r="P163" s="80">
        <f t="shared" si="158"/>
        <v>1325.9259259259259</v>
      </c>
      <c r="Q163" s="81">
        <f t="shared" si="158"/>
        <v>576.5</v>
      </c>
      <c r="R163" s="81"/>
      <c r="S163" s="81"/>
      <c r="T163" s="81"/>
      <c r="U163" s="83">
        <f t="shared" si="159"/>
        <v>1325.9259259259259</v>
      </c>
      <c r="V163" s="61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</row>
    <row r="164" spans="2:47" ht="15.75" hidden="1" customHeight="1">
      <c r="B164" s="79" t="s">
        <v>204</v>
      </c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</row>
    <row r="165" spans="2:47" ht="15.75" hidden="1" customHeight="1">
      <c r="B165" s="79" t="s">
        <v>204</v>
      </c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</row>
    <row r="166" spans="2:47" ht="15.75" hidden="1" customHeight="1">
      <c r="B166" s="79" t="s">
        <v>204</v>
      </c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</row>
    <row r="167" spans="2:47" ht="15.75" hidden="1" customHeight="1">
      <c r="B167" s="79" t="s">
        <v>204</v>
      </c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</row>
    <row r="168" spans="2:47" ht="15.75" hidden="1" customHeight="1">
      <c r="B168" s="79" t="s">
        <v>204</v>
      </c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</row>
    <row r="169" spans="2:47" ht="15.75" hidden="1" customHeight="1">
      <c r="B169" s="79" t="s">
        <v>204</v>
      </c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</row>
    <row r="170" spans="2:47" ht="15.75" hidden="1" customHeight="1">
      <c r="B170" s="79" t="s">
        <v>204</v>
      </c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</row>
    <row r="171" spans="2:47" ht="15.75" hidden="1" customHeight="1">
      <c r="B171" s="79" t="s">
        <v>204</v>
      </c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</row>
    <row r="172" spans="2:47" ht="15.75" hidden="1" customHeight="1">
      <c r="B172" s="79" t="s">
        <v>204</v>
      </c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</row>
    <row r="173" spans="2:47" ht="15.75" hidden="1" customHeight="1">
      <c r="B173" s="79" t="s">
        <v>204</v>
      </c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</row>
    <row r="174" spans="2:47" ht="15.75" hidden="1" customHeight="1">
      <c r="B174" s="79" t="s">
        <v>204</v>
      </c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</row>
    <row r="175" spans="2:47" ht="15.75" hidden="1" customHeight="1">
      <c r="B175" s="79" t="s">
        <v>204</v>
      </c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</row>
    <row r="176" spans="2:47" ht="15.75" hidden="1" customHeight="1">
      <c r="B176" s="79" t="s">
        <v>204</v>
      </c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</row>
    <row r="177" spans="2:47" ht="15.75" hidden="1" customHeight="1">
      <c r="B177" s="79" t="s">
        <v>204</v>
      </c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</row>
    <row r="178" spans="2:47" ht="15.75" hidden="1" customHeight="1">
      <c r="B178" s="79" t="s">
        <v>204</v>
      </c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</row>
    <row r="179" spans="2:47" ht="15.75" hidden="1" customHeight="1">
      <c r="B179" s="79" t="s">
        <v>204</v>
      </c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</row>
    <row r="180" spans="2:47" ht="15.75" hidden="1" customHeight="1">
      <c r="B180" s="79" t="s">
        <v>204</v>
      </c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</row>
    <row r="181" spans="2:47" ht="15.75" hidden="1" customHeight="1">
      <c r="B181" s="79" t="s">
        <v>204</v>
      </c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</row>
    <row r="182" spans="2:47" ht="15.75" hidden="1" customHeight="1">
      <c r="B182" s="79" t="s">
        <v>204</v>
      </c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</row>
    <row r="183" spans="2:47" ht="15.75" hidden="1" customHeight="1">
      <c r="B183" s="79" t="s">
        <v>204</v>
      </c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</row>
    <row r="184" spans="2:47" ht="15.75" hidden="1" customHeight="1">
      <c r="B184" s="79" t="s">
        <v>204</v>
      </c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</row>
    <row r="185" spans="2:47" ht="15.75" hidden="1" customHeight="1">
      <c r="B185" s="79" t="s">
        <v>204</v>
      </c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</row>
    <row r="186" spans="2:47" ht="15.75" hidden="1" customHeight="1">
      <c r="B186" s="79" t="s">
        <v>204</v>
      </c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</row>
    <row r="187" spans="2:47" ht="15.75" hidden="1" customHeight="1">
      <c r="B187" s="79" t="s">
        <v>204</v>
      </c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</row>
    <row r="188" spans="2:47" ht="15.75" hidden="1" customHeight="1">
      <c r="B188" s="79" t="s">
        <v>204</v>
      </c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</row>
    <row r="189" spans="2:47" ht="15.75" hidden="1" customHeight="1">
      <c r="B189" s="79" t="s">
        <v>204</v>
      </c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</row>
    <row r="190" spans="2:47" ht="15.75" hidden="1" customHeight="1">
      <c r="B190" s="79" t="s">
        <v>204</v>
      </c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</row>
    <row r="191" spans="2:47" ht="15.75" hidden="1" customHeight="1">
      <c r="B191" s="79" t="s">
        <v>204</v>
      </c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</row>
    <row r="192" spans="2:47" ht="15.75" hidden="1" customHeight="1">
      <c r="B192" s="79" t="s">
        <v>204</v>
      </c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</row>
    <row r="193" spans="2:47" ht="15.75" hidden="1" customHeight="1">
      <c r="B193" s="79" t="s">
        <v>204</v>
      </c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</row>
    <row r="194" spans="2:47" ht="15.75" hidden="1" customHeight="1">
      <c r="B194" s="79" t="s">
        <v>204</v>
      </c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</row>
    <row r="195" spans="2:47" ht="15.75" hidden="1" customHeight="1">
      <c r="B195" s="79" t="s">
        <v>204</v>
      </c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</row>
    <row r="196" spans="2:47" ht="15.75" hidden="1" customHeight="1">
      <c r="B196" s="79" t="s">
        <v>204</v>
      </c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</row>
    <row r="197" spans="2:47" ht="15.75" hidden="1" customHeight="1">
      <c r="B197" s="79" t="s">
        <v>204</v>
      </c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</row>
    <row r="198" spans="2:47" ht="15.75" hidden="1" customHeight="1">
      <c r="B198" s="79" t="s">
        <v>204</v>
      </c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</row>
    <row r="199" spans="2:47" ht="15.75" hidden="1" customHeight="1">
      <c r="B199" s="79" t="s">
        <v>204</v>
      </c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</row>
    <row r="200" spans="2:47" ht="15.75" hidden="1" customHeight="1">
      <c r="B200" s="79" t="s">
        <v>204</v>
      </c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</row>
    <row r="201" spans="2:47" ht="15.75" hidden="1" customHeight="1">
      <c r="B201" s="79" t="s">
        <v>204</v>
      </c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</row>
    <row r="202" spans="2:47" ht="15.75" hidden="1" customHeight="1">
      <c r="B202" s="79" t="s">
        <v>204</v>
      </c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</row>
    <row r="203" spans="2:47" ht="15.75" hidden="1" customHeight="1">
      <c r="B203" s="79" t="s">
        <v>204</v>
      </c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</row>
    <row r="204" spans="2:47" ht="15.75" hidden="1" customHeight="1">
      <c r="B204" s="79" t="s">
        <v>204</v>
      </c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</row>
    <row r="205" spans="2:47" ht="15.75" hidden="1" customHeight="1">
      <c r="B205" s="79" t="s">
        <v>204</v>
      </c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</row>
    <row r="206" spans="2:47" ht="15.75" hidden="1" customHeight="1">
      <c r="B206" s="79" t="s">
        <v>204</v>
      </c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</row>
    <row r="207" spans="2:47" ht="15.75" hidden="1" customHeight="1">
      <c r="B207" s="79" t="s">
        <v>204</v>
      </c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</row>
    <row r="208" spans="2:47" ht="15.75" hidden="1" customHeight="1">
      <c r="B208" s="79" t="s">
        <v>204</v>
      </c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</row>
    <row r="209" spans="2:47" ht="15.75" hidden="1" customHeight="1">
      <c r="B209" s="79" t="s">
        <v>204</v>
      </c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</row>
    <row r="210" spans="2:47" ht="15.75" hidden="1" customHeight="1">
      <c r="B210" s="79" t="s">
        <v>204</v>
      </c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</row>
    <row r="211" spans="2:47" ht="15.75" hidden="1" customHeight="1">
      <c r="B211" s="79" t="s">
        <v>204</v>
      </c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</row>
    <row r="212" spans="2:47" ht="15.75" hidden="1" customHeight="1">
      <c r="B212" s="79" t="s">
        <v>204</v>
      </c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</row>
    <row r="213" spans="2:47" ht="15.75" hidden="1" customHeight="1">
      <c r="B213" s="79" t="s">
        <v>204</v>
      </c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</row>
    <row r="214" spans="2:47" ht="15.75" hidden="1" customHeight="1">
      <c r="B214" s="79" t="s">
        <v>204</v>
      </c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</row>
    <row r="215" spans="2:47" ht="15.75" hidden="1" customHeight="1">
      <c r="B215" s="79" t="s">
        <v>204</v>
      </c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</row>
    <row r="216" spans="2:47" ht="15.75" hidden="1" customHeight="1">
      <c r="B216" s="79" t="s">
        <v>204</v>
      </c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</row>
    <row r="217" spans="2:47" ht="15.75" hidden="1" customHeight="1">
      <c r="B217" s="79" t="s">
        <v>204</v>
      </c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</row>
    <row r="218" spans="2:47" ht="15.75" hidden="1" customHeight="1">
      <c r="B218" s="79" t="s">
        <v>204</v>
      </c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</row>
    <row r="219" spans="2:47" ht="15.75" hidden="1" customHeight="1">
      <c r="B219" s="79" t="s">
        <v>204</v>
      </c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</row>
    <row r="220" spans="2:47" ht="15.75" hidden="1" customHeight="1">
      <c r="B220" s="79" t="s">
        <v>204</v>
      </c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</row>
    <row r="221" spans="2:47" ht="15.75" hidden="1" customHeight="1">
      <c r="B221" s="79" t="s">
        <v>204</v>
      </c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</row>
    <row r="222" spans="2:47" ht="15.75" hidden="1" customHeight="1">
      <c r="B222" s="79" t="s">
        <v>204</v>
      </c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</row>
    <row r="223" spans="2:47" ht="15.75" hidden="1" customHeight="1">
      <c r="B223" s="79" t="s">
        <v>204</v>
      </c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</row>
    <row r="224" spans="2:47" ht="15.75" hidden="1" customHeight="1">
      <c r="B224" s="79" t="s">
        <v>204</v>
      </c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</row>
    <row r="225" spans="2:47" ht="15.75" hidden="1" customHeight="1">
      <c r="B225" s="79" t="s">
        <v>204</v>
      </c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</row>
    <row r="226" spans="2:47" ht="15.75" hidden="1" customHeight="1">
      <c r="B226" s="79" t="s">
        <v>204</v>
      </c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</row>
    <row r="227" spans="2:47" ht="15.75" hidden="1" customHeight="1">
      <c r="B227" s="79" t="s">
        <v>204</v>
      </c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</row>
    <row r="228" spans="2:47" ht="15.75" hidden="1" customHeight="1">
      <c r="B228" s="79" t="s">
        <v>204</v>
      </c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</row>
    <row r="229" spans="2:47" ht="15.75" hidden="1" customHeight="1">
      <c r="B229" s="79" t="s">
        <v>204</v>
      </c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</row>
    <row r="230" spans="2:47" ht="15.75" hidden="1" customHeight="1">
      <c r="B230" s="79" t="s">
        <v>204</v>
      </c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</row>
    <row r="231" spans="2:47" ht="15.75" hidden="1" customHeight="1">
      <c r="B231" s="79" t="s">
        <v>204</v>
      </c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</row>
    <row r="232" spans="2:47" ht="15.75" hidden="1" customHeight="1">
      <c r="B232" s="79" t="s">
        <v>204</v>
      </c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</row>
    <row r="233" spans="2:47" ht="15.75" hidden="1" customHeight="1">
      <c r="B233" s="79" t="s">
        <v>204</v>
      </c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</row>
    <row r="234" spans="2:47" ht="15.75" hidden="1" customHeight="1">
      <c r="B234" s="79" t="s">
        <v>204</v>
      </c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</row>
    <row r="235" spans="2:47" ht="15.75" hidden="1" customHeight="1">
      <c r="B235" s="79" t="s">
        <v>204</v>
      </c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</row>
    <row r="236" spans="2:47" ht="15.75" hidden="1" customHeight="1">
      <c r="B236" s="79" t="s">
        <v>204</v>
      </c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</row>
    <row r="237" spans="2:47" ht="15.75" hidden="1" customHeight="1">
      <c r="B237" s="79" t="s">
        <v>204</v>
      </c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</row>
    <row r="238" spans="2:47" ht="15.75" hidden="1" customHeight="1">
      <c r="B238" s="79" t="s">
        <v>204</v>
      </c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</row>
    <row r="239" spans="2:47" ht="15.75" hidden="1" customHeight="1">
      <c r="B239" s="79" t="s">
        <v>204</v>
      </c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</row>
    <row r="240" spans="2:47" ht="15.75" hidden="1" customHeight="1">
      <c r="B240" s="79" t="s">
        <v>204</v>
      </c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</row>
    <row r="241" spans="2:47" ht="15.75" hidden="1" customHeight="1">
      <c r="B241" s="79" t="s">
        <v>204</v>
      </c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</row>
    <row r="242" spans="2:47" ht="15.75" hidden="1" customHeight="1">
      <c r="B242" s="79" t="s">
        <v>204</v>
      </c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</row>
    <row r="243" spans="2:47" ht="15.75" hidden="1" customHeight="1">
      <c r="B243" s="79" t="s">
        <v>204</v>
      </c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</row>
    <row r="244" spans="2:47" ht="15.75" hidden="1" customHeight="1">
      <c r="B244" s="79" t="s">
        <v>204</v>
      </c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</row>
    <row r="245" spans="2:47" ht="15.75" hidden="1" customHeight="1">
      <c r="B245" s="79" t="s">
        <v>204</v>
      </c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</row>
    <row r="246" spans="2:47" ht="15.75" hidden="1" customHeight="1">
      <c r="B246" s="79" t="s">
        <v>204</v>
      </c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</row>
    <row r="247" spans="2:47" ht="15.75" hidden="1" customHeight="1">
      <c r="B247" s="79" t="s">
        <v>204</v>
      </c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</row>
    <row r="248" spans="2:47" ht="15.75" hidden="1" customHeight="1">
      <c r="B248" s="79" t="s">
        <v>204</v>
      </c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</row>
    <row r="249" spans="2:47" ht="15.75" hidden="1" customHeight="1">
      <c r="B249" s="79" t="s">
        <v>204</v>
      </c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</row>
    <row r="250" spans="2:47" ht="15.75" hidden="1" customHeight="1">
      <c r="B250" s="79" t="s">
        <v>204</v>
      </c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</row>
    <row r="251" spans="2:47" ht="15.75" hidden="1" customHeight="1">
      <c r="B251" s="79" t="s">
        <v>204</v>
      </c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</row>
    <row r="252" spans="2:47" ht="15.75" hidden="1" customHeight="1">
      <c r="B252" s="79" t="s">
        <v>204</v>
      </c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</row>
    <row r="253" spans="2:47" ht="15.75" hidden="1" customHeight="1">
      <c r="B253" s="79" t="s">
        <v>204</v>
      </c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</row>
    <row r="254" spans="2:47" ht="15.75" hidden="1" customHeight="1">
      <c r="B254" s="79" t="s">
        <v>204</v>
      </c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</row>
    <row r="255" spans="2:47" ht="15.75" hidden="1" customHeight="1">
      <c r="B255" s="79" t="s">
        <v>204</v>
      </c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</row>
    <row r="256" spans="2:47" ht="15.75" hidden="1" customHeight="1">
      <c r="B256" s="79" t="s">
        <v>204</v>
      </c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</row>
    <row r="257" spans="2:47" ht="15.75" hidden="1" customHeight="1">
      <c r="B257" s="79" t="s">
        <v>204</v>
      </c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</row>
    <row r="258" spans="2:47" ht="15.75" hidden="1" customHeight="1">
      <c r="B258" s="79" t="s">
        <v>204</v>
      </c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</row>
    <row r="259" spans="2:47" ht="15.75" hidden="1" customHeight="1">
      <c r="B259" s="79" t="s">
        <v>204</v>
      </c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</row>
    <row r="260" spans="2:47" ht="15.75" hidden="1" customHeight="1">
      <c r="B260" s="79" t="s">
        <v>204</v>
      </c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</row>
    <row r="261" spans="2:47" ht="15.75" hidden="1" customHeight="1">
      <c r="B261" s="79" t="s">
        <v>204</v>
      </c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</row>
    <row r="262" spans="2:47" ht="15.75" hidden="1" customHeight="1">
      <c r="B262" s="79" t="s">
        <v>204</v>
      </c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</row>
    <row r="263" spans="2:47" ht="15.75" hidden="1" customHeight="1">
      <c r="B263" s="79" t="s">
        <v>204</v>
      </c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</row>
    <row r="264" spans="2:47" ht="15.75" hidden="1" customHeight="1">
      <c r="B264" s="79" t="s">
        <v>204</v>
      </c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</row>
    <row r="265" spans="2:47" ht="15.75" hidden="1" customHeight="1">
      <c r="B265" s="79" t="s">
        <v>204</v>
      </c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</row>
    <row r="266" spans="2:47" ht="15.75" hidden="1" customHeight="1">
      <c r="B266" s="79" t="s">
        <v>204</v>
      </c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</row>
    <row r="267" spans="2:47" ht="15.75" hidden="1" customHeight="1">
      <c r="B267" s="79" t="s">
        <v>204</v>
      </c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</row>
    <row r="268" spans="2:47" ht="15.75" hidden="1" customHeight="1">
      <c r="B268" s="79" t="s">
        <v>204</v>
      </c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</row>
    <row r="269" spans="2:47" ht="15.75" hidden="1" customHeight="1">
      <c r="B269" s="79" t="s">
        <v>204</v>
      </c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</row>
    <row r="270" spans="2:47" ht="15.75" hidden="1" customHeight="1">
      <c r="B270" s="79" t="s">
        <v>204</v>
      </c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</row>
    <row r="271" spans="2:47" ht="15.75" hidden="1" customHeight="1">
      <c r="B271" s="79" t="s">
        <v>204</v>
      </c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</row>
    <row r="272" spans="2:47" ht="15.75" hidden="1" customHeight="1">
      <c r="B272" s="79" t="s">
        <v>204</v>
      </c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</row>
    <row r="273" spans="2:47" ht="15.75" hidden="1" customHeight="1">
      <c r="B273" s="79" t="s">
        <v>204</v>
      </c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</row>
    <row r="274" spans="2:47" ht="15.75" hidden="1" customHeight="1">
      <c r="B274" s="79" t="s">
        <v>204</v>
      </c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</row>
    <row r="275" spans="2:47" ht="15.75" hidden="1" customHeight="1">
      <c r="B275" s="79" t="s">
        <v>204</v>
      </c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</row>
    <row r="276" spans="2:47" ht="15.75" hidden="1" customHeight="1">
      <c r="B276" s="79" t="s">
        <v>204</v>
      </c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</row>
    <row r="277" spans="2:47" ht="15.75" hidden="1" customHeight="1">
      <c r="B277" s="79" t="s">
        <v>204</v>
      </c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</row>
    <row r="278" spans="2:47" ht="15.75" hidden="1" customHeight="1">
      <c r="B278" s="79" t="s">
        <v>204</v>
      </c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</row>
    <row r="279" spans="2:47" ht="15.75" hidden="1" customHeight="1">
      <c r="B279" s="79" t="s">
        <v>204</v>
      </c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</row>
    <row r="280" spans="2:47" ht="15.75" hidden="1" customHeight="1">
      <c r="B280" s="79" t="s">
        <v>204</v>
      </c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</row>
    <row r="281" spans="2:47" ht="15.75" hidden="1" customHeight="1">
      <c r="B281" s="79" t="s">
        <v>204</v>
      </c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</row>
    <row r="282" spans="2:47" ht="15.75" hidden="1" customHeight="1">
      <c r="B282" s="79" t="s">
        <v>204</v>
      </c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</row>
    <row r="283" spans="2:47" ht="15.75" hidden="1" customHeight="1">
      <c r="B283" s="79" t="s">
        <v>204</v>
      </c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</row>
    <row r="284" spans="2:47" ht="15.75" hidden="1" customHeight="1">
      <c r="B284" s="79" t="s">
        <v>204</v>
      </c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</row>
    <row r="285" spans="2:47" ht="15.75" hidden="1" customHeight="1">
      <c r="B285" s="79" t="s">
        <v>204</v>
      </c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</row>
    <row r="286" spans="2:47" ht="15.75" hidden="1" customHeight="1">
      <c r="B286" s="79" t="s">
        <v>204</v>
      </c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</row>
    <row r="287" spans="2:47" ht="15.75" hidden="1" customHeight="1">
      <c r="B287" s="79" t="s">
        <v>204</v>
      </c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</row>
    <row r="288" spans="2:47" ht="15.75" hidden="1" customHeight="1">
      <c r="B288" s="79" t="s">
        <v>204</v>
      </c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</row>
    <row r="289" spans="2:47" ht="15.75" hidden="1" customHeight="1">
      <c r="B289" s="79" t="s">
        <v>204</v>
      </c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</row>
    <row r="290" spans="2:47" ht="15.75" hidden="1" customHeight="1">
      <c r="B290" s="79" t="s">
        <v>204</v>
      </c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</row>
    <row r="291" spans="2:47" ht="15.75" hidden="1" customHeight="1">
      <c r="B291" s="79" t="s">
        <v>204</v>
      </c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</row>
    <row r="292" spans="2:47" ht="15.75" hidden="1" customHeight="1">
      <c r="B292" s="79" t="s">
        <v>204</v>
      </c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</row>
    <row r="293" spans="2:47" ht="15.75" hidden="1" customHeight="1">
      <c r="B293" s="79" t="s">
        <v>204</v>
      </c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</row>
    <row r="294" spans="2:47" ht="15.75" hidden="1" customHeight="1">
      <c r="B294" s="79" t="s">
        <v>204</v>
      </c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</row>
    <row r="295" spans="2:47" ht="15.75" hidden="1" customHeight="1">
      <c r="B295" s="79" t="s">
        <v>204</v>
      </c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</row>
    <row r="296" spans="2:47" ht="15.75" hidden="1" customHeight="1">
      <c r="B296" s="79" t="s">
        <v>204</v>
      </c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</row>
    <row r="297" spans="2:47" ht="15.75" hidden="1" customHeight="1">
      <c r="B297" s="79" t="s">
        <v>204</v>
      </c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</row>
    <row r="298" spans="2:47" ht="15.75" hidden="1" customHeight="1">
      <c r="B298" s="79" t="s">
        <v>204</v>
      </c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</row>
    <row r="299" spans="2:47" ht="15.75" hidden="1" customHeight="1">
      <c r="B299" s="79" t="s">
        <v>204</v>
      </c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</row>
    <row r="300" spans="2:47" ht="15.75" hidden="1" customHeight="1">
      <c r="B300" s="79" t="s">
        <v>204</v>
      </c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</row>
    <row r="301" spans="2:47" ht="15.75" hidden="1" customHeight="1">
      <c r="B301" s="79" t="s">
        <v>204</v>
      </c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</row>
    <row r="302" spans="2:47" ht="15.75" hidden="1" customHeight="1">
      <c r="B302" s="79" t="s">
        <v>204</v>
      </c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</row>
    <row r="303" spans="2:47" ht="15.75" hidden="1" customHeight="1">
      <c r="B303" s="79" t="s">
        <v>204</v>
      </c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</row>
    <row r="304" spans="2:47" ht="15.75" hidden="1" customHeight="1">
      <c r="B304" s="79" t="s">
        <v>204</v>
      </c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</row>
    <row r="305" spans="2:47" ht="15.75" hidden="1" customHeight="1">
      <c r="B305" s="79" t="s">
        <v>204</v>
      </c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</row>
    <row r="306" spans="2:47" ht="15.75" hidden="1" customHeight="1">
      <c r="B306" s="79" t="s">
        <v>204</v>
      </c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</row>
    <row r="307" spans="2:47" ht="15.75" hidden="1" customHeight="1">
      <c r="B307" s="79" t="s">
        <v>204</v>
      </c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</row>
    <row r="308" spans="2:47" ht="15.75" hidden="1" customHeight="1">
      <c r="B308" s="79" t="s">
        <v>204</v>
      </c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</row>
    <row r="309" spans="2:47" ht="15.75" hidden="1" customHeight="1">
      <c r="B309" s="79" t="s">
        <v>204</v>
      </c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</row>
    <row r="310" spans="2:47" ht="15.75" hidden="1" customHeight="1">
      <c r="B310" s="79" t="s">
        <v>204</v>
      </c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</row>
    <row r="311" spans="2:47" ht="15.75" hidden="1" customHeight="1">
      <c r="B311" s="79" t="s">
        <v>204</v>
      </c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</row>
    <row r="312" spans="2:47" ht="15.75" hidden="1" customHeight="1">
      <c r="B312" s="79" t="s">
        <v>204</v>
      </c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</row>
    <row r="313" spans="2:47" ht="15.75" hidden="1" customHeight="1">
      <c r="B313" s="79" t="s">
        <v>204</v>
      </c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</row>
    <row r="314" spans="2:47" ht="15.75" hidden="1" customHeight="1">
      <c r="B314" s="79" t="s">
        <v>204</v>
      </c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</row>
    <row r="315" spans="2:47" ht="15.75" hidden="1" customHeight="1">
      <c r="B315" s="79" t="s">
        <v>204</v>
      </c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</row>
    <row r="316" spans="2:47" ht="15.75" hidden="1" customHeight="1">
      <c r="B316" s="79" t="s">
        <v>204</v>
      </c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</row>
    <row r="317" spans="2:47" ht="15.75" hidden="1" customHeight="1">
      <c r="B317" s="79" t="s">
        <v>204</v>
      </c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</row>
    <row r="318" spans="2:47" ht="15.75" hidden="1" customHeight="1">
      <c r="B318" s="79" t="s">
        <v>204</v>
      </c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</row>
    <row r="319" spans="2:47" ht="15.75" hidden="1" customHeight="1">
      <c r="B319" s="79" t="s">
        <v>204</v>
      </c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</row>
    <row r="320" spans="2:47" ht="15.75" hidden="1" customHeight="1">
      <c r="B320" s="79" t="s">
        <v>204</v>
      </c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</row>
    <row r="321" spans="2:47" ht="15.75" hidden="1" customHeight="1">
      <c r="B321" s="79" t="s">
        <v>204</v>
      </c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</row>
    <row r="322" spans="2:47" ht="15.75" hidden="1" customHeight="1">
      <c r="B322" s="79" t="s">
        <v>204</v>
      </c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</row>
    <row r="323" spans="2:47" ht="15.75" hidden="1" customHeight="1">
      <c r="B323" s="79" t="s">
        <v>204</v>
      </c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</row>
    <row r="324" spans="2:47" ht="15.75" hidden="1" customHeight="1">
      <c r="B324" s="79" t="s">
        <v>204</v>
      </c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</row>
    <row r="325" spans="2:47" ht="15.75" hidden="1" customHeight="1">
      <c r="B325" s="79" t="s">
        <v>204</v>
      </c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</row>
    <row r="326" spans="2:47" ht="15.75" hidden="1" customHeight="1">
      <c r="B326" s="79" t="s">
        <v>204</v>
      </c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</row>
    <row r="327" spans="2:47" ht="15.75" hidden="1" customHeight="1">
      <c r="B327" s="79" t="s">
        <v>204</v>
      </c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</row>
    <row r="328" spans="2:47" ht="15.75" hidden="1" customHeight="1">
      <c r="B328" s="79" t="s">
        <v>204</v>
      </c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</row>
    <row r="329" spans="2:47" ht="15.75" hidden="1" customHeight="1">
      <c r="B329" s="79" t="s">
        <v>204</v>
      </c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</row>
    <row r="330" spans="2:47" ht="15.75" hidden="1" customHeight="1">
      <c r="B330" s="79" t="s">
        <v>204</v>
      </c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</row>
    <row r="331" spans="2:47" ht="15.75" hidden="1" customHeight="1">
      <c r="B331" s="79" t="s">
        <v>204</v>
      </c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</row>
    <row r="332" spans="2:47" ht="15.75" hidden="1" customHeight="1">
      <c r="B332" s="79" t="s">
        <v>204</v>
      </c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</row>
    <row r="333" spans="2:47" ht="15.75" hidden="1" customHeight="1">
      <c r="B333" s="79" t="s">
        <v>204</v>
      </c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</row>
    <row r="334" spans="2:47" ht="15.75" hidden="1" customHeight="1">
      <c r="B334" s="79" t="s">
        <v>204</v>
      </c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</row>
    <row r="335" spans="2:47" ht="15.75" hidden="1" customHeight="1">
      <c r="B335" s="79" t="s">
        <v>204</v>
      </c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</row>
    <row r="336" spans="2:47" ht="15.75" hidden="1" customHeight="1">
      <c r="B336" s="79" t="s">
        <v>204</v>
      </c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</row>
    <row r="337" spans="2:47" ht="15.75" hidden="1" customHeight="1">
      <c r="B337" s="79" t="s">
        <v>204</v>
      </c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</row>
    <row r="338" spans="2:47" ht="15.75" hidden="1" customHeight="1">
      <c r="B338" s="79" t="s">
        <v>204</v>
      </c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</row>
    <row r="339" spans="2:47" ht="15.75" hidden="1" customHeight="1">
      <c r="B339" s="79" t="s">
        <v>204</v>
      </c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</row>
    <row r="340" spans="2:47" ht="15.75" hidden="1" customHeight="1">
      <c r="B340" s="79" t="s">
        <v>204</v>
      </c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</row>
    <row r="341" spans="2:47" ht="15.75" hidden="1" customHeight="1">
      <c r="B341" s="79" t="s">
        <v>204</v>
      </c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</row>
    <row r="342" spans="2:47" ht="15.75" hidden="1" customHeight="1">
      <c r="B342" s="79" t="s">
        <v>204</v>
      </c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</row>
    <row r="343" spans="2:47" ht="15.75" hidden="1" customHeight="1">
      <c r="B343" s="79" t="s">
        <v>204</v>
      </c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</row>
    <row r="344" spans="2:47" ht="15.75" hidden="1" customHeight="1">
      <c r="B344" s="79" t="s">
        <v>204</v>
      </c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</row>
    <row r="345" spans="2:47" ht="15.75" hidden="1" customHeight="1">
      <c r="B345" s="79" t="s">
        <v>204</v>
      </c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</row>
    <row r="346" spans="2:47" ht="15.75" hidden="1" customHeight="1">
      <c r="B346" s="79" t="s">
        <v>204</v>
      </c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</row>
    <row r="347" spans="2:47" ht="15.75" hidden="1" customHeight="1">
      <c r="B347" s="79" t="s">
        <v>204</v>
      </c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</row>
    <row r="348" spans="2:47" ht="15.75" hidden="1" customHeight="1">
      <c r="B348" s="79" t="s">
        <v>204</v>
      </c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</row>
    <row r="349" spans="2:47" ht="15.75" hidden="1" customHeight="1">
      <c r="B349" s="79" t="s">
        <v>204</v>
      </c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</row>
    <row r="350" spans="2:47" ht="15.75" hidden="1" customHeight="1">
      <c r="B350" s="79" t="s">
        <v>204</v>
      </c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</row>
    <row r="351" spans="2:47" ht="15.75" hidden="1" customHeight="1">
      <c r="B351" s="79" t="s">
        <v>204</v>
      </c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</row>
    <row r="352" spans="2:47" ht="15.75" hidden="1" customHeight="1">
      <c r="B352" s="79" t="s">
        <v>204</v>
      </c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</row>
    <row r="353" spans="2:47" ht="15.75" hidden="1" customHeight="1">
      <c r="B353" s="79" t="s">
        <v>204</v>
      </c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</row>
    <row r="354" spans="2:47" ht="15.75" hidden="1" customHeight="1">
      <c r="B354" s="79" t="s">
        <v>204</v>
      </c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</row>
    <row r="355" spans="2:47" ht="15.75" hidden="1" customHeight="1">
      <c r="B355" s="79" t="s">
        <v>204</v>
      </c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</row>
    <row r="356" spans="2:47" ht="15.75" hidden="1" customHeight="1">
      <c r="B356" s="79" t="s">
        <v>204</v>
      </c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</row>
    <row r="357" spans="2:47" ht="15.75" hidden="1" customHeight="1">
      <c r="B357" s="79" t="s">
        <v>204</v>
      </c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</row>
    <row r="358" spans="2:47" ht="15.75" hidden="1" customHeight="1">
      <c r="B358" s="79" t="s">
        <v>204</v>
      </c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</row>
    <row r="359" spans="2:47" ht="15.75" hidden="1" customHeight="1">
      <c r="B359" s="79" t="s">
        <v>204</v>
      </c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</row>
    <row r="360" spans="2:47" ht="15.75" hidden="1" customHeight="1">
      <c r="B360" s="79" t="s">
        <v>204</v>
      </c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</row>
    <row r="361" spans="2:47" ht="15.75" hidden="1" customHeight="1">
      <c r="B361" s="79" t="s">
        <v>204</v>
      </c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</row>
    <row r="362" spans="2:47" ht="15.75" hidden="1" customHeight="1">
      <c r="B362" s="79" t="s">
        <v>204</v>
      </c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</row>
    <row r="363" spans="2:47" ht="15.75" hidden="1" customHeight="1">
      <c r="B363" s="79" t="s">
        <v>204</v>
      </c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</row>
    <row r="364" spans="2:47" ht="15.75" hidden="1" customHeight="1">
      <c r="B364" s="79" t="s">
        <v>204</v>
      </c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</row>
    <row r="365" spans="2:47" ht="15.75" hidden="1" customHeight="1">
      <c r="B365" s="79" t="s">
        <v>204</v>
      </c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</row>
    <row r="366" spans="2:47" ht="15.75" hidden="1" customHeight="1">
      <c r="B366" s="79" t="s">
        <v>204</v>
      </c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</row>
    <row r="367" spans="2:47" ht="15.75" hidden="1" customHeight="1">
      <c r="B367" s="79" t="s">
        <v>204</v>
      </c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</row>
    <row r="368" spans="2:47" ht="15.75" hidden="1" customHeight="1">
      <c r="B368" s="79" t="s">
        <v>204</v>
      </c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</row>
    <row r="369" spans="2:47" ht="15.75" hidden="1" customHeight="1">
      <c r="B369" s="79" t="s">
        <v>204</v>
      </c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</row>
    <row r="370" spans="2:47" ht="15.75" hidden="1" customHeight="1">
      <c r="B370" s="79" t="s">
        <v>204</v>
      </c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</row>
    <row r="371" spans="2:47" ht="15.75" hidden="1" customHeight="1">
      <c r="B371" s="79" t="s">
        <v>204</v>
      </c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</row>
    <row r="372" spans="2:47" ht="15.75" hidden="1" customHeight="1">
      <c r="B372" s="79" t="s">
        <v>204</v>
      </c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</row>
    <row r="373" spans="2:47" ht="15.75" hidden="1" customHeight="1">
      <c r="B373" s="79" t="s">
        <v>204</v>
      </c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</row>
    <row r="374" spans="2:47" ht="15.75" customHeight="1">
      <c r="B374" s="79" t="s">
        <v>274</v>
      </c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</row>
    <row r="375" spans="2:47" ht="15.75" customHeight="1"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</row>
    <row r="376" spans="2:47" ht="15.75" customHeight="1"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</row>
    <row r="377" spans="2:47" ht="15.75" customHeight="1"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</row>
    <row r="378" spans="2:47" ht="15.75" customHeight="1"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</row>
    <row r="379" spans="2:47" ht="15.75" customHeight="1"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</row>
    <row r="380" spans="2:47" ht="15.75" customHeight="1"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</row>
    <row r="381" spans="2:47" ht="15.75" customHeight="1"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</row>
    <row r="382" spans="2:47" ht="15.75" customHeight="1"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</row>
    <row r="383" spans="2:47" ht="15.75" customHeight="1"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</row>
    <row r="384" spans="2:47" ht="15.75" customHeight="1"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</row>
    <row r="385" spans="2:47" ht="15.75" customHeight="1"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</row>
    <row r="386" spans="2:47" ht="15.75" customHeight="1"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</row>
    <row r="387" spans="2:47" ht="15.75" customHeight="1"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</row>
    <row r="388" spans="2:47" ht="15.75" customHeight="1"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</row>
    <row r="389" spans="2:47" ht="15.75" customHeight="1"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</row>
    <row r="390" spans="2:47" ht="15.75" customHeight="1"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</row>
    <row r="391" spans="2:47" ht="15.75" customHeight="1"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</row>
    <row r="392" spans="2:47" ht="15.75" customHeight="1"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</row>
    <row r="393" spans="2:47" ht="15.75" customHeight="1"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</row>
    <row r="394" spans="2:47" ht="15.75" customHeight="1"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</row>
    <row r="395" spans="2:47" ht="15.75" customHeight="1"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</row>
    <row r="396" spans="2:47" ht="15.75" customHeight="1"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</row>
    <row r="397" spans="2:47" ht="15.75" customHeight="1"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</row>
    <row r="398" spans="2:47" ht="15.75" customHeight="1"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</row>
    <row r="399" spans="2:47" ht="15.75" customHeight="1"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</row>
    <row r="400" spans="2:47" ht="15.75" customHeight="1"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</row>
    <row r="401" spans="2:47" ht="15.75" customHeight="1"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</row>
    <row r="402" spans="2:47" ht="15.75" customHeight="1"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</row>
    <row r="403" spans="2:47" ht="15.75" customHeight="1"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</row>
    <row r="404" spans="2:47" ht="15.75" customHeight="1"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</row>
    <row r="405" spans="2:47" ht="15.75" customHeight="1"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</row>
    <row r="406" spans="2:47" ht="15.75" customHeight="1"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</row>
    <row r="407" spans="2:47" ht="15.75" customHeight="1"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</row>
    <row r="408" spans="2:47" ht="15.75" customHeight="1"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</row>
    <row r="409" spans="2:47" ht="15.75" customHeight="1"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</row>
    <row r="410" spans="2:47" ht="15.75" customHeight="1"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</row>
    <row r="411" spans="2:47" ht="15.75" customHeight="1"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</row>
    <row r="412" spans="2:47" ht="15.75" customHeight="1"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</row>
    <row r="413" spans="2:47" ht="15.75" customHeight="1"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</row>
    <row r="414" spans="2:47" ht="15.75" customHeight="1"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</row>
    <row r="415" spans="2:47" ht="15.75" customHeight="1"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</row>
    <row r="416" spans="2:47" ht="15.75" customHeight="1"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</row>
    <row r="417" spans="2:47" ht="15.75" customHeight="1"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</row>
    <row r="418" spans="2:47" ht="15.75" customHeight="1"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</row>
    <row r="419" spans="2:47" ht="15.75" customHeight="1"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</row>
    <row r="420" spans="2:47" ht="15.75" customHeight="1"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</row>
    <row r="421" spans="2:47" ht="15.75" customHeight="1"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</row>
    <row r="422" spans="2:47" ht="15.75" customHeight="1"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</row>
    <row r="423" spans="2:47" ht="15.75" customHeight="1"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</row>
    <row r="424" spans="2:47" ht="15.75" customHeight="1"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</row>
    <row r="425" spans="2:47" ht="15.75" customHeight="1"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</row>
    <row r="426" spans="2:47" ht="15.75" customHeight="1"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</row>
    <row r="427" spans="2:47" ht="15.75" customHeight="1"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</row>
    <row r="428" spans="2:47" ht="15.75" customHeight="1"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</row>
    <row r="429" spans="2:47" ht="15.75" customHeight="1"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</row>
    <row r="430" spans="2:47" ht="15.75" customHeight="1"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</row>
    <row r="431" spans="2:47" ht="15.75" customHeight="1"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</row>
    <row r="432" spans="2:47" ht="15.75" customHeight="1"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</row>
    <row r="433" spans="2:47" ht="15.75" customHeight="1"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</row>
    <row r="434" spans="2:47" ht="15.75" customHeight="1"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</row>
    <row r="435" spans="2:47" ht="15.75" customHeight="1"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</row>
    <row r="436" spans="2:47" ht="15.75" customHeight="1"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</row>
    <row r="437" spans="2:47" ht="15.75" customHeight="1"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</row>
    <row r="438" spans="2:47" ht="15.75" customHeight="1"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</row>
    <row r="439" spans="2:47" ht="15.75" customHeight="1"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</row>
    <row r="440" spans="2:47" ht="15.75" customHeight="1"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</row>
    <row r="441" spans="2:47" ht="15.75" customHeight="1"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</row>
    <row r="442" spans="2:47" ht="15.75" customHeight="1"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</row>
    <row r="443" spans="2:47" ht="15.75" customHeight="1"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</row>
    <row r="444" spans="2:47" ht="15.75" customHeight="1"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</row>
    <row r="445" spans="2:47" ht="15.75" customHeight="1"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</row>
    <row r="446" spans="2:47" ht="15.75" customHeight="1"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</row>
    <row r="447" spans="2:47" ht="15.75" customHeight="1"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</row>
    <row r="448" spans="2:47" ht="15.75" customHeight="1"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</row>
    <row r="449" spans="2:47" ht="15.75" customHeight="1"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</row>
    <row r="450" spans="2:47" ht="15.75" customHeight="1"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</row>
    <row r="451" spans="2:47" ht="15.75" customHeight="1"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</row>
    <row r="452" spans="2:47" ht="15.75" customHeight="1"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</row>
    <row r="453" spans="2:47" ht="15.75" customHeight="1"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</row>
    <row r="454" spans="2:47" ht="15.75" customHeight="1"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</row>
    <row r="455" spans="2:47" ht="15.75" customHeight="1"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</row>
    <row r="456" spans="2:47" ht="15.75" customHeight="1"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</row>
    <row r="457" spans="2:47" ht="15.75" customHeight="1"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</row>
    <row r="458" spans="2:47" ht="15.75" customHeight="1"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</row>
    <row r="459" spans="2:47" ht="15.75" customHeight="1"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</row>
    <row r="460" spans="2:47" ht="15.75" customHeight="1"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</row>
    <row r="461" spans="2:47" ht="15.75" customHeight="1"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</row>
    <row r="462" spans="2:47" ht="15.75" customHeight="1"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</row>
    <row r="463" spans="2:47" ht="15.75" customHeight="1"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</row>
    <row r="464" spans="2:47" ht="15.75" customHeight="1"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</row>
    <row r="465" spans="2:47" ht="15.75" customHeight="1"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</row>
    <row r="466" spans="2:47" ht="15.75" customHeight="1"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</row>
    <row r="467" spans="2:47" ht="15.75" customHeight="1"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</row>
    <row r="468" spans="2:47" ht="15.75" customHeight="1"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</row>
    <row r="469" spans="2:47" ht="15.75" customHeight="1"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</row>
    <row r="470" spans="2:47" ht="15.75" customHeight="1"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</row>
    <row r="471" spans="2:47" ht="15.75" customHeight="1"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</row>
    <row r="472" spans="2:47" ht="15.75" customHeight="1"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</row>
    <row r="473" spans="2:47" ht="15.75" customHeight="1"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</row>
    <row r="474" spans="2:47" ht="15.75" customHeight="1"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</row>
    <row r="475" spans="2:47" ht="15.75" customHeight="1"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</row>
    <row r="476" spans="2:47" ht="15.75" customHeight="1"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</row>
    <row r="477" spans="2:47" ht="15.75" customHeight="1"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</row>
    <row r="478" spans="2:47" ht="15.75" customHeight="1"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</row>
    <row r="479" spans="2:47" ht="15.75" customHeight="1"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</row>
    <row r="480" spans="2:47" ht="15.75" customHeight="1"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</row>
    <row r="481" spans="2:47" ht="15.75" customHeight="1"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</row>
    <row r="482" spans="2:47" ht="15.75" customHeight="1"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</row>
    <row r="483" spans="2:47" ht="15.75" customHeight="1"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</row>
    <row r="484" spans="2:47" ht="15.75" customHeight="1"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</row>
    <row r="485" spans="2:47" ht="15.75" customHeight="1"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</row>
    <row r="486" spans="2:47" ht="15.75" customHeight="1"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</row>
    <row r="487" spans="2:47" ht="15.75" customHeight="1"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</row>
    <row r="488" spans="2:47" ht="15.75" customHeight="1"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</row>
    <row r="489" spans="2:47" ht="15.75" customHeight="1"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</row>
    <row r="490" spans="2:47" ht="15.75" customHeight="1"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</row>
    <row r="491" spans="2:47" ht="15.75" customHeight="1"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</row>
    <row r="492" spans="2:47" ht="15.75" customHeight="1"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</row>
    <row r="493" spans="2:47" ht="15.75" customHeight="1"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</row>
    <row r="494" spans="2:47" ht="15.75" customHeight="1"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</row>
    <row r="495" spans="2:47" ht="15.75" customHeight="1"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</row>
    <row r="496" spans="2:47" ht="15.75" customHeight="1"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</row>
    <row r="497" spans="2:47" ht="15.75" customHeight="1"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</row>
    <row r="498" spans="2:47" ht="15.75" customHeight="1"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</row>
    <row r="499" spans="2:47" ht="15.75" customHeight="1"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</row>
    <row r="500" spans="2:47" ht="15.75" customHeight="1"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</row>
    <row r="501" spans="2:47" ht="15.75" customHeight="1"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</row>
    <row r="502" spans="2:47" ht="15.75" customHeight="1"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</row>
    <row r="503" spans="2:47" ht="15.75" customHeight="1"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</row>
    <row r="504" spans="2:47" ht="15.75" customHeight="1"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</row>
    <row r="505" spans="2:47" ht="15.75" customHeight="1"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</row>
    <row r="506" spans="2:47" ht="15.75" customHeight="1"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</row>
    <row r="507" spans="2:47" ht="15.75" customHeight="1"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</row>
    <row r="508" spans="2:47" ht="15.75" customHeight="1"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</row>
    <row r="509" spans="2:47" ht="15.75" customHeight="1"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</row>
    <row r="510" spans="2:47" ht="15.75" customHeight="1"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</row>
    <row r="511" spans="2:47" ht="15.75" customHeight="1"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</row>
    <row r="512" spans="2:47" ht="15.75" customHeight="1"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</row>
    <row r="513" spans="2:47" ht="15.75" customHeight="1"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</row>
    <row r="514" spans="2:47" ht="15.75" customHeight="1"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</row>
    <row r="515" spans="2:47" ht="15.75" customHeight="1"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</row>
    <row r="516" spans="2:47" ht="15.75" customHeight="1"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</row>
    <row r="517" spans="2:47" ht="15.75" customHeight="1"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</row>
    <row r="518" spans="2:47" ht="15.75" customHeight="1"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</row>
    <row r="519" spans="2:47" ht="15.75" customHeight="1"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</row>
    <row r="520" spans="2:47" ht="15.75" customHeight="1"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</row>
    <row r="521" spans="2:47" ht="15.75" customHeight="1"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</row>
    <row r="522" spans="2:47" ht="15.75" customHeight="1"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</row>
    <row r="523" spans="2:47" ht="15.75" customHeight="1"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</row>
    <row r="524" spans="2:47" ht="15.75" customHeight="1"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</row>
    <row r="525" spans="2:47" ht="15.75" customHeight="1"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</row>
    <row r="526" spans="2:47" ht="15.75" customHeight="1"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</row>
    <row r="527" spans="2:47" ht="15.75" customHeight="1"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</row>
    <row r="528" spans="2:47" ht="15.75" customHeight="1"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</row>
    <row r="529" spans="2:47" ht="15.75" customHeight="1"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</row>
    <row r="530" spans="2:47" ht="15.75" customHeight="1"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</row>
    <row r="531" spans="2:47" ht="15.75" customHeight="1"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</row>
    <row r="532" spans="2:47" ht="15.75" customHeight="1"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</row>
    <row r="533" spans="2:47" ht="15.75" customHeight="1"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</row>
    <row r="534" spans="2:47" ht="15.75" customHeight="1"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</row>
    <row r="535" spans="2:47" ht="15.75" customHeight="1"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</row>
    <row r="536" spans="2:47" ht="15.75" customHeight="1"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</row>
    <row r="537" spans="2:47" ht="15.75" customHeight="1"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</row>
    <row r="538" spans="2:47" ht="15.75" customHeight="1"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</row>
    <row r="539" spans="2:47" ht="15.75" customHeight="1"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</row>
    <row r="540" spans="2:47" ht="15.75" customHeight="1"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</row>
    <row r="541" spans="2:47" ht="15.75" customHeight="1"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</row>
    <row r="542" spans="2:47" ht="15.75" customHeight="1"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</row>
    <row r="543" spans="2:47" ht="15.75" customHeight="1"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</row>
    <row r="544" spans="2:47" ht="15.75" customHeight="1"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</row>
    <row r="545" spans="2:47" ht="15.75" customHeight="1"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</row>
    <row r="546" spans="2:47" ht="15.75" customHeight="1"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</row>
    <row r="547" spans="2:47" ht="15.75" customHeight="1"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</row>
    <row r="548" spans="2:47" ht="15.75" customHeight="1"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</row>
    <row r="549" spans="2:47" ht="15.75" customHeight="1"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</row>
    <row r="550" spans="2:47" ht="15.75" customHeight="1"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</row>
    <row r="551" spans="2:47" ht="15.75" customHeight="1"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</row>
    <row r="552" spans="2:47" ht="15.75" customHeight="1"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</row>
    <row r="553" spans="2:47" ht="15.75" customHeight="1"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</row>
    <row r="554" spans="2:47" ht="15.75" customHeight="1"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</row>
    <row r="555" spans="2:47" ht="15.75" customHeight="1"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</row>
    <row r="556" spans="2:47" ht="15.75" customHeight="1"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</row>
    <row r="557" spans="2:47" ht="15.75" customHeight="1"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</row>
    <row r="558" spans="2:47" ht="15.75" customHeight="1"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</row>
    <row r="559" spans="2:47" ht="15.75" customHeight="1"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</row>
    <row r="560" spans="2:47" ht="15.75" customHeight="1"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</row>
    <row r="561" spans="2:47" ht="15.75" customHeight="1"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</row>
    <row r="562" spans="2:47" ht="15.75" customHeight="1"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</row>
    <row r="563" spans="2:47" ht="15.75" customHeight="1"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</row>
    <row r="564" spans="2:47" ht="15.75" customHeight="1"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</row>
    <row r="565" spans="2:47" ht="15.75" customHeight="1"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</row>
    <row r="566" spans="2:47" ht="15.75" customHeight="1"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</row>
    <row r="567" spans="2:47" ht="15.75" customHeight="1"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</row>
    <row r="568" spans="2:47" ht="15.75" customHeight="1"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</row>
    <row r="569" spans="2:47" ht="15.75" customHeight="1"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</row>
    <row r="570" spans="2:47" ht="15.75" customHeight="1"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</row>
    <row r="571" spans="2:47" ht="15.75" customHeight="1"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</row>
    <row r="572" spans="2:47" ht="15.75" customHeight="1"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</row>
    <row r="573" spans="2:47" ht="15.75" customHeight="1"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</row>
    <row r="574" spans="2:47" ht="15.75" customHeight="1"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</row>
    <row r="575" spans="2:47" ht="15.75" customHeight="1"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</row>
    <row r="576" spans="2:47" ht="15.75" customHeight="1"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</row>
    <row r="577" spans="2:47" ht="15.75" customHeight="1"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</row>
    <row r="578" spans="2:47" ht="15.75" customHeight="1"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</row>
    <row r="579" spans="2:47" ht="15.75" customHeight="1"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</row>
    <row r="580" spans="2:47" ht="15.75" customHeight="1"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</row>
    <row r="581" spans="2:47" ht="15.75" customHeight="1"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</row>
    <row r="582" spans="2:47" ht="15.75" customHeight="1"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</row>
    <row r="583" spans="2:47" ht="15.75" customHeight="1"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</row>
    <row r="584" spans="2:47" ht="15.75" customHeight="1"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</row>
    <row r="585" spans="2:47" ht="15.75" customHeight="1"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</row>
    <row r="586" spans="2:47" ht="15.75" customHeight="1"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</row>
    <row r="587" spans="2:47" ht="15.75" customHeight="1"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</row>
    <row r="588" spans="2:47" ht="15.75" customHeight="1"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</row>
    <row r="589" spans="2:47" ht="15.75" customHeight="1"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</row>
    <row r="590" spans="2:47" ht="15.75" customHeight="1"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</row>
    <row r="591" spans="2:47" ht="15.75" customHeight="1"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</row>
    <row r="592" spans="2:47" ht="15.75" customHeight="1"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</row>
    <row r="593" spans="2:47" ht="15.75" customHeight="1"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</row>
    <row r="594" spans="2:47" ht="15.75" customHeight="1"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</row>
    <row r="595" spans="2:47" ht="15.75" customHeight="1"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</row>
    <row r="596" spans="2:47" ht="15.75" customHeight="1"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</row>
    <row r="597" spans="2:47" ht="15.75" customHeight="1"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</row>
    <row r="598" spans="2:47" ht="15.75" customHeight="1"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</row>
    <row r="599" spans="2:47" ht="15.75" customHeight="1"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</row>
    <row r="600" spans="2:47" ht="15.75" customHeight="1"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</row>
    <row r="601" spans="2:47" ht="15.75" customHeight="1"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</row>
    <row r="602" spans="2:47" ht="15.75" customHeight="1"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</row>
    <row r="603" spans="2:47" ht="15.75" customHeight="1"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</row>
    <row r="604" spans="2:47" ht="15.75" customHeight="1"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</row>
    <row r="605" spans="2:47" ht="15.75" customHeight="1"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</row>
    <row r="606" spans="2:47" ht="15.75" customHeight="1"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</row>
    <row r="607" spans="2:47" ht="15.75" customHeight="1"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</row>
    <row r="608" spans="2:47" ht="15.75" customHeight="1"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</row>
    <row r="609" spans="2:47" ht="15.75" customHeight="1"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</row>
    <row r="610" spans="2:47" ht="15.75" customHeight="1"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</row>
    <row r="611" spans="2:47" ht="15.75" customHeight="1"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</row>
    <row r="612" spans="2:47" ht="15.75" customHeight="1"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</row>
    <row r="613" spans="2:47" ht="15.75" customHeight="1"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</row>
    <row r="614" spans="2:47" ht="15.75" customHeight="1"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</row>
    <row r="615" spans="2:47" ht="15.75" customHeight="1"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</row>
    <row r="616" spans="2:47" ht="15.75" customHeight="1"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</row>
    <row r="617" spans="2:47" ht="15.75" customHeight="1"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</row>
    <row r="618" spans="2:47" ht="15.75" customHeight="1"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</row>
    <row r="619" spans="2:47" ht="15.75" customHeight="1"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</row>
    <row r="620" spans="2:47" ht="15.75" customHeight="1"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</row>
    <row r="621" spans="2:47" ht="15.75" customHeight="1"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</row>
    <row r="622" spans="2:47" ht="15.75" customHeight="1"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</row>
    <row r="623" spans="2:47" ht="15.75" customHeight="1"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</row>
    <row r="624" spans="2:47" ht="15.75" customHeight="1"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</row>
    <row r="625" spans="2:47" ht="15.75" customHeight="1"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</row>
    <row r="626" spans="2:47" ht="15.75" customHeight="1"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</row>
    <row r="627" spans="2:47" ht="15.75" customHeight="1"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</row>
    <row r="628" spans="2:47" ht="15.75" customHeight="1"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</row>
    <row r="629" spans="2:47" ht="15.75" customHeight="1"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</row>
    <row r="630" spans="2:47" ht="15.75" customHeight="1"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</row>
    <row r="631" spans="2:47" ht="15.75" customHeight="1"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</row>
    <row r="632" spans="2:47" ht="15.75" customHeight="1"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</row>
    <row r="633" spans="2:47" ht="15.75" customHeight="1"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</row>
    <row r="634" spans="2:47" ht="15.75" customHeight="1"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</row>
    <row r="635" spans="2:47" ht="15.75" customHeight="1"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</row>
    <row r="636" spans="2:47" ht="15.75" customHeight="1"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</row>
    <row r="637" spans="2:47" ht="15.75" customHeight="1"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</row>
    <row r="638" spans="2:47" ht="15.75" customHeight="1"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</row>
    <row r="639" spans="2:47" ht="15.75" customHeight="1"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</row>
    <row r="640" spans="2:47" ht="15.75" customHeight="1"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</row>
    <row r="641" spans="2:47" ht="15.75" customHeight="1"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</row>
    <row r="642" spans="2:47" ht="15.75" customHeight="1"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</row>
    <row r="643" spans="2:47" ht="15.75" customHeight="1"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</row>
    <row r="644" spans="2:47" ht="15.75" customHeight="1"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</row>
    <row r="645" spans="2:47" ht="15.75" customHeight="1"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</row>
    <row r="646" spans="2:47" ht="15.75" customHeight="1"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</row>
    <row r="647" spans="2:47" ht="15.75" customHeight="1"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</row>
    <row r="648" spans="2:47" ht="15.75" customHeight="1"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</row>
    <row r="649" spans="2:47" ht="15.75" customHeight="1"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</row>
    <row r="650" spans="2:47" ht="15.75" customHeight="1"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</row>
    <row r="651" spans="2:47" ht="15.75" customHeight="1"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</row>
    <row r="652" spans="2:47" ht="15.75" customHeight="1"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</row>
    <row r="653" spans="2:47" ht="15.75" customHeight="1"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</row>
    <row r="654" spans="2:47" ht="15.75" customHeight="1"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</row>
    <row r="655" spans="2:47" ht="15.75" customHeight="1"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</row>
    <row r="656" spans="2:47" ht="15.75" customHeight="1"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</row>
    <row r="657" spans="2:47" ht="15.75" customHeight="1"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</row>
    <row r="658" spans="2:47" ht="15.75" customHeight="1"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</row>
    <row r="659" spans="2:47" ht="15.75" customHeight="1"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</row>
    <row r="660" spans="2:47" ht="15.75" customHeight="1"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</row>
    <row r="661" spans="2:47" ht="15.75" customHeight="1"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</row>
    <row r="662" spans="2:47" ht="15.75" customHeight="1"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</row>
    <row r="663" spans="2:47" ht="15.75" customHeight="1"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</row>
    <row r="664" spans="2:47" ht="15.75" customHeight="1"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</row>
    <row r="665" spans="2:47" ht="15.75" customHeight="1"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</row>
    <row r="666" spans="2:47" ht="15.75" customHeight="1"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</row>
    <row r="667" spans="2:47" ht="15.75" customHeight="1"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</row>
    <row r="668" spans="2:47" ht="15.75" customHeight="1"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</row>
    <row r="669" spans="2:47" ht="15.75" customHeight="1"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</row>
    <row r="670" spans="2:47" ht="15.75" customHeight="1"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</row>
    <row r="671" spans="2:47" ht="15.75" customHeight="1"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</row>
    <row r="672" spans="2:47" ht="15.75" customHeight="1"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</row>
    <row r="673" spans="2:47" ht="15.75" customHeight="1"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</row>
    <row r="674" spans="2:47" ht="15.75" customHeight="1"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</row>
    <row r="675" spans="2:47" ht="15.75" customHeight="1"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</row>
    <row r="676" spans="2:47" ht="15.75" customHeight="1"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</row>
    <row r="677" spans="2:47" ht="15.75" customHeight="1"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</row>
    <row r="678" spans="2:47" ht="15.75" customHeight="1"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</row>
    <row r="679" spans="2:47" ht="15.75" customHeight="1"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</row>
    <row r="680" spans="2:47" ht="15.75" customHeight="1"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</row>
    <row r="681" spans="2:47" ht="15.75" customHeight="1"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</row>
    <row r="682" spans="2:47" ht="15.75" customHeight="1"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</row>
    <row r="683" spans="2:47" ht="15.75" customHeight="1"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</row>
    <row r="684" spans="2:47" ht="15.75" customHeight="1"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</row>
    <row r="685" spans="2:47" ht="15.75" customHeight="1"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</row>
    <row r="686" spans="2:47" ht="15.75" customHeight="1"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</row>
    <row r="687" spans="2:47" ht="15.75" customHeight="1"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</row>
    <row r="688" spans="2:47" ht="15.75" customHeight="1"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</row>
    <row r="689" spans="2:47" ht="15.75" customHeight="1"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</row>
    <row r="690" spans="2:47" ht="15.75" customHeight="1"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</row>
    <row r="691" spans="2:47" ht="15.75" customHeight="1"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</row>
    <row r="692" spans="2:47" ht="15.75" customHeight="1"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</row>
    <row r="693" spans="2:47" ht="15.75" customHeight="1"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</row>
    <row r="694" spans="2:47" ht="15.75" customHeight="1"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</row>
    <row r="695" spans="2:47" ht="15.75" customHeight="1"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</row>
    <row r="696" spans="2:47" ht="15.75" customHeight="1"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</row>
    <row r="697" spans="2:47" ht="15.75" customHeight="1"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</row>
    <row r="698" spans="2:47" ht="15.75" customHeight="1"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</row>
    <row r="699" spans="2:47" ht="15.75" customHeight="1"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</row>
    <row r="700" spans="2:47" ht="15.75" customHeight="1"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</row>
    <row r="701" spans="2:47" ht="15.75" customHeight="1"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</row>
    <row r="702" spans="2:47" ht="15.75" customHeight="1"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</row>
    <row r="703" spans="2:47" ht="15.75" customHeight="1"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</row>
    <row r="704" spans="2:47" ht="15.75" customHeight="1"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</row>
    <row r="705" spans="2:47" ht="15.75" customHeight="1"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</row>
    <row r="706" spans="2:47" ht="15.75" customHeight="1"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</row>
    <row r="707" spans="2:47" ht="15.75" customHeight="1"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</row>
    <row r="708" spans="2:47" ht="15.75" customHeight="1"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</row>
    <row r="709" spans="2:47" ht="15.75" customHeight="1"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</row>
    <row r="710" spans="2:47" ht="15.75" customHeight="1"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</row>
    <row r="711" spans="2:47" ht="15.75" customHeight="1"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</row>
    <row r="712" spans="2:47" ht="15.75" customHeight="1"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</row>
    <row r="713" spans="2:47" ht="15.75" customHeight="1"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</row>
    <row r="714" spans="2:47" ht="15.75" customHeight="1"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</row>
    <row r="715" spans="2:47" ht="15.75" customHeight="1"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</row>
    <row r="716" spans="2:47" ht="15.75" customHeight="1"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</row>
    <row r="717" spans="2:47" ht="15.75" customHeight="1"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</row>
    <row r="718" spans="2:47" ht="15.75" customHeight="1"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</row>
    <row r="719" spans="2:47" ht="15.75" customHeight="1"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</row>
    <row r="720" spans="2:47" ht="15.75" customHeight="1"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</row>
    <row r="721" spans="2:47" ht="15.75" customHeight="1"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</row>
    <row r="722" spans="2:47" ht="15.75" customHeight="1"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</row>
    <row r="723" spans="2:47" ht="15.75" customHeight="1"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</row>
    <row r="724" spans="2:47" ht="15.75" customHeight="1"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</row>
    <row r="725" spans="2:47" ht="15.75" customHeight="1"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</row>
    <row r="726" spans="2:47" ht="15.75" customHeight="1"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</row>
    <row r="727" spans="2:47" ht="15.75" customHeight="1"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</row>
    <row r="728" spans="2:47" ht="15.75" customHeight="1"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</row>
    <row r="729" spans="2:47" ht="15.75" customHeight="1"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</row>
    <row r="730" spans="2:47" ht="15.75" customHeight="1"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</row>
    <row r="731" spans="2:47" ht="15.75" customHeight="1"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</row>
    <row r="732" spans="2:47" ht="15.75" customHeight="1"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</row>
    <row r="733" spans="2:47" ht="15.75" customHeight="1"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</row>
    <row r="734" spans="2:47" ht="15.75" customHeight="1"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</row>
    <row r="735" spans="2:47" ht="15.75" customHeight="1"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</row>
    <row r="736" spans="2:47" ht="15.75" customHeight="1"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</row>
    <row r="737" spans="2:47" ht="15.75" customHeight="1"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</row>
    <row r="738" spans="2:47" ht="15.75" customHeight="1"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</row>
    <row r="739" spans="2:47" ht="15.75" customHeight="1"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</row>
    <row r="740" spans="2:47" ht="15.75" customHeight="1"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</row>
    <row r="741" spans="2:47" ht="15.75" customHeight="1"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</row>
    <row r="742" spans="2:47" ht="15.75" customHeight="1"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</row>
    <row r="743" spans="2:47" ht="15.75" customHeight="1"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</row>
    <row r="744" spans="2:47" ht="15.75" customHeight="1"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</row>
    <row r="745" spans="2:47" ht="15.75" customHeight="1"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</row>
    <row r="746" spans="2:47" ht="15.75" customHeight="1"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</row>
    <row r="747" spans="2:47" ht="15.75" customHeight="1"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</row>
    <row r="748" spans="2:47" ht="15.75" customHeight="1"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</row>
    <row r="749" spans="2:47" ht="15.75" customHeight="1"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</row>
    <row r="750" spans="2:47" ht="15.75" customHeight="1"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</row>
    <row r="751" spans="2:47" ht="15.75" customHeight="1"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</row>
    <row r="752" spans="2:47" ht="15.75" customHeight="1"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</row>
    <row r="753" spans="2:47" ht="15.75" customHeight="1"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</row>
    <row r="754" spans="2:47" ht="15.75" customHeight="1"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</row>
    <row r="755" spans="2:47" ht="15.75" customHeight="1"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</row>
    <row r="756" spans="2:47" ht="15.75" customHeight="1"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</row>
    <row r="757" spans="2:47" ht="15.75" customHeight="1"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</row>
    <row r="758" spans="2:47" ht="15.75" customHeight="1"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</row>
    <row r="759" spans="2:47" ht="15.75" customHeight="1"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</row>
    <row r="760" spans="2:47" ht="15.75" customHeight="1"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</row>
    <row r="761" spans="2:47" ht="15.75" customHeight="1"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</row>
    <row r="762" spans="2:47" ht="15.75" customHeight="1"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</row>
    <row r="763" spans="2:47" ht="15.75" customHeight="1"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</row>
    <row r="764" spans="2:47" ht="15.75" customHeight="1"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</row>
    <row r="765" spans="2:47" ht="15.75" customHeight="1"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</row>
    <row r="766" spans="2:47" ht="15.75" customHeight="1"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</row>
    <row r="767" spans="2:47" ht="15.75" customHeight="1"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</row>
    <row r="768" spans="2:47" ht="15.75" customHeight="1"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</row>
    <row r="769" spans="2:47" ht="15.75" customHeight="1"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</row>
    <row r="770" spans="2:47" ht="15.75" customHeight="1"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</row>
    <row r="771" spans="2:47" ht="15.75" customHeight="1"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</row>
    <row r="772" spans="2:47" ht="15.75" customHeight="1"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</row>
    <row r="773" spans="2:47" ht="15.75" customHeight="1"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</row>
    <row r="774" spans="2:47" ht="15.75" customHeight="1"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</row>
    <row r="775" spans="2:47" ht="15.75" customHeight="1"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</row>
    <row r="776" spans="2:47" ht="15.75" customHeight="1"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</row>
    <row r="777" spans="2:47" ht="15.75" customHeight="1"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</row>
    <row r="778" spans="2:47" ht="15.75" customHeight="1"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</row>
    <row r="779" spans="2:47" ht="15.75" customHeight="1"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</row>
    <row r="780" spans="2:47" ht="15.75" customHeight="1"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</row>
    <row r="781" spans="2:47" ht="15.75" customHeight="1"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</row>
    <row r="782" spans="2:47" ht="15.75" customHeight="1"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</row>
    <row r="783" spans="2:47" ht="15.75" customHeight="1"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</row>
    <row r="784" spans="2:47" ht="15.75" customHeight="1"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</row>
    <row r="785" spans="2:47" ht="15.75" customHeight="1"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</row>
    <row r="786" spans="2:47" ht="15.75" customHeight="1"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</row>
    <row r="787" spans="2:47" ht="15.75" customHeight="1"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</row>
    <row r="788" spans="2:47" ht="15.75" customHeight="1"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</row>
    <row r="789" spans="2:47" ht="15.75" customHeight="1"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</row>
    <row r="790" spans="2:47" ht="15.75" customHeight="1"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</row>
    <row r="791" spans="2:47" ht="15.75" customHeight="1"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</row>
    <row r="792" spans="2:47" ht="15.75" customHeight="1"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</row>
    <row r="793" spans="2:47" ht="15.75" customHeight="1"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</row>
    <row r="794" spans="2:47" ht="15.75" customHeight="1"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</row>
    <row r="795" spans="2:47" ht="15.75" customHeight="1"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</row>
    <row r="796" spans="2:47" ht="15.75" customHeight="1"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</row>
    <row r="797" spans="2:47" ht="15.75" customHeight="1"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</row>
    <row r="798" spans="2:47" ht="15.75" customHeight="1"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</row>
    <row r="799" spans="2:47" ht="15.75" customHeight="1"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</row>
    <row r="800" spans="2:47" ht="15.75" customHeight="1"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</row>
    <row r="801" spans="2:47" ht="15.75" customHeight="1"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</row>
    <row r="802" spans="2:47" ht="15.75" customHeight="1"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</row>
    <row r="803" spans="2:47" ht="15.75" customHeight="1"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</row>
    <row r="804" spans="2:47" ht="15.75" customHeight="1"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</row>
    <row r="805" spans="2:47" ht="15.75" customHeight="1"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</row>
    <row r="806" spans="2:47" ht="15.75" customHeight="1"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</row>
    <row r="807" spans="2:47" ht="15.75" customHeight="1"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</row>
    <row r="808" spans="2:47" ht="15.75" customHeight="1"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</row>
    <row r="809" spans="2:47" ht="15.75" customHeight="1"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</row>
    <row r="810" spans="2:47" ht="15.75" customHeight="1"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</row>
    <row r="811" spans="2:47" ht="15.75" customHeight="1"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</row>
    <row r="812" spans="2:47" ht="15.75" customHeight="1"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</row>
    <row r="813" spans="2:47" ht="15.75" customHeight="1"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</row>
    <row r="814" spans="2:47" ht="15.75" customHeight="1"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</row>
    <row r="815" spans="2:47" ht="15.75" customHeight="1"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</row>
    <row r="816" spans="2:47" ht="15.75" customHeight="1"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</row>
    <row r="817" spans="2:47" ht="15.75" customHeight="1"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</row>
    <row r="818" spans="2:47" ht="15.75" customHeight="1"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</row>
    <row r="819" spans="2:47" ht="15.75" customHeight="1"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</row>
    <row r="820" spans="2:47" ht="15.75" customHeight="1"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</row>
    <row r="821" spans="2:47" ht="15.75" customHeight="1"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</row>
    <row r="822" spans="2:47" ht="15.75" customHeight="1"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</row>
    <row r="823" spans="2:47" ht="15.75" customHeight="1"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</row>
    <row r="824" spans="2:47" ht="15.75" customHeight="1"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</row>
    <row r="825" spans="2:47" ht="15.75" customHeight="1"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</row>
    <row r="826" spans="2:47" ht="15.75" customHeight="1"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</row>
    <row r="827" spans="2:47" ht="15.75" customHeight="1"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</row>
    <row r="828" spans="2:47" ht="15.75" customHeight="1"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</row>
    <row r="829" spans="2:47" ht="15.75" customHeight="1"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</row>
    <row r="830" spans="2:47" ht="15.75" customHeight="1"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</row>
    <row r="831" spans="2:47" ht="15.75" customHeight="1"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</row>
    <row r="832" spans="2:47" ht="15.75" customHeight="1"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</row>
    <row r="833" spans="2:47" ht="15.75" customHeight="1"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</row>
    <row r="834" spans="2:47" ht="15.75" customHeight="1"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</row>
    <row r="835" spans="2:47" ht="15.75" customHeight="1"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</row>
    <row r="836" spans="2:47" ht="15.75" customHeight="1"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</row>
    <row r="837" spans="2:47" ht="15.75" customHeight="1"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</row>
    <row r="838" spans="2:47" ht="15.75" customHeight="1"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</row>
    <row r="839" spans="2:47" ht="15.75" customHeight="1"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</row>
    <row r="840" spans="2:47" ht="15.75" customHeight="1"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</row>
    <row r="841" spans="2:47" ht="15.75" customHeight="1"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</row>
    <row r="842" spans="2:47" ht="15.75" customHeight="1"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</row>
    <row r="843" spans="2:47" ht="15.75" customHeight="1"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</row>
  </sheetData>
  <mergeCells count="9">
    <mergeCell ref="AJ5:AJ6"/>
    <mergeCell ref="AK5:AK6"/>
    <mergeCell ref="AL5:AL6"/>
    <mergeCell ref="B5:B6"/>
    <mergeCell ref="C5:N5"/>
    <mergeCell ref="P5:P6"/>
    <mergeCell ref="Q5:Q6"/>
    <mergeCell ref="U5:U6"/>
    <mergeCell ref="W5:AH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P52"/>
  <sheetViews>
    <sheetView showGridLines="0" topLeftCell="A2" zoomScale="79" zoomScaleNormal="79" workbookViewId="0">
      <selection activeCell="B3" sqref="B3"/>
    </sheetView>
  </sheetViews>
  <sheetFormatPr baseColWidth="10" defaultColWidth="11.5546875" defaultRowHeight="13.2"/>
  <cols>
    <col min="5" max="5" width="2.109375" customWidth="1"/>
    <col min="9" max="9" width="4.44140625" customWidth="1"/>
    <col min="13" max="13" width="2.5546875" customWidth="1"/>
    <col min="14" max="14" width="3.6640625" customWidth="1"/>
  </cols>
  <sheetData>
    <row r="3" spans="2:16">
      <c r="B3" s="226" t="s">
        <v>144</v>
      </c>
      <c r="C3" s="226"/>
      <c r="D3" s="226"/>
    </row>
    <row r="4" spans="2:16" ht="13.8" thickBot="1"/>
    <row r="5" spans="2:16" ht="13.8" thickBot="1">
      <c r="O5" s="227" t="s">
        <v>145</v>
      </c>
      <c r="P5" s="228">
        <v>32.082386363636367</v>
      </c>
    </row>
    <row r="6" spans="2:16">
      <c r="O6" t="s">
        <v>146</v>
      </c>
      <c r="P6" t="s">
        <v>147</v>
      </c>
    </row>
    <row r="19" spans="2:12">
      <c r="B19" s="219" t="s">
        <v>127</v>
      </c>
      <c r="C19" s="219" t="s">
        <v>128</v>
      </c>
      <c r="D19" s="219" t="s">
        <v>129</v>
      </c>
      <c r="F19" s="219" t="s">
        <v>134</v>
      </c>
      <c r="G19" s="219" t="s">
        <v>128</v>
      </c>
      <c r="H19" s="219" t="s">
        <v>129</v>
      </c>
      <c r="J19" s="219" t="s">
        <v>137</v>
      </c>
      <c r="K19" s="219" t="s">
        <v>138</v>
      </c>
      <c r="L19" s="219" t="s">
        <v>129</v>
      </c>
    </row>
    <row r="20" spans="2:12">
      <c r="B20" s="220" t="s">
        <v>130</v>
      </c>
      <c r="C20" s="221">
        <v>270</v>
      </c>
      <c r="D20" s="222">
        <v>0.72972972972972971</v>
      </c>
      <c r="F20" s="220" t="s">
        <v>135</v>
      </c>
      <c r="G20" s="221">
        <v>233</v>
      </c>
      <c r="H20" s="222">
        <v>0.63487738419618533</v>
      </c>
      <c r="J20" s="220" t="s">
        <v>139</v>
      </c>
      <c r="K20" s="221">
        <v>10</v>
      </c>
      <c r="L20" s="222">
        <v>2.9411764705882353E-2</v>
      </c>
    </row>
    <row r="21" spans="2:12">
      <c r="B21" s="220" t="s">
        <v>131</v>
      </c>
      <c r="C21" s="221">
        <v>83</v>
      </c>
      <c r="D21" s="222">
        <v>0.22432432432432434</v>
      </c>
      <c r="F21" s="220" t="s">
        <v>136</v>
      </c>
      <c r="G21" s="221">
        <v>134</v>
      </c>
      <c r="H21" s="222">
        <v>0.36512261580381472</v>
      </c>
      <c r="J21" s="220" t="s">
        <v>140</v>
      </c>
      <c r="K21" s="221">
        <v>34</v>
      </c>
      <c r="L21" s="222">
        <v>0.1</v>
      </c>
    </row>
    <row r="22" spans="2:12">
      <c r="B22" s="220" t="s">
        <v>132</v>
      </c>
      <c r="C22" s="221">
        <v>17</v>
      </c>
      <c r="D22" s="222">
        <v>4.5945945945945948E-2</v>
      </c>
      <c r="F22" s="223" t="s">
        <v>133</v>
      </c>
      <c r="G22" s="224">
        <v>367</v>
      </c>
      <c r="H22" s="225">
        <v>1</v>
      </c>
      <c r="J22" s="220" t="s">
        <v>141</v>
      </c>
      <c r="K22" s="221">
        <v>150</v>
      </c>
      <c r="L22" s="222">
        <v>0.44117647058823528</v>
      </c>
    </row>
    <row r="23" spans="2:12">
      <c r="B23" s="223" t="s">
        <v>133</v>
      </c>
      <c r="C23" s="224">
        <v>370</v>
      </c>
      <c r="D23" s="225">
        <v>1</v>
      </c>
      <c r="J23" s="220" t="s">
        <v>142</v>
      </c>
      <c r="K23" s="221">
        <v>102</v>
      </c>
      <c r="L23" s="222">
        <v>0.3</v>
      </c>
    </row>
    <row r="24" spans="2:12">
      <c r="J24" s="220" t="s">
        <v>143</v>
      </c>
      <c r="K24" s="221">
        <v>44</v>
      </c>
      <c r="L24" s="222">
        <v>0.12941176470588237</v>
      </c>
    </row>
    <row r="25" spans="2:12">
      <c r="J25" s="223" t="s">
        <v>133</v>
      </c>
      <c r="K25" s="224">
        <v>340</v>
      </c>
      <c r="L25" s="225">
        <v>1</v>
      </c>
    </row>
    <row r="50" spans="2:3" ht="13.8" thickBot="1"/>
    <row r="51" spans="2:3" ht="13.8" thickBot="1">
      <c r="B51" s="227" t="s">
        <v>145</v>
      </c>
      <c r="C51" s="228">
        <v>32.082386363636367</v>
      </c>
    </row>
    <row r="52" spans="2:3">
      <c r="B52" t="s">
        <v>146</v>
      </c>
      <c r="C52" t="s">
        <v>147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="81" zoomScaleNormal="81" workbookViewId="0">
      <selection activeCell="I43" sqref="I43"/>
    </sheetView>
  </sheetViews>
  <sheetFormatPr baseColWidth="10" defaultColWidth="11.5546875" defaultRowHeight="13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E38"/>
  <sheetViews>
    <sheetView showGridLines="0" topLeftCell="A4" workbookViewId="0">
      <selection activeCell="C20" sqref="C20"/>
    </sheetView>
  </sheetViews>
  <sheetFormatPr baseColWidth="10" defaultRowHeight="13.2"/>
  <cols>
    <col min="2" max="2" width="25.44140625" bestFit="1" customWidth="1"/>
    <col min="3" max="3" width="12" bestFit="1" customWidth="1"/>
    <col min="4" max="4" width="15.6640625" customWidth="1"/>
    <col min="5" max="5" width="11.5546875" customWidth="1"/>
  </cols>
  <sheetData>
    <row r="4" spans="2:5">
      <c r="B4" s="297"/>
      <c r="C4" s="299" t="s">
        <v>259</v>
      </c>
      <c r="D4" s="300" t="s">
        <v>258</v>
      </c>
      <c r="E4" s="300" t="s">
        <v>257</v>
      </c>
    </row>
    <row r="5" spans="2:5">
      <c r="B5" s="298"/>
      <c r="C5" s="298"/>
      <c r="D5" s="301"/>
      <c r="E5" s="301"/>
    </row>
    <row r="6" spans="2:5" ht="13.8">
      <c r="B6" s="68"/>
      <c r="C6" s="73"/>
      <c r="D6" s="73"/>
      <c r="E6" s="73"/>
    </row>
    <row r="7" spans="2:5" ht="13.8">
      <c r="B7" s="68"/>
      <c r="C7" s="73"/>
      <c r="D7" s="73"/>
      <c r="E7" s="73"/>
    </row>
    <row r="8" spans="2:5">
      <c r="B8" s="74" t="s">
        <v>13</v>
      </c>
      <c r="C8" s="217" t="e">
        <f>'Año 2023 - meses- 1r scenario'!R9</f>
        <v>#REF!</v>
      </c>
      <c r="D8" s="75">
        <f>'2023'!G10</f>
        <v>1193848.90741</v>
      </c>
      <c r="E8" s="75">
        <f>'Año 2023 - meses- 2o scenar'!AI9</f>
        <v>1315848.90741</v>
      </c>
    </row>
    <row r="9" spans="2:5">
      <c r="B9" s="79" t="s">
        <v>292</v>
      </c>
      <c r="C9" s="218">
        <f>'Año 2023 - meses- 1r scenario'!R10</f>
        <v>774237.23999999976</v>
      </c>
      <c r="D9" s="80">
        <f>'2023'!G11</f>
        <v>613638.18269749987</v>
      </c>
      <c r="E9" s="80">
        <f>'Año 2023 - meses- 2o scenar'!AI10</f>
        <v>735638.18269749987</v>
      </c>
    </row>
    <row r="10" spans="2:5">
      <c r="B10" s="79" t="s">
        <v>293</v>
      </c>
      <c r="C10" s="218" t="e">
        <f>'Año 2023 - meses- 1r scenario'!R11</f>
        <v>#REF!</v>
      </c>
      <c r="D10" s="80">
        <f>'2023'!G12</f>
        <v>580210.7247125</v>
      </c>
      <c r="E10" s="80">
        <f>'Año 2023 - meses- 2o scenar'!AI11</f>
        <v>580210.7247125</v>
      </c>
    </row>
    <row r="11" spans="2:5">
      <c r="B11" s="79"/>
      <c r="C11" s="84"/>
      <c r="D11" s="84"/>
      <c r="E11" s="84"/>
    </row>
    <row r="12" spans="2:5">
      <c r="B12" s="79"/>
      <c r="C12" s="84"/>
      <c r="D12" s="84"/>
      <c r="E12" s="84"/>
    </row>
    <row r="13" spans="2:5">
      <c r="B13" s="74" t="s">
        <v>104</v>
      </c>
      <c r="C13" s="216">
        <f>'Año 2023 - meses- 1r scenario'!R14</f>
        <v>15128.060000000001</v>
      </c>
      <c r="D13" s="215">
        <f>'2023'!G15</f>
        <v>14640.501333155355</v>
      </c>
      <c r="E13" s="215">
        <f>'Año 2023 - meses- 2o scenar'!AI14</f>
        <v>16006.33044800272</v>
      </c>
    </row>
    <row r="14" spans="2:5">
      <c r="B14" s="79" t="s">
        <v>294</v>
      </c>
      <c r="C14" s="240">
        <f>'Año 2023 - meses- 1r scenario'!R15</f>
        <v>10719.060000000001</v>
      </c>
      <c r="D14" s="91">
        <f>'2023'!G16</f>
        <v>7809.5064331317226</v>
      </c>
      <c r="E14" s="91">
        <f>'Año 2023 - meses- 2o scenar'!AI15</f>
        <v>9175.335547979088</v>
      </c>
    </row>
    <row r="15" spans="2:5">
      <c r="B15" s="79" t="s">
        <v>295</v>
      </c>
      <c r="C15" s="240">
        <f>'Año 2023 - meses- 1r scenario'!R16</f>
        <v>4444</v>
      </c>
      <c r="D15" s="91">
        <f>'2023'!G17</f>
        <v>6830.994900023632</v>
      </c>
      <c r="E15" s="91">
        <f>'Año 2023 - meses- 2o scenar'!AI16</f>
        <v>6830.994900023632</v>
      </c>
    </row>
    <row r="16" spans="2:5">
      <c r="B16" s="74"/>
      <c r="C16" s="74"/>
      <c r="D16" s="74"/>
      <c r="E16" s="74"/>
    </row>
    <row r="17" spans="2:5">
      <c r="B17" s="74"/>
      <c r="C17" s="74"/>
      <c r="D17" s="74"/>
      <c r="E17" s="74"/>
    </row>
    <row r="18" spans="2:5">
      <c r="B18" s="74" t="s">
        <v>19</v>
      </c>
      <c r="C18" s="99" t="e">
        <f>C8/C13</f>
        <v>#REF!</v>
      </c>
      <c r="D18" s="75">
        <f t="shared" ref="C18:D20" si="0">D8/D13</f>
        <v>81.544264109752234</v>
      </c>
      <c r="E18" s="75">
        <f t="shared" ref="E18" si="1">E8/E13</f>
        <v>82.208030859077539</v>
      </c>
    </row>
    <row r="19" spans="2:5">
      <c r="B19" s="79" t="s">
        <v>299</v>
      </c>
      <c r="C19" s="102">
        <f t="shared" si="0"/>
        <v>72.22995673128051</v>
      </c>
      <c r="D19" s="80">
        <f t="shared" si="0"/>
        <v>78.575795788341807</v>
      </c>
      <c r="E19" s="80">
        <f t="shared" ref="E19" si="2">E9/E14</f>
        <v>80.175616341304021</v>
      </c>
    </row>
    <row r="20" spans="2:5">
      <c r="B20" s="79" t="s">
        <v>300</v>
      </c>
      <c r="C20" s="102" t="e">
        <f t="shared" si="0"/>
        <v>#REF!</v>
      </c>
      <c r="D20" s="80">
        <f t="shared" si="0"/>
        <v>84.937953139226138</v>
      </c>
      <c r="E20" s="80">
        <f t="shared" ref="E20" si="3">E10/E15</f>
        <v>84.937953139226138</v>
      </c>
    </row>
    <row r="21" spans="2:5">
      <c r="B21" s="79"/>
      <c r="C21" s="104"/>
      <c r="D21" s="104"/>
      <c r="E21" s="104"/>
    </row>
    <row r="22" spans="2:5">
      <c r="B22" s="79"/>
      <c r="C22" s="105"/>
      <c r="D22" s="104"/>
      <c r="E22" s="104"/>
    </row>
    <row r="23" spans="2:5">
      <c r="B23" s="74" t="s">
        <v>22</v>
      </c>
      <c r="C23" s="110">
        <f>C28/C13</f>
        <v>0.47352601721569054</v>
      </c>
      <c r="D23" s="109">
        <f t="shared" ref="C23:D25" si="4">D28/D13</f>
        <v>0.59084080593163824</v>
      </c>
      <c r="E23" s="109">
        <f t="shared" ref="E23" si="5">E28/E13</f>
        <v>0.57048612177431868</v>
      </c>
    </row>
    <row r="24" spans="2:5">
      <c r="B24" s="79" t="s">
        <v>296</v>
      </c>
      <c r="C24" s="115">
        <f>C29/C14</f>
        <v>0.37960418170996335</v>
      </c>
      <c r="D24" s="114">
        <f t="shared" si="4"/>
        <v>0.6073689477268589</v>
      </c>
      <c r="E24" s="114">
        <f t="shared" ref="E24" si="6">E29/E14</f>
        <v>0.56939993653993271</v>
      </c>
    </row>
    <row r="25" spans="2:5">
      <c r="B25" s="79" t="s">
        <v>301</v>
      </c>
      <c r="C25" s="115">
        <f t="shared" si="4"/>
        <v>0.69633888388838894</v>
      </c>
      <c r="D25" s="114">
        <f t="shared" si="4"/>
        <v>0.57194507674919615</v>
      </c>
      <c r="E25" s="114">
        <f t="shared" ref="E25" si="7">E30/E15</f>
        <v>0.57194507674919615</v>
      </c>
    </row>
    <row r="26" spans="2:5">
      <c r="B26" s="74"/>
      <c r="C26" s="104"/>
      <c r="D26" s="104"/>
      <c r="E26" s="104"/>
    </row>
    <row r="27" spans="2:5">
      <c r="B27" s="74"/>
      <c r="C27" s="104"/>
      <c r="D27" s="104"/>
      <c r="E27" s="104"/>
    </row>
    <row r="28" spans="2:5">
      <c r="B28" s="74" t="s">
        <v>54</v>
      </c>
      <c r="C28" s="216">
        <f>'Año 2023 - meses- 1r scenario'!R29</f>
        <v>7163.53</v>
      </c>
      <c r="D28" s="215">
        <f>'2023'!G30</f>
        <v>8650.2056069247337</v>
      </c>
      <c r="E28" s="215">
        <f>'Año 2023 - meses- 2o scenar'!AI29</f>
        <v>9131.3893811192647</v>
      </c>
    </row>
    <row r="29" spans="2:5">
      <c r="B29" s="79" t="s">
        <v>297</v>
      </c>
      <c r="C29" s="240">
        <f>'Año 2023 - meses- 1r scenario'!R30</f>
        <v>4069</v>
      </c>
      <c r="D29" s="91">
        <f>'2023'!G31</f>
        <v>4743.2517045573495</v>
      </c>
      <c r="E29" s="91">
        <f>'Año 2023 - meses- 2o scenar'!AI30</f>
        <v>5224.4354787518814</v>
      </c>
    </row>
    <row r="30" spans="2:5">
      <c r="B30" s="79" t="s">
        <v>302</v>
      </c>
      <c r="C30" s="240">
        <f>'Año 2023 - meses- 1r scenario'!R31</f>
        <v>3094.53</v>
      </c>
      <c r="D30" s="91">
        <f>'2023'!G32</f>
        <v>3906.9539023673838</v>
      </c>
      <c r="E30" s="91">
        <f>'Año 2023 - meses- 2o scenar'!AI31</f>
        <v>3906.9539023673838</v>
      </c>
    </row>
    <row r="31" spans="2:5">
      <c r="B31" s="79"/>
      <c r="C31" s="117"/>
      <c r="D31" s="117"/>
      <c r="E31" s="117"/>
    </row>
    <row r="32" spans="2:5">
      <c r="B32" s="74" t="s">
        <v>55</v>
      </c>
      <c r="C32" s="216">
        <f>'Año 2023 - meses- 1r scenario'!R33</f>
        <v>8999</v>
      </c>
      <c r="D32" s="215">
        <f>'2023'!G34</f>
        <v>8245.419006576918</v>
      </c>
      <c r="E32" s="215">
        <f>'Año 2023 - meses- 2o scenar'!AI33</f>
        <v>8526.7027986945741</v>
      </c>
    </row>
    <row r="33" spans="2:5">
      <c r="B33" s="79" t="s">
        <v>297</v>
      </c>
      <c r="C33" s="240">
        <f>'Año 2023 - meses- 1r scenario'!R33</f>
        <v>8999</v>
      </c>
      <c r="D33" s="241">
        <f>'2023'!G35</f>
        <v>4509.8408394732778</v>
      </c>
      <c r="E33" s="241">
        <f>'Año 2023 - meses- 2o scenar'!AI34</f>
        <v>4791.1246315909329</v>
      </c>
    </row>
    <row r="34" spans="2:5">
      <c r="B34" s="79" t="s">
        <v>302</v>
      </c>
      <c r="C34" s="240">
        <f>'Año 2023 - meses- 1r scenario'!R35</f>
        <v>3764</v>
      </c>
      <c r="D34" s="241">
        <f>'2023'!G36</f>
        <v>3735.5781671036407</v>
      </c>
      <c r="E34" s="241">
        <f>'Año 2023 - meses- 2o scenar'!AI35</f>
        <v>3735.5781671036402</v>
      </c>
    </row>
    <row r="35" spans="2:5">
      <c r="B35" s="79"/>
      <c r="C35" s="117"/>
      <c r="D35" s="117"/>
      <c r="E35" s="117" t="s">
        <v>260</v>
      </c>
    </row>
    <row r="36" spans="2:5">
      <c r="B36" s="74" t="s">
        <v>28</v>
      </c>
      <c r="C36" s="78" t="e">
        <f>C8/C28</f>
        <v>#REF!</v>
      </c>
      <c r="D36" s="75">
        <f t="shared" ref="C36:D38" si="8">D8/D28</f>
        <v>138.01393419530862</v>
      </c>
      <c r="E36" s="75">
        <f t="shared" ref="E36" si="9">E8/E28</f>
        <v>144.10171908020334</v>
      </c>
    </row>
    <row r="37" spans="2:5">
      <c r="B37" s="79" t="s">
        <v>298</v>
      </c>
      <c r="C37" s="83">
        <f t="shared" si="8"/>
        <v>190.27703121159985</v>
      </c>
      <c r="D37" s="80">
        <f t="shared" si="8"/>
        <v>129.37078209615399</v>
      </c>
      <c r="E37" s="80">
        <f t="shared" ref="E37" si="10">E9/E29</f>
        <v>140.80720982953818</v>
      </c>
    </row>
    <row r="38" spans="2:5">
      <c r="B38" s="79" t="s">
        <v>303</v>
      </c>
      <c r="C38" s="83" t="e">
        <f t="shared" si="8"/>
        <v>#REF!</v>
      </c>
      <c r="D38" s="80">
        <f t="shared" si="8"/>
        <v>148.50718467932947</v>
      </c>
      <c r="E38" s="80">
        <f t="shared" ref="E38" si="11">E10/E30</f>
        <v>148.50718467932947</v>
      </c>
    </row>
  </sheetData>
  <mergeCells count="4">
    <mergeCell ref="B4:B5"/>
    <mergeCell ref="C4:C5"/>
    <mergeCell ref="D4:D5"/>
    <mergeCell ref="E4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/>
  </sheetPr>
  <dimension ref="B5:G81"/>
  <sheetViews>
    <sheetView showGridLines="0" tabSelected="1" topLeftCell="A4" zoomScale="76" zoomScaleNormal="76" workbookViewId="0">
      <selection activeCell="M39" sqref="M39"/>
    </sheetView>
  </sheetViews>
  <sheetFormatPr baseColWidth="10" defaultColWidth="11.5546875" defaultRowHeight="13.2"/>
  <cols>
    <col min="2" max="2" width="32.44140625" customWidth="1"/>
    <col min="3" max="4" width="20.44140625" bestFit="1" customWidth="1"/>
    <col min="5" max="6" width="20.44140625" customWidth="1"/>
    <col min="7" max="7" width="12.88671875" bestFit="1" customWidth="1"/>
  </cols>
  <sheetData>
    <row r="5" spans="2:7" ht="22.8">
      <c r="B5" s="302" t="s">
        <v>255</v>
      </c>
      <c r="C5" s="302"/>
      <c r="D5" s="302"/>
      <c r="E5" s="302"/>
      <c r="F5" s="302"/>
      <c r="G5" s="302"/>
    </row>
    <row r="6" spans="2:7">
      <c r="B6" s="297" t="s">
        <v>2</v>
      </c>
      <c r="C6" s="303" t="s">
        <v>125</v>
      </c>
      <c r="D6" s="303" t="s">
        <v>126</v>
      </c>
      <c r="E6" s="303" t="s">
        <v>148</v>
      </c>
      <c r="F6" s="303" t="s">
        <v>149</v>
      </c>
      <c r="G6" s="303" t="s">
        <v>150</v>
      </c>
    </row>
    <row r="7" spans="2:7">
      <c r="B7" s="298"/>
      <c r="C7" s="298"/>
      <c r="D7" s="298"/>
      <c r="E7" s="298"/>
      <c r="F7" s="298"/>
      <c r="G7" s="298"/>
    </row>
    <row r="8" spans="2:7" ht="13.8">
      <c r="B8" s="68"/>
      <c r="C8" s="73"/>
      <c r="D8" s="73"/>
      <c r="E8" s="73"/>
      <c r="F8" s="73"/>
      <c r="G8" s="69"/>
    </row>
    <row r="9" spans="2:7" ht="13.8">
      <c r="B9" s="68"/>
      <c r="C9" s="73"/>
      <c r="D9" s="73"/>
      <c r="E9" s="73"/>
      <c r="F9" s="73"/>
      <c r="G9" s="69"/>
    </row>
    <row r="10" spans="2:7">
      <c r="B10" s="74" t="s">
        <v>13</v>
      </c>
      <c r="C10" s="75">
        <f>SUM(C11:C12)</f>
        <v>261805.77149999997</v>
      </c>
      <c r="D10" s="75">
        <f>SUM(D11:D12)</f>
        <v>296414.03249999997</v>
      </c>
      <c r="E10" s="75">
        <f>SUM(E12+E11)</f>
        <v>214582.75499999998</v>
      </c>
      <c r="F10" s="75">
        <f>SUM(F11:F12)</f>
        <v>421046.34841000004</v>
      </c>
      <c r="G10" s="217">
        <f>SUM(G12+G11)</f>
        <v>1193848.90741</v>
      </c>
    </row>
    <row r="11" spans="2:7">
      <c r="B11" s="79" t="s">
        <v>292</v>
      </c>
      <c r="C11" s="80">
        <f>SUM('Año 2023 - meses- 1r scenario'!T10:V10)</f>
        <v>127723.05949999997</v>
      </c>
      <c r="D11" s="80">
        <f>SUM('Año 2023 - meses- 1r scenario'!W10:Y10)</f>
        <v>151095.07299999997</v>
      </c>
      <c r="E11" s="80">
        <f>SUM('Año 2023 - meses- 1r scenario'!Z10:AB10)</f>
        <v>114694.81299999998</v>
      </c>
      <c r="F11" s="80">
        <f>SUM( 'Año 2023 - meses- 1r scenario'!AC10:AE10)</f>
        <v>220125.23719750001</v>
      </c>
      <c r="G11" s="218">
        <f>SUM(C11:F11)</f>
        <v>613638.18269749987</v>
      </c>
    </row>
    <row r="12" spans="2:7">
      <c r="B12" s="79" t="s">
        <v>293</v>
      </c>
      <c r="C12" s="80">
        <f>SUM('Año 2023 - meses- 1r scenario'!T11:V11)</f>
        <v>134082.712</v>
      </c>
      <c r="D12" s="80">
        <f>SUM('Año 2023 - meses- 1r scenario'!W11:Y11)</f>
        <v>145318.9595</v>
      </c>
      <c r="E12" s="80">
        <f>SUM('Año 2023 - meses- 1r scenario'!Z11:AB11)</f>
        <v>99887.941999999995</v>
      </c>
      <c r="F12" s="80">
        <f>SUM( 'Año 2023 - meses- 1r scenario'!AC11:AE11)</f>
        <v>200921.11121250002</v>
      </c>
      <c r="G12" s="218">
        <f>SUM(C12:F12)</f>
        <v>580210.7247125</v>
      </c>
    </row>
    <row r="13" spans="2:7">
      <c r="B13" s="79"/>
      <c r="C13" s="84"/>
      <c r="D13" s="84"/>
      <c r="E13" s="84"/>
      <c r="F13" s="84"/>
      <c r="G13" s="84"/>
    </row>
    <row r="14" spans="2:7">
      <c r="B14" s="79"/>
      <c r="C14" s="84"/>
      <c r="D14" s="84"/>
      <c r="E14" s="84"/>
      <c r="F14" s="84"/>
      <c r="G14" s="84"/>
    </row>
    <row r="15" spans="2:7">
      <c r="B15" s="74" t="s">
        <v>104</v>
      </c>
      <c r="C15" s="215">
        <f>SUM(C16:C17)</f>
        <v>2809.8388257724582</v>
      </c>
      <c r="D15" s="215">
        <f>SUM(D17+D16)</f>
        <v>2934.9007478534568</v>
      </c>
      <c r="E15" s="215">
        <f t="shared" ref="E15:F15" si="0">SUM(E17+E16)</f>
        <v>2777.3802897169389</v>
      </c>
      <c r="F15" s="215">
        <f t="shared" si="0"/>
        <v>6118.3814698125007</v>
      </c>
      <c r="G15" s="216">
        <f>SUM(G17+G16)</f>
        <v>14640.501333155355</v>
      </c>
    </row>
    <row r="16" spans="2:7">
      <c r="B16" s="79" t="s">
        <v>294</v>
      </c>
      <c r="C16" s="91">
        <f>SUM('Año 2023 - meses- 1r scenario'!T15:V15)</f>
        <v>1482.1359481617646</v>
      </c>
      <c r="D16" s="91">
        <f>SUM('Año 2023 - meses- 1r scenario'!W15:Y15)</f>
        <v>1636.4320862745096</v>
      </c>
      <c r="E16" s="91">
        <f>SUM('Año 2023 - meses- 1r scenario'!Z15:AB15)</f>
        <v>1511.534551120448</v>
      </c>
      <c r="F16" s="91">
        <f>SUM('Año 2023 - meses- 1r scenario'!AC15:AE15)</f>
        <v>3179.4038475750003</v>
      </c>
      <c r="G16" s="240">
        <f>SUM(C16:F16)</f>
        <v>7809.5064331317226</v>
      </c>
    </row>
    <row r="17" spans="2:7">
      <c r="B17" s="79" t="s">
        <v>295</v>
      </c>
      <c r="C17" s="91">
        <f>SUM('Año 2023 - meses- 1r scenario'!T16:V16)</f>
        <v>1327.7028776106933</v>
      </c>
      <c r="D17" s="91">
        <f>SUM('Año 2023 - meses- 1r scenario'!W16:Y16)</f>
        <v>1298.4686615789474</v>
      </c>
      <c r="E17" s="91">
        <f>SUM('Año 2023 - meses- 1r scenario'!Z16:AB16)</f>
        <v>1265.8457385964912</v>
      </c>
      <c r="F17" s="91">
        <f>SUM('Año 2023 - meses- 1r scenario'!AC16:AE16)</f>
        <v>2938.9776222375003</v>
      </c>
      <c r="G17" s="240">
        <f>SUM(C17:F17)</f>
        <v>6830.994900023632</v>
      </c>
    </row>
    <row r="18" spans="2:7">
      <c r="B18" s="74"/>
      <c r="C18" s="74"/>
      <c r="D18" s="74"/>
      <c r="E18" s="74"/>
      <c r="F18" s="74"/>
      <c r="G18" s="74"/>
    </row>
    <row r="19" spans="2:7">
      <c r="B19" s="74"/>
      <c r="C19" s="74"/>
      <c r="D19" s="74"/>
      <c r="E19" s="74"/>
      <c r="F19" s="74"/>
      <c r="G19" s="74"/>
    </row>
    <row r="20" spans="2:7">
      <c r="B20" s="74" t="s">
        <v>19</v>
      </c>
      <c r="C20" s="75">
        <f t="shared" ref="C20:G22" si="1">C10/C15</f>
        <v>93.174657954990153</v>
      </c>
      <c r="D20" s="75">
        <f t="shared" si="1"/>
        <v>100.99627141285539</v>
      </c>
      <c r="E20" s="75">
        <f t="shared" ref="E20:F20" si="2">E10/E15</f>
        <v>77.260847495201858</v>
      </c>
      <c r="F20" s="75">
        <f t="shared" si="2"/>
        <v>68.816622580236583</v>
      </c>
      <c r="G20" s="99">
        <f t="shared" si="1"/>
        <v>81.544264109752234</v>
      </c>
    </row>
    <row r="21" spans="2:7">
      <c r="B21" s="79" t="s">
        <v>299</v>
      </c>
      <c r="C21" s="80">
        <f t="shared" si="1"/>
        <v>86.174996064571474</v>
      </c>
      <c r="D21" s="80">
        <f t="shared" si="1"/>
        <v>92.332015649963211</v>
      </c>
      <c r="E21" s="80">
        <f t="shared" ref="E21:F21" si="3">E11/E16</f>
        <v>75.87971635513108</v>
      </c>
      <c r="F21" s="80">
        <f t="shared" si="3"/>
        <v>69.234752095237681</v>
      </c>
      <c r="G21" s="102">
        <f t="shared" si="1"/>
        <v>78.575795788341807</v>
      </c>
    </row>
    <row r="22" spans="2:7">
      <c r="B22" s="79" t="s">
        <v>300</v>
      </c>
      <c r="C22" s="80">
        <f t="shared" si="1"/>
        <v>100.98849242632694</v>
      </c>
      <c r="D22" s="80">
        <f t="shared" si="1"/>
        <v>111.91564633010941</v>
      </c>
      <c r="E22" s="80">
        <f t="shared" ref="E22:F22" si="4">E12/E17</f>
        <v>78.910043265422644</v>
      </c>
      <c r="F22" s="80">
        <f t="shared" si="4"/>
        <v>68.364287530551152</v>
      </c>
      <c r="G22" s="102">
        <f t="shared" si="1"/>
        <v>84.937953139226138</v>
      </c>
    </row>
    <row r="23" spans="2:7">
      <c r="B23" s="79"/>
      <c r="C23" s="104"/>
      <c r="D23" s="104"/>
      <c r="E23" s="104"/>
      <c r="F23" s="104"/>
      <c r="G23" s="104"/>
    </row>
    <row r="24" spans="2:7">
      <c r="B24" s="79"/>
      <c r="C24" s="104"/>
      <c r="D24" s="104"/>
      <c r="E24" s="104"/>
      <c r="F24" s="104"/>
      <c r="G24" s="105"/>
    </row>
    <row r="25" spans="2:7">
      <c r="B25" s="74" t="s">
        <v>22</v>
      </c>
      <c r="C25" s="109">
        <f t="shared" ref="C25:G27" si="5">C30/C15</f>
        <v>0.46581607443912476</v>
      </c>
      <c r="D25" s="109">
        <f t="shared" si="5"/>
        <v>0.57203614429348071</v>
      </c>
      <c r="E25" s="109">
        <f t="shared" ref="E25:F25" si="6">E30/E15</f>
        <v>0.5184147246961216</v>
      </c>
      <c r="F25" s="109">
        <f t="shared" si="6"/>
        <v>0.69015529518298979</v>
      </c>
      <c r="G25" s="110">
        <f t="shared" si="5"/>
        <v>0.59084080593163824</v>
      </c>
    </row>
    <row r="26" spans="2:7">
      <c r="B26" s="79" t="s">
        <v>296</v>
      </c>
      <c r="C26" s="114">
        <f>C31/C16</f>
        <v>0.47039123643258823</v>
      </c>
      <c r="D26" s="114">
        <f t="shared" si="5"/>
        <v>0.57986826199032893</v>
      </c>
      <c r="E26" s="114">
        <f t="shared" ref="E26:F26" si="7">E31/E16</f>
        <v>0.524493026709687</v>
      </c>
      <c r="F26" s="114">
        <f t="shared" si="7"/>
        <v>0.72477850955338641</v>
      </c>
      <c r="G26" s="115">
        <f t="shared" si="5"/>
        <v>0.6073689477268589</v>
      </c>
    </row>
    <row r="27" spans="2:7">
      <c r="B27" s="79" t="s">
        <v>301</v>
      </c>
      <c r="C27" s="114">
        <f t="shared" si="5"/>
        <v>0.46070874796305461</v>
      </c>
      <c r="D27" s="114">
        <f t="shared" si="5"/>
        <v>0.56216549505731361</v>
      </c>
      <c r="E27" s="114">
        <f t="shared" ref="E27:F27" si="8">E32/E17</f>
        <v>0.51115668114032808</v>
      </c>
      <c r="F27" s="114">
        <f t="shared" si="8"/>
        <v>0.65269969152281426</v>
      </c>
      <c r="G27" s="115">
        <f t="shared" si="5"/>
        <v>0.57194507674919615</v>
      </c>
    </row>
    <row r="28" spans="2:7">
      <c r="B28" s="74"/>
      <c r="C28" s="104"/>
      <c r="D28" s="104"/>
      <c r="E28" s="104"/>
      <c r="F28" s="104"/>
      <c r="G28" s="104"/>
    </row>
    <row r="29" spans="2:7">
      <c r="B29" s="74"/>
      <c r="C29" s="104"/>
      <c r="D29" s="104"/>
      <c r="E29" s="104"/>
      <c r="F29" s="104"/>
      <c r="G29" s="104"/>
    </row>
    <row r="30" spans="2:7">
      <c r="B30" s="74" t="s">
        <v>54</v>
      </c>
      <c r="C30" s="215">
        <f>SUM(C31:C32)</f>
        <v>1308.8680916279664</v>
      </c>
      <c r="D30" s="215">
        <f>SUM(D31:D32)</f>
        <v>1678.8693076861443</v>
      </c>
      <c r="E30" s="215">
        <f t="shared" ref="E30:F30" si="9">SUM(E31:E32)</f>
        <v>1439.8348382700415</v>
      </c>
      <c r="F30" s="215">
        <f t="shared" si="9"/>
        <v>4222.6333693405813</v>
      </c>
      <c r="G30" s="216">
        <f>SUM(G32+G31)</f>
        <v>8650.2056069247337</v>
      </c>
    </row>
    <row r="31" spans="2:7">
      <c r="B31" s="79" t="s">
        <v>297</v>
      </c>
      <c r="C31" s="91">
        <f>SUM('Año 2023 - meses- 1r scenario'!T30:V30)</f>
        <v>697.18376121699896</v>
      </c>
      <c r="D31" s="91">
        <f>SUM('Año 2023 - meses- 1r scenario'!W30:Y30)</f>
        <v>948.91502973320792</v>
      </c>
      <c r="E31" s="91">
        <f>SUM('Año 2023 - meses- 1r scenario'!Z30:AB30)</f>
        <v>792.7893316934319</v>
      </c>
      <c r="F31" s="91">
        <f>SUM('Año 2023 - meses- 1r scenario'!AC30:AE30)</f>
        <v>2304.3635819137107</v>
      </c>
      <c r="G31" s="240">
        <f>SUM(C31:F31)</f>
        <v>4743.2517045573495</v>
      </c>
    </row>
    <row r="32" spans="2:7">
      <c r="B32" s="79" t="s">
        <v>302</v>
      </c>
      <c r="C32" s="91">
        <f>SUM('Año 2023 - meses- 1r scenario'!T31:V31)</f>
        <v>611.68433041096728</v>
      </c>
      <c r="D32" s="91">
        <f>SUM('Año 2023 - meses- 1r scenario'!W31:Y31)</f>
        <v>729.95427795293642</v>
      </c>
      <c r="E32" s="91">
        <f>SUM('Año 2023 - meses- 1r scenario'!Z31:AB31)</f>
        <v>647.04550657660968</v>
      </c>
      <c r="F32" s="91">
        <f>SUM('Año 2023 - meses- 1r scenario'!AC31:AE31)</f>
        <v>1918.2697874268706</v>
      </c>
      <c r="G32" s="240">
        <f>SUM(C32:F32)</f>
        <v>3906.9539023673838</v>
      </c>
    </row>
    <row r="33" spans="2:7">
      <c r="B33" s="79"/>
      <c r="C33" s="117"/>
      <c r="D33" s="117"/>
      <c r="E33" s="117"/>
      <c r="F33" s="117"/>
      <c r="G33" s="117"/>
    </row>
    <row r="34" spans="2:7">
      <c r="B34" s="74" t="s">
        <v>55</v>
      </c>
      <c r="C34" s="215">
        <f>SUM(C35:C36)</f>
        <v>1203.0120363958886</v>
      </c>
      <c r="D34" s="215">
        <f>SUM(D35:D36)</f>
        <v>1632.3215210535895</v>
      </c>
      <c r="E34" s="215">
        <f t="shared" ref="E34:F34" si="10">SUM(E35:E36)</f>
        <v>1295.1021354921636</v>
      </c>
      <c r="F34" s="215">
        <f t="shared" si="10"/>
        <v>4114.9833136352763</v>
      </c>
      <c r="G34" s="216">
        <f>SUM(G36+G35)</f>
        <v>8245.419006576918</v>
      </c>
    </row>
    <row r="35" spans="2:7">
      <c r="B35" s="79" t="s">
        <v>297</v>
      </c>
      <c r="C35" s="241">
        <f>SUM('Año 2023 - meses- 1r scenario'!T34:V34)</f>
        <v>638.75905577022786</v>
      </c>
      <c r="D35" s="241">
        <f>SUM('Año 2023 - meses- 1r scenario'!W34:Y34)</f>
        <v>920.53420183441233</v>
      </c>
      <c r="E35" s="241">
        <f>SUM('Año 2023 - meses- 1r scenario'!Z34:AB34)</f>
        <v>715.2778574906406</v>
      </c>
      <c r="F35" s="241">
        <f>SUM('Año 2023 - meses- 1r scenario'!AC34:AE34)</f>
        <v>2235.2697243779967</v>
      </c>
      <c r="G35" s="240">
        <f>SUM(C35:F35)</f>
        <v>4509.8408394732778</v>
      </c>
    </row>
    <row r="36" spans="2:7">
      <c r="B36" s="79" t="s">
        <v>302</v>
      </c>
      <c r="C36" s="241">
        <f>SUM('Año 2023 - meses- 1r scenario'!T35:V35)</f>
        <v>564.25298062566071</v>
      </c>
      <c r="D36" s="241">
        <f>SUM('Año 2023 - meses- 1r scenario'!W35:Y35)</f>
        <v>711.78731921917722</v>
      </c>
      <c r="E36" s="241">
        <f>SUM('Año 2023 - meses- 1r scenario'!Z35:AB35)</f>
        <v>579.82427800152311</v>
      </c>
      <c r="F36" s="241">
        <f>SUM('Año 2023 - meses- 1r scenario'!AC35:AE35)</f>
        <v>1879.7135892572796</v>
      </c>
      <c r="G36" s="240">
        <f>SUM(C36:F36)</f>
        <v>3735.5781671036407</v>
      </c>
    </row>
    <row r="37" spans="2:7">
      <c r="B37" s="79"/>
      <c r="C37" s="117"/>
      <c r="D37" s="117"/>
      <c r="E37" s="117"/>
      <c r="F37" s="117"/>
      <c r="G37" s="117"/>
    </row>
    <row r="38" spans="2:7">
      <c r="B38" s="74" t="s">
        <v>28</v>
      </c>
      <c r="C38" s="75">
        <f t="shared" ref="C38:G40" si="11">C10/C30</f>
        <v>200.02456563393392</v>
      </c>
      <c r="D38" s="75">
        <f t="shared" si="11"/>
        <v>176.55575162579183</v>
      </c>
      <c r="E38" s="75">
        <f t="shared" ref="E38:F38" si="12">E10/E30</f>
        <v>149.03289550752967</v>
      </c>
      <c r="F38" s="75">
        <f t="shared" si="12"/>
        <v>99.711793940507761</v>
      </c>
      <c r="G38" s="78">
        <f t="shared" si="11"/>
        <v>138.01393419530862</v>
      </c>
    </row>
    <row r="39" spans="2:7">
      <c r="B39" s="79" t="s">
        <v>298</v>
      </c>
      <c r="C39" s="80">
        <f t="shared" si="11"/>
        <v>183.19855769022433</v>
      </c>
      <c r="D39" s="80">
        <f t="shared" si="11"/>
        <v>159.22929689761693</v>
      </c>
      <c r="E39" s="80">
        <f t="shared" ref="E39:F39" si="13">E11/E31</f>
        <v>144.67249799515713</v>
      </c>
      <c r="F39" s="80">
        <f t="shared" si="13"/>
        <v>95.525393182395305</v>
      </c>
      <c r="G39" s="83">
        <f t="shared" si="11"/>
        <v>129.37078209615399</v>
      </c>
    </row>
    <row r="40" spans="2:7">
      <c r="B40" s="79" t="s">
        <v>303</v>
      </c>
      <c r="C40" s="80">
        <f t="shared" si="11"/>
        <v>219.20246331946245</v>
      </c>
      <c r="D40" s="80">
        <f t="shared" si="11"/>
        <v>199.07953674513487</v>
      </c>
      <c r="E40" s="80">
        <f t="shared" ref="E40:F40" si="14">E12/E32</f>
        <v>154.37545116183159</v>
      </c>
      <c r="F40" s="80">
        <f t="shared" si="14"/>
        <v>104.74079951079855</v>
      </c>
      <c r="G40" s="83">
        <f t="shared" si="11"/>
        <v>148.50718467932947</v>
      </c>
    </row>
    <row r="46" spans="2:7" ht="22.8">
      <c r="B46" s="302" t="s">
        <v>256</v>
      </c>
      <c r="C46" s="302"/>
      <c r="D46" s="302"/>
      <c r="E46" s="302"/>
      <c r="F46" s="302"/>
      <c r="G46" s="302"/>
    </row>
    <row r="47" spans="2:7">
      <c r="B47" s="297" t="s">
        <v>2</v>
      </c>
      <c r="C47" s="303" t="s">
        <v>125</v>
      </c>
      <c r="D47" s="303" t="s">
        <v>126</v>
      </c>
      <c r="E47" s="303" t="s">
        <v>148</v>
      </c>
      <c r="F47" s="303" t="s">
        <v>149</v>
      </c>
      <c r="G47" s="303" t="s">
        <v>150</v>
      </c>
    </row>
    <row r="48" spans="2:7">
      <c r="B48" s="298"/>
      <c r="C48" s="298"/>
      <c r="D48" s="298"/>
      <c r="E48" s="298"/>
      <c r="F48" s="298"/>
      <c r="G48" s="298"/>
    </row>
    <row r="49" spans="2:7" ht="13.8">
      <c r="B49" s="68"/>
      <c r="C49" s="73"/>
      <c r="D49" s="73"/>
      <c r="E49" s="73"/>
      <c r="F49" s="73"/>
      <c r="G49" s="69"/>
    </row>
    <row r="50" spans="2:7" ht="13.8">
      <c r="B50" s="68"/>
      <c r="C50" s="73"/>
      <c r="D50" s="73"/>
      <c r="E50" s="73"/>
      <c r="F50" s="73"/>
      <c r="G50" s="69"/>
    </row>
    <row r="51" spans="2:7">
      <c r="B51" s="74" t="s">
        <v>13</v>
      </c>
      <c r="C51" s="75">
        <f>SUM(C52:C53)</f>
        <v>261805.77149999997</v>
      </c>
      <c r="D51" s="75">
        <f>SUM(D52:D53)</f>
        <v>316414.03249999997</v>
      </c>
      <c r="E51" s="75">
        <f>SUM(E53+E52)</f>
        <v>247582.75499999995</v>
      </c>
      <c r="F51" s="75">
        <f>SUM(F52:F53)</f>
        <v>490046.34841000004</v>
      </c>
      <c r="G51" s="217">
        <f>SUM(G53+G52)</f>
        <v>1315848.90741</v>
      </c>
    </row>
    <row r="52" spans="2:7">
      <c r="B52" s="79" t="s">
        <v>292</v>
      </c>
      <c r="C52" s="80">
        <f>SUM('Año 2023 - meses- 2o scenar'!T10:V10)</f>
        <v>127723.05949999999</v>
      </c>
      <c r="D52" s="80">
        <f>SUM('Año 2023 - meses- 2o scenar'!W10:Y10)</f>
        <v>171095.07299999997</v>
      </c>
      <c r="E52" s="80">
        <f>SUM('Año 2023 - meses- 2o scenar'!Z10:AB10)</f>
        <v>147694.81299999997</v>
      </c>
      <c r="F52" s="80">
        <f>SUM('Año 2023 - meses- 2o scenar'!AC10:AE10)</f>
        <v>289125.23719750001</v>
      </c>
      <c r="G52" s="218">
        <f>SUM(C52:F52)</f>
        <v>735638.18269749987</v>
      </c>
    </row>
    <row r="53" spans="2:7">
      <c r="B53" s="79" t="s">
        <v>293</v>
      </c>
      <c r="C53" s="80">
        <f>SUM('Año 2023 - meses- 2o scenar'!T11:V11)</f>
        <v>134082.712</v>
      </c>
      <c r="D53" s="80">
        <f>SUM('Año 2023 - meses- 2o scenar'!W11:Y11)</f>
        <v>145318.9595</v>
      </c>
      <c r="E53" s="80">
        <f>SUM('Año 2023 - meses- 2o scenar'!Z11:AB11)</f>
        <v>99887.941999999995</v>
      </c>
      <c r="F53" s="80">
        <f>SUM('Año 2023 - meses- 2o scenar'!AC11:AE11)</f>
        <v>200921.11121250002</v>
      </c>
      <c r="G53" s="218">
        <f>SUM(C53:F53)</f>
        <v>580210.7247125</v>
      </c>
    </row>
    <row r="54" spans="2:7">
      <c r="B54" s="79"/>
      <c r="C54" s="84"/>
      <c r="D54" s="84"/>
      <c r="E54" s="84"/>
      <c r="F54" s="84"/>
      <c r="G54" s="84"/>
    </row>
    <row r="55" spans="2:7">
      <c r="B55" s="79"/>
      <c r="C55" s="84"/>
      <c r="D55" s="84"/>
      <c r="E55" s="84"/>
      <c r="F55" s="84"/>
      <c r="G55" s="84"/>
    </row>
    <row r="56" spans="2:7">
      <c r="B56" s="74" t="s">
        <v>104</v>
      </c>
      <c r="C56" s="215">
        <f>SUM(C57:C58)</f>
        <v>2836.1731787136341</v>
      </c>
      <c r="D56" s="215">
        <f>SUM(D58+D57)</f>
        <v>3136.6172025146197</v>
      </c>
      <c r="E56" s="215">
        <f t="shared" ref="E56:F56" si="15">SUM(E58+E57)</f>
        <v>3137.0430725647448</v>
      </c>
      <c r="F56" s="215">
        <f t="shared" si="15"/>
        <v>6896.4969942097223</v>
      </c>
      <c r="G56" s="216">
        <f>SUM(G58+G57)</f>
        <v>16006.33044800272</v>
      </c>
    </row>
    <row r="57" spans="2:7">
      <c r="B57" s="79" t="s">
        <v>294</v>
      </c>
      <c r="C57" s="91">
        <f>SUM('Año 2023 - meses- 2o scenar'!T15:V15)</f>
        <v>1508.470301102941</v>
      </c>
      <c r="D57" s="91">
        <f>SUM('Año 2023 - meses- 2o scenar'!W15:Y15)</f>
        <v>1838.1485409356724</v>
      </c>
      <c r="E57" s="91">
        <f>SUM('Año 2023 - meses- 2o scenar'!Z15:AB15)</f>
        <v>1871.1973339682538</v>
      </c>
      <c r="F57" s="91">
        <f>SUM('Año 2023 - meses- 2o scenar'!AC15:AE15)</f>
        <v>3957.519371972222</v>
      </c>
      <c r="G57" s="240">
        <f>SUM(C57:F57)</f>
        <v>9175.335547979088</v>
      </c>
    </row>
    <row r="58" spans="2:7">
      <c r="B58" s="79" t="s">
        <v>295</v>
      </c>
      <c r="C58" s="91">
        <f>SUM('Año 2023 - meses- 2o scenar'!T16:V16)</f>
        <v>1327.7028776106933</v>
      </c>
      <c r="D58" s="91">
        <f>SUM('Año 2023 - meses- 2o scenar'!W16:Y16)</f>
        <v>1298.4686615789474</v>
      </c>
      <c r="E58" s="91">
        <f>SUM('Año 2023 - meses- 2o scenar'!Z16:AB16)</f>
        <v>1265.8457385964912</v>
      </c>
      <c r="F58" s="91">
        <f>SUM('Año 2023 - meses- 2o scenar'!AC16:AE16)</f>
        <v>2938.9776222375003</v>
      </c>
      <c r="G58" s="240">
        <f>SUM(C58:F58)</f>
        <v>6830.994900023632</v>
      </c>
    </row>
    <row r="59" spans="2:7">
      <c r="B59" s="74"/>
      <c r="C59" s="74"/>
      <c r="D59" s="74"/>
      <c r="E59" s="74"/>
      <c r="F59" s="74"/>
      <c r="G59" s="74"/>
    </row>
    <row r="60" spans="2:7">
      <c r="B60" s="74"/>
      <c r="C60" s="74"/>
      <c r="D60" s="74"/>
      <c r="E60" s="74"/>
      <c r="F60" s="74"/>
      <c r="G60" s="74"/>
    </row>
    <row r="61" spans="2:7">
      <c r="B61" s="74" t="s">
        <v>19</v>
      </c>
      <c r="C61" s="75">
        <f t="shared" ref="C61:G61" si="16">C51/C56</f>
        <v>92.309515323300459</v>
      </c>
      <c r="D61" s="75">
        <f t="shared" si="16"/>
        <v>100.87747789125542</v>
      </c>
      <c r="E61" s="75">
        <f t="shared" si="16"/>
        <v>78.922332041040264</v>
      </c>
      <c r="F61" s="75">
        <f t="shared" si="16"/>
        <v>71.057284418660871</v>
      </c>
      <c r="G61" s="99">
        <f t="shared" si="16"/>
        <v>82.208030859077539</v>
      </c>
    </row>
    <row r="62" spans="2:7">
      <c r="B62" s="79" t="s">
        <v>299</v>
      </c>
      <c r="C62" s="80">
        <f t="shared" ref="C62:G62" si="17">C52/C57</f>
        <v>84.670582779530577</v>
      </c>
      <c r="D62" s="80">
        <f t="shared" si="17"/>
        <v>93.080112509790681</v>
      </c>
      <c r="E62" s="80">
        <f t="shared" si="17"/>
        <v>78.930645271272979</v>
      </c>
      <c r="F62" s="80">
        <f t="shared" si="17"/>
        <v>73.057188107563206</v>
      </c>
      <c r="G62" s="102">
        <f t="shared" si="17"/>
        <v>80.175616341304021</v>
      </c>
    </row>
    <row r="63" spans="2:7">
      <c r="B63" s="79" t="s">
        <v>300</v>
      </c>
      <c r="C63" s="80">
        <f t="shared" ref="C63:G63" si="18">C53/C58</f>
        <v>100.98849242632694</v>
      </c>
      <c r="D63" s="80">
        <f t="shared" si="18"/>
        <v>111.91564633010941</v>
      </c>
      <c r="E63" s="80">
        <f t="shared" si="18"/>
        <v>78.910043265422644</v>
      </c>
      <c r="F63" s="80">
        <f t="shared" si="18"/>
        <v>68.364287530551152</v>
      </c>
      <c r="G63" s="102">
        <f t="shared" si="18"/>
        <v>84.937953139226138</v>
      </c>
    </row>
    <row r="64" spans="2:7">
      <c r="B64" s="79"/>
      <c r="C64" s="104"/>
      <c r="D64" s="104"/>
      <c r="E64" s="104"/>
      <c r="F64" s="104"/>
      <c r="G64" s="104"/>
    </row>
    <row r="65" spans="2:7">
      <c r="B65" s="79"/>
      <c r="C65" s="104"/>
      <c r="D65" s="104"/>
      <c r="E65" s="104"/>
      <c r="F65" s="104"/>
      <c r="G65" s="105"/>
    </row>
    <row r="66" spans="2:7">
      <c r="B66" s="74" t="s">
        <v>22</v>
      </c>
      <c r="C66" s="109">
        <f t="shared" ref="C66:G66" si="19">C71/C56</f>
        <v>0.4659941184980706</v>
      </c>
      <c r="D66" s="109">
        <f t="shared" si="19"/>
        <v>0.57309272884946039</v>
      </c>
      <c r="E66" s="109">
        <f t="shared" si="19"/>
        <v>0.46666569383740031</v>
      </c>
      <c r="F66" s="109">
        <f t="shared" si="19"/>
        <v>0.6594980713562133</v>
      </c>
      <c r="G66" s="110">
        <f t="shared" si="19"/>
        <v>0.57048612177431868</v>
      </c>
    </row>
    <row r="67" spans="2:7">
      <c r="B67" s="79" t="s">
        <v>296</v>
      </c>
      <c r="C67" s="114">
        <f>C72/C57</f>
        <v>0.47064611705810083</v>
      </c>
      <c r="D67" s="114">
        <f t="shared" ref="D67:G67" si="20">D72/D57</f>
        <v>0.58081172996436836</v>
      </c>
      <c r="E67" s="114">
        <f t="shared" si="20"/>
        <v>0.43656799881561098</v>
      </c>
      <c r="F67" s="114">
        <f t="shared" si="20"/>
        <v>0.66454676078003116</v>
      </c>
      <c r="G67" s="115">
        <f t="shared" si="20"/>
        <v>0.56939993653993271</v>
      </c>
    </row>
    <row r="68" spans="2:7">
      <c r="B68" s="79" t="s">
        <v>301</v>
      </c>
      <c r="C68" s="114">
        <f t="shared" ref="C68:G68" si="21">C73/C58</f>
        <v>0.46070874796305461</v>
      </c>
      <c r="D68" s="114">
        <f t="shared" si="21"/>
        <v>0.56216549505731361</v>
      </c>
      <c r="E68" s="114">
        <f t="shared" si="21"/>
        <v>0.51115668114032808</v>
      </c>
      <c r="F68" s="114">
        <f t="shared" si="21"/>
        <v>0.65269969152281426</v>
      </c>
      <c r="G68" s="115">
        <f t="shared" si="21"/>
        <v>0.57194507674919615</v>
      </c>
    </row>
    <row r="69" spans="2:7">
      <c r="B69" s="74"/>
      <c r="C69" s="104"/>
      <c r="D69" s="104"/>
      <c r="E69" s="104"/>
      <c r="F69" s="104"/>
      <c r="G69" s="104"/>
    </row>
    <row r="70" spans="2:7">
      <c r="B70" s="74"/>
      <c r="C70" s="104"/>
      <c r="D70" s="104"/>
      <c r="E70" s="104"/>
      <c r="F70" s="104"/>
      <c r="G70" s="104"/>
    </row>
    <row r="71" spans="2:7">
      <c r="B71" s="74" t="s">
        <v>54</v>
      </c>
      <c r="C71" s="215">
        <f>SUM(C72:C73)</f>
        <v>1321.6400203225307</v>
      </c>
      <c r="D71" s="215">
        <f>SUM(D72:D73)</f>
        <v>1797.5725119452641</v>
      </c>
      <c r="E71" s="215">
        <f t="shared" ref="E71:F71" si="22">SUM(E72:E73)</f>
        <v>1463.9503820562368</v>
      </c>
      <c r="F71" s="215">
        <f t="shared" si="22"/>
        <v>4548.226466795234</v>
      </c>
      <c r="G71" s="216">
        <f>SUM(G73+G72)</f>
        <v>9131.3893811192647</v>
      </c>
    </row>
    <row r="72" spans="2:7">
      <c r="B72" s="79" t="s">
        <v>297</v>
      </c>
      <c r="C72" s="91">
        <f>SUM('Año 2023 - meses- 2o scenar'!T30:V30)</f>
        <v>709.95568991156335</v>
      </c>
      <c r="D72" s="91">
        <f>SUM('Año 2023 - meses- 2o scenar'!W30:Y30)</f>
        <v>1067.6182339923275</v>
      </c>
      <c r="E72" s="91">
        <f>SUM('Año 2023 - meses- 2o scenar'!Z30:AB30)</f>
        <v>816.90487547962709</v>
      </c>
      <c r="F72" s="91">
        <f>SUM('Año 2023 - meses- 2o scenar'!AC30:AE30)</f>
        <v>2629.9566793683634</v>
      </c>
      <c r="G72" s="240">
        <f>SUM(C72:F72)</f>
        <v>5224.4354787518814</v>
      </c>
    </row>
    <row r="73" spans="2:7">
      <c r="B73" s="79" t="s">
        <v>302</v>
      </c>
      <c r="C73" s="91">
        <f>SUM('Año 2023 - meses- 2o scenar'!T31:V31)</f>
        <v>611.68433041096728</v>
      </c>
      <c r="D73" s="91">
        <f>SUM('Año 2023 - meses- 2o scenar'!W31:Y31)</f>
        <v>729.95427795293642</v>
      </c>
      <c r="E73" s="91">
        <f>SUM('Año 2023 - meses- 2o scenar'!Z31:AB31)</f>
        <v>647.04550657660968</v>
      </c>
      <c r="F73" s="91">
        <f>SUM('Año 2023 - meses- 2o scenar'!AC31:AE31)</f>
        <v>1918.2697874268706</v>
      </c>
      <c r="G73" s="240">
        <f>SUM(C73:F73)</f>
        <v>3906.9539023673838</v>
      </c>
    </row>
    <row r="74" spans="2:7">
      <c r="B74" s="79"/>
      <c r="C74" s="117"/>
      <c r="D74" s="117"/>
      <c r="E74" s="117"/>
      <c r="F74" s="117"/>
      <c r="G74" s="117"/>
    </row>
    <row r="75" spans="2:7">
      <c r="B75" s="74" t="s">
        <v>55</v>
      </c>
      <c r="C75" s="215">
        <f>SUM(C76:C77)</f>
        <v>1026.9417289924365</v>
      </c>
      <c r="D75" s="215">
        <f>SUM(D76:D77)</f>
        <v>1735.355024449937</v>
      </c>
      <c r="E75" s="215">
        <f t="shared" ref="E75:F75" si="23">SUM(E76:E77)</f>
        <v>1298.1711509932234</v>
      </c>
      <c r="F75" s="215">
        <f t="shared" si="23"/>
        <v>4466.2348942589761</v>
      </c>
      <c r="G75" s="216">
        <f>SUM(G77+G76)</f>
        <v>8526.7027986945723</v>
      </c>
    </row>
    <row r="76" spans="2:7">
      <c r="B76" s="79" t="s">
        <v>297</v>
      </c>
      <c r="C76" s="241">
        <f>SUM('Año 2023 - meses- 2o scenar'!T34:V34)</f>
        <v>462.68874836677583</v>
      </c>
      <c r="D76" s="241">
        <f>SUM('Año 2023 - meses- 2o scenar'!W34:Y34)</f>
        <v>1023.5677052307597</v>
      </c>
      <c r="E76" s="241">
        <f>SUM('Año 2023 - meses- 2o scenar'!Z34:AB34)</f>
        <v>718.34687299170037</v>
      </c>
      <c r="F76" s="241">
        <f>SUM('Año 2023 - meses- 2o scenar'!AC34:AE34)</f>
        <v>2586.5213050016969</v>
      </c>
      <c r="G76" s="240">
        <f>SUM(C76:F76)</f>
        <v>4791.124631590932</v>
      </c>
    </row>
    <row r="77" spans="2:7">
      <c r="B77" s="79" t="s">
        <v>302</v>
      </c>
      <c r="C77" s="241">
        <f>SUM('Año 2023 - meses- 2o scenar'!T35:V35)</f>
        <v>564.25298062566071</v>
      </c>
      <c r="D77" s="241">
        <f>SUM('Año 2023 - meses- 2o scenar'!W35:Y35)</f>
        <v>711.78731921917722</v>
      </c>
      <c r="E77" s="241">
        <f>SUM('Año 2023 - meses- 2o scenar'!Z35:AB35)</f>
        <v>579.82427800152311</v>
      </c>
      <c r="F77" s="241">
        <f>SUM('Año 2023 - meses- 2o scenar'!AC35:AE35)</f>
        <v>1879.7135892572796</v>
      </c>
      <c r="G77" s="240">
        <f>SUM(C77:F77)</f>
        <v>3735.5781671036407</v>
      </c>
    </row>
    <row r="78" spans="2:7">
      <c r="B78" s="79"/>
      <c r="C78" s="117"/>
      <c r="D78" s="117"/>
      <c r="E78" s="117"/>
      <c r="F78" s="117"/>
      <c r="G78" s="117"/>
    </row>
    <row r="79" spans="2:7">
      <c r="B79" s="74" t="s">
        <v>28</v>
      </c>
      <c r="C79" s="75">
        <f t="shared" ref="C79:G79" si="24">C51/C71</f>
        <v>198.09158883983352</v>
      </c>
      <c r="D79" s="75">
        <f t="shared" si="24"/>
        <v>176.02295896124315</v>
      </c>
      <c r="E79" s="75">
        <f t="shared" si="24"/>
        <v>169.11963549765255</v>
      </c>
      <c r="F79" s="75">
        <f t="shared" si="24"/>
        <v>107.74449161395781</v>
      </c>
      <c r="G79" s="78">
        <f t="shared" si="24"/>
        <v>144.10171908020334</v>
      </c>
    </row>
    <row r="80" spans="2:7">
      <c r="B80" s="79" t="s">
        <v>298</v>
      </c>
      <c r="C80" s="80">
        <f t="shared" ref="C80:G80" si="25">C52/C72</f>
        <v>179.90286057980603</v>
      </c>
      <c r="D80" s="80">
        <f t="shared" si="25"/>
        <v>160.25866508498538</v>
      </c>
      <c r="E80" s="80">
        <f t="shared" si="25"/>
        <v>180.79805548141002</v>
      </c>
      <c r="F80" s="80">
        <f t="shared" si="25"/>
        <v>109.93536109003104</v>
      </c>
      <c r="G80" s="83">
        <f t="shared" si="25"/>
        <v>140.80720982953818</v>
      </c>
    </row>
    <row r="81" spans="2:7">
      <c r="B81" s="79" t="s">
        <v>303</v>
      </c>
      <c r="C81" s="80">
        <f t="shared" ref="C81:G81" si="26">C53/C73</f>
        <v>219.20246331946245</v>
      </c>
      <c r="D81" s="80">
        <f t="shared" si="26"/>
        <v>199.07953674513487</v>
      </c>
      <c r="E81" s="80">
        <f t="shared" si="26"/>
        <v>154.37545116183159</v>
      </c>
      <c r="F81" s="80">
        <f t="shared" si="26"/>
        <v>104.74079951079855</v>
      </c>
      <c r="G81" s="83">
        <f t="shared" si="26"/>
        <v>148.50718467932947</v>
      </c>
    </row>
  </sheetData>
  <mergeCells count="14">
    <mergeCell ref="B5:G5"/>
    <mergeCell ref="B46:G46"/>
    <mergeCell ref="B47:B48"/>
    <mergeCell ref="C47:C48"/>
    <mergeCell ref="D47:D48"/>
    <mergeCell ref="E47:E48"/>
    <mergeCell ref="F47:F48"/>
    <mergeCell ref="G47:G48"/>
    <mergeCell ref="B6:B7"/>
    <mergeCell ref="C6:C7"/>
    <mergeCell ref="D6:D7"/>
    <mergeCell ref="G6:G7"/>
    <mergeCell ref="E6:E7"/>
    <mergeCell ref="F6:F7"/>
  </mergeCells>
  <phoneticPr fontId="4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/>
    <outlinePr summaryBelow="0" summaryRight="0"/>
  </sheetPr>
  <dimension ref="B1:AR770"/>
  <sheetViews>
    <sheetView showGridLines="0" topLeftCell="A7" zoomScale="73" zoomScaleNormal="73" workbookViewId="0">
      <selection activeCell="B5" sqref="B5:B6"/>
    </sheetView>
  </sheetViews>
  <sheetFormatPr baseColWidth="10" defaultColWidth="12.6640625" defaultRowHeight="15" customHeight="1"/>
  <cols>
    <col min="1" max="1" width="12.6640625" style="62"/>
    <col min="2" max="2" width="35" style="62" bestFit="1" customWidth="1"/>
    <col min="3" max="8" width="12.6640625" style="62" hidden="1" customWidth="1"/>
    <col min="9" max="9" width="14.5546875" style="62" hidden="1" customWidth="1"/>
    <col min="10" max="14" width="12.6640625" style="62" hidden="1" customWidth="1"/>
    <col min="15" max="15" width="3.44140625" style="62" hidden="1" customWidth="1"/>
    <col min="16" max="16" width="11.5546875" style="62" hidden="1" customWidth="1"/>
    <col min="17" max="17" width="12.6640625" style="62" hidden="1" customWidth="1"/>
    <col min="18" max="18" width="13" style="62" hidden="1" customWidth="1"/>
    <col min="19" max="19" width="5.109375" style="62" customWidth="1"/>
    <col min="20" max="25" width="12.6640625" style="62"/>
    <col min="26" max="26" width="14.5546875" style="62" bestFit="1" customWidth="1"/>
    <col min="27" max="27" width="12.6640625" style="62"/>
    <col min="28" max="28" width="13.5546875" style="62" customWidth="1"/>
    <col min="29" max="16384" width="12.6640625" style="62"/>
  </cols>
  <sheetData>
    <row r="1" spans="2:44" ht="15.75" customHeight="1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/>
      <c r="AK1" s="61"/>
      <c r="AL1" s="61"/>
      <c r="AM1" s="61"/>
      <c r="AN1" s="61"/>
      <c r="AO1" s="61"/>
      <c r="AP1" s="61"/>
      <c r="AQ1" s="61"/>
      <c r="AR1" s="61"/>
    </row>
    <row r="2" spans="2:44" ht="15.75" customHeight="1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1"/>
      <c r="AK2" s="61"/>
      <c r="AL2" s="61"/>
      <c r="AM2" s="61"/>
      <c r="AN2" s="61"/>
      <c r="AO2" s="61"/>
      <c r="AP2" s="61"/>
      <c r="AQ2" s="61"/>
      <c r="AR2" s="61"/>
    </row>
    <row r="3" spans="2:44" ht="24" customHeight="1">
      <c r="B3" s="63" t="s">
        <v>291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1"/>
      <c r="AK3" s="61"/>
      <c r="AL3" s="61"/>
      <c r="AM3" s="61"/>
      <c r="AN3" s="61"/>
      <c r="AO3" s="61"/>
      <c r="AP3" s="61"/>
      <c r="AQ3" s="61"/>
      <c r="AR3" s="61"/>
    </row>
    <row r="4" spans="2:44" ht="30" customHeight="1">
      <c r="B4" s="63"/>
      <c r="C4" s="182"/>
      <c r="D4" s="183"/>
      <c r="E4" s="183"/>
      <c r="F4" s="183"/>
      <c r="G4" s="183"/>
      <c r="H4" s="183"/>
      <c r="I4" s="185">
        <v>2022</v>
      </c>
      <c r="J4" s="183"/>
      <c r="K4" s="183"/>
      <c r="L4" s="183"/>
      <c r="M4" s="183"/>
      <c r="N4" s="184"/>
      <c r="O4" s="194"/>
      <c r="P4" s="64"/>
      <c r="Q4" s="64"/>
      <c r="R4" s="64"/>
      <c r="S4" s="63"/>
      <c r="T4" s="182"/>
      <c r="U4" s="183"/>
      <c r="V4" s="183"/>
      <c r="W4" s="183"/>
      <c r="X4" s="183"/>
      <c r="Y4" s="183"/>
      <c r="Z4" s="185">
        <v>2023</v>
      </c>
      <c r="AA4" s="183"/>
      <c r="AB4" s="183"/>
      <c r="AC4" s="183"/>
      <c r="AD4" s="183"/>
      <c r="AE4" s="184"/>
      <c r="AF4" s="64"/>
      <c r="AG4" s="64"/>
      <c r="AH4" s="64"/>
      <c r="AI4" s="64"/>
      <c r="AJ4" s="61"/>
      <c r="AK4" s="61"/>
      <c r="AL4" s="61"/>
      <c r="AM4" s="61"/>
      <c r="AN4" s="61"/>
      <c r="AO4" s="61"/>
      <c r="AP4" s="61"/>
      <c r="AQ4" s="61"/>
      <c r="AR4" s="61"/>
    </row>
    <row r="5" spans="2:44" ht="15.75" customHeight="1">
      <c r="B5" s="297" t="s">
        <v>2</v>
      </c>
      <c r="C5" s="304" t="s">
        <v>3</v>
      </c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194"/>
      <c r="P5" s="303" t="s">
        <v>5</v>
      </c>
      <c r="Q5" s="303" t="s">
        <v>6</v>
      </c>
      <c r="R5" s="303" t="s">
        <v>7</v>
      </c>
      <c r="S5" s="60"/>
      <c r="T5" s="304" t="s">
        <v>4</v>
      </c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65"/>
      <c r="AG5" s="303" t="s">
        <v>5</v>
      </c>
      <c r="AH5" s="303" t="s">
        <v>6</v>
      </c>
      <c r="AI5" s="303" t="s">
        <v>7</v>
      </c>
      <c r="AJ5" s="61"/>
      <c r="AK5" s="61"/>
      <c r="AL5" s="61"/>
      <c r="AM5" s="61"/>
      <c r="AN5" s="61"/>
      <c r="AO5" s="61"/>
      <c r="AP5" s="61"/>
      <c r="AQ5" s="61"/>
      <c r="AR5" s="61"/>
    </row>
    <row r="6" spans="2:44" ht="15.75" customHeight="1">
      <c r="B6" s="298"/>
      <c r="C6" s="66" t="s">
        <v>8</v>
      </c>
      <c r="D6" s="67">
        <v>44614</v>
      </c>
      <c r="E6" s="67">
        <v>44642</v>
      </c>
      <c r="F6" s="66" t="s">
        <v>9</v>
      </c>
      <c r="G6" s="67">
        <v>44703</v>
      </c>
      <c r="H6" s="67">
        <v>44734</v>
      </c>
      <c r="I6" s="11">
        <v>44743</v>
      </c>
      <c r="J6" s="67" t="s">
        <v>10</v>
      </c>
      <c r="K6" s="67" t="s">
        <v>11</v>
      </c>
      <c r="L6" s="11">
        <v>44835</v>
      </c>
      <c r="M6" s="67">
        <v>44887</v>
      </c>
      <c r="N6" s="67" t="s">
        <v>12</v>
      </c>
      <c r="O6" s="194"/>
      <c r="P6" s="298"/>
      <c r="Q6" s="298"/>
      <c r="R6" s="298"/>
      <c r="S6" s="186"/>
      <c r="T6" s="190" t="s">
        <v>111</v>
      </c>
      <c r="U6" s="191">
        <v>44980</v>
      </c>
      <c r="V6" s="191">
        <v>45008</v>
      </c>
      <c r="W6" s="190" t="s">
        <v>112</v>
      </c>
      <c r="X6" s="191">
        <v>45069</v>
      </c>
      <c r="Y6" s="191">
        <v>45100</v>
      </c>
      <c r="Z6" s="192">
        <v>45108</v>
      </c>
      <c r="AA6" s="191" t="s">
        <v>113</v>
      </c>
      <c r="AB6" s="191">
        <v>45170</v>
      </c>
      <c r="AC6" s="192">
        <v>45200</v>
      </c>
      <c r="AD6" s="191">
        <v>45253</v>
      </c>
      <c r="AE6" s="191" t="s">
        <v>114</v>
      </c>
      <c r="AF6" s="65"/>
      <c r="AG6" s="298"/>
      <c r="AH6" s="298"/>
      <c r="AI6" s="298"/>
      <c r="AJ6" s="61"/>
      <c r="AK6" s="61"/>
      <c r="AL6" s="61"/>
      <c r="AM6" s="61"/>
      <c r="AN6" s="61"/>
      <c r="AO6" s="61"/>
      <c r="AP6" s="61"/>
      <c r="AQ6" s="61"/>
      <c r="AR6" s="61"/>
    </row>
    <row r="7" spans="2:44" ht="15.75" customHeight="1">
      <c r="B7" s="68"/>
      <c r="C7" s="69"/>
      <c r="D7" s="69"/>
      <c r="E7" s="69"/>
      <c r="F7" s="70">
        <f>AVERAGE(F10:H10)</f>
        <v>103514.11</v>
      </c>
      <c r="G7" s="69"/>
      <c r="H7" s="69"/>
      <c r="I7" s="71">
        <v>0.7</v>
      </c>
      <c r="J7" s="72">
        <v>0.4</v>
      </c>
      <c r="K7" s="71">
        <v>1.3</v>
      </c>
      <c r="L7" s="71">
        <v>1.5</v>
      </c>
      <c r="M7" s="71">
        <v>2</v>
      </c>
      <c r="N7" s="71">
        <v>1.6</v>
      </c>
      <c r="O7" s="194"/>
      <c r="P7" s="73"/>
      <c r="Q7" s="73"/>
      <c r="R7" s="69"/>
      <c r="S7" s="68"/>
      <c r="T7" s="210"/>
      <c r="U7" s="210"/>
      <c r="V7" s="210"/>
      <c r="W7" s="210"/>
      <c r="X7" s="210"/>
      <c r="Y7" s="210"/>
      <c r="Z7" s="210"/>
      <c r="AA7" s="210"/>
      <c r="AB7" s="71">
        <v>1.3</v>
      </c>
      <c r="AC7" s="71">
        <v>1.5</v>
      </c>
      <c r="AD7" s="71">
        <v>2</v>
      </c>
      <c r="AE7" s="71">
        <v>1.6</v>
      </c>
      <c r="AF7" s="73"/>
      <c r="AG7" s="73"/>
      <c r="AH7" s="73"/>
      <c r="AI7" s="69"/>
      <c r="AJ7" s="61"/>
      <c r="AK7" s="61"/>
      <c r="AL7" s="61"/>
      <c r="AM7" s="61"/>
      <c r="AN7" s="61"/>
      <c r="AO7" s="61"/>
      <c r="AP7" s="61"/>
      <c r="AQ7" s="61"/>
      <c r="AR7" s="61"/>
    </row>
    <row r="8" spans="2:44" ht="15.75" customHeight="1">
      <c r="B8" s="68"/>
      <c r="C8" s="69"/>
      <c r="D8" s="69"/>
      <c r="E8" s="69"/>
      <c r="F8" s="70">
        <f>AVERAGE(F11:H11)</f>
        <v>45876.49</v>
      </c>
      <c r="G8" s="69"/>
      <c r="H8" s="69"/>
      <c r="I8" s="71">
        <v>0.6</v>
      </c>
      <c r="J8" s="72">
        <v>0.4</v>
      </c>
      <c r="K8" s="71">
        <v>0.8</v>
      </c>
      <c r="L8" s="71">
        <v>1</v>
      </c>
      <c r="M8" s="71">
        <v>1.3</v>
      </c>
      <c r="N8" s="71">
        <v>0.9</v>
      </c>
      <c r="O8" s="194"/>
      <c r="P8" s="73"/>
      <c r="Q8" s="73"/>
      <c r="R8" s="69"/>
      <c r="S8" s="68"/>
      <c r="T8" s="210"/>
      <c r="U8" s="210"/>
      <c r="V8" s="210"/>
      <c r="W8" s="210"/>
      <c r="X8" s="210"/>
      <c r="Y8" s="210"/>
      <c r="Z8" s="210"/>
      <c r="AA8" s="210"/>
      <c r="AB8" s="71">
        <v>0.8</v>
      </c>
      <c r="AC8" s="71">
        <v>1</v>
      </c>
      <c r="AD8" s="71">
        <v>1.3</v>
      </c>
      <c r="AE8" s="71">
        <v>0.9</v>
      </c>
      <c r="AF8" s="73"/>
      <c r="AG8" s="73"/>
      <c r="AH8" s="73"/>
      <c r="AI8" s="69"/>
      <c r="AJ8" s="61"/>
      <c r="AK8" s="61"/>
      <c r="AL8" s="61"/>
      <c r="AM8" s="61"/>
      <c r="AN8" s="61"/>
      <c r="AO8" s="61"/>
      <c r="AP8" s="61"/>
      <c r="AQ8" s="61"/>
      <c r="AR8" s="61"/>
    </row>
    <row r="9" spans="2:44" ht="15.75" customHeight="1">
      <c r="B9" s="74" t="s">
        <v>13</v>
      </c>
      <c r="C9" s="75">
        <f t="shared" ref="C9:H9" si="0">SUM(C10:C11)</f>
        <v>37178.86</v>
      </c>
      <c r="D9" s="75">
        <f t="shared" si="0"/>
        <v>77265.919999999998</v>
      </c>
      <c r="E9" s="75">
        <f t="shared" si="0"/>
        <v>146000.03999999998</v>
      </c>
      <c r="F9" s="75">
        <f t="shared" si="0"/>
        <v>129189.01999999999</v>
      </c>
      <c r="G9" s="75">
        <f t="shared" si="0"/>
        <v>177943.18</v>
      </c>
      <c r="H9" s="75">
        <f t="shared" si="0"/>
        <v>141039.6</v>
      </c>
      <c r="I9" s="75">
        <v>62506.36</v>
      </c>
      <c r="J9" s="75" t="e">
        <f>SUM(J10:J11)</f>
        <v>#REF!</v>
      </c>
      <c r="K9" s="75" t="e">
        <f t="shared" ref="K9:M9" si="1">SUM(K10:K11)</f>
        <v>#REF!</v>
      </c>
      <c r="L9" s="75" t="e">
        <f t="shared" si="1"/>
        <v>#REF!</v>
      </c>
      <c r="M9" s="75">
        <f t="shared" si="1"/>
        <v>151466.98000000001</v>
      </c>
      <c r="N9" s="75">
        <f t="shared" ref="N9" si="2">SUM(N10:N11)</f>
        <v>94404.98</v>
      </c>
      <c r="O9" s="194"/>
      <c r="P9" s="75">
        <f>SUM(C9:H9)</f>
        <v>708616.62</v>
      </c>
      <c r="Q9" s="76" t="e">
        <f>SUM(I9:N9)</f>
        <v>#REF!</v>
      </c>
      <c r="R9" s="78" t="e">
        <f>SUM(C9:N9)</f>
        <v>#REF!</v>
      </c>
      <c r="S9" s="74"/>
      <c r="T9" s="76">
        <f>SUM(T10:T11)</f>
        <v>91702.116499999989</v>
      </c>
      <c r="U9" s="76">
        <f t="shared" ref="U9:AE9" si="3">SUM(U10:U11)</f>
        <v>82683.977499999994</v>
      </c>
      <c r="V9" s="76">
        <f t="shared" si="3"/>
        <v>87419.677499999991</v>
      </c>
      <c r="W9" s="76">
        <f t="shared" si="3"/>
        <v>93445.677499999991</v>
      </c>
      <c r="X9" s="76">
        <f t="shared" si="3"/>
        <v>102622.67749999999</v>
      </c>
      <c r="Y9" s="76">
        <f t="shared" si="3"/>
        <v>100345.67749999999</v>
      </c>
      <c r="Z9" s="76">
        <f t="shared" si="3"/>
        <v>89445.677499999991</v>
      </c>
      <c r="AA9" s="76">
        <f t="shared" si="3"/>
        <v>35691.4</v>
      </c>
      <c r="AB9" s="76">
        <f t="shared" si="3"/>
        <v>89445.677499999991</v>
      </c>
      <c r="AC9" s="76">
        <f t="shared" si="3"/>
        <v>120751.664625</v>
      </c>
      <c r="AD9" s="76">
        <f t="shared" si="3"/>
        <v>163014.74724375003</v>
      </c>
      <c r="AE9" s="76">
        <f t="shared" si="3"/>
        <v>137279.93654125</v>
      </c>
      <c r="AF9" s="77"/>
      <c r="AG9" s="75">
        <f>SUM(T9:Y9)</f>
        <v>558219.804</v>
      </c>
      <c r="AH9" s="76">
        <f>SUM(Z9:AE9)</f>
        <v>635629.10340999998</v>
      </c>
      <c r="AI9" s="78">
        <f>SUM(T9:AE9)</f>
        <v>1193848.90741</v>
      </c>
      <c r="AJ9" s="61"/>
      <c r="AK9" s="61"/>
      <c r="AL9" s="61"/>
      <c r="AM9" s="61"/>
      <c r="AN9" s="61"/>
      <c r="AO9" s="61"/>
      <c r="AP9" s="61"/>
      <c r="AQ9" s="61"/>
      <c r="AR9" s="61"/>
    </row>
    <row r="10" spans="2:44" ht="15.75" customHeight="1">
      <c r="B10" s="79" t="s">
        <v>292</v>
      </c>
      <c r="C10" s="80">
        <v>26645.59</v>
      </c>
      <c r="D10" s="80">
        <v>59761.94</v>
      </c>
      <c r="E10" s="80">
        <v>110755.26</v>
      </c>
      <c r="F10" s="80">
        <v>85349.39</v>
      </c>
      <c r="G10" s="80">
        <v>118453.17</v>
      </c>
      <c r="H10" s="80">
        <v>106739.77</v>
      </c>
      <c r="I10" s="80">
        <v>35356.81</v>
      </c>
      <c r="J10" s="80">
        <f>'[3]MK Digital-Elims-2022'!J9</f>
        <v>18129.940000000002</v>
      </c>
      <c r="K10" s="80">
        <f>'[3]MK Digital-Elims-2022'!K9</f>
        <v>36802.340000000004</v>
      </c>
      <c r="L10" s="80">
        <f>'[3]MK Digital-Elims-2022'!L9</f>
        <v>54056.85</v>
      </c>
      <c r="M10" s="80">
        <f>'[3]MK Digital-Elims-2022'!M9</f>
        <v>78036.490000000005</v>
      </c>
      <c r="N10" s="80">
        <f>'MK -Elims-2023- 1r scenario'!O9</f>
        <v>44149.69</v>
      </c>
      <c r="O10" s="194"/>
      <c r="P10" s="80">
        <f>SUM(C10:H10)</f>
        <v>507705.12</v>
      </c>
      <c r="Q10" s="81">
        <f>SUM(I10:N10)</f>
        <v>266532.12</v>
      </c>
      <c r="R10" s="83">
        <f>SUM(C10:N10)</f>
        <v>774237.23999999976</v>
      </c>
      <c r="S10" s="79"/>
      <c r="T10" s="81">
        <v>43765.377499999995</v>
      </c>
      <c r="U10" s="81">
        <v>40760.990999999995</v>
      </c>
      <c r="V10" s="81">
        <v>43196.690999999992</v>
      </c>
      <c r="W10" s="81">
        <v>46922.690999999992</v>
      </c>
      <c r="X10" s="81">
        <v>52649.690999999992</v>
      </c>
      <c r="Y10" s="81">
        <v>51522.690999999992</v>
      </c>
      <c r="Z10" s="81">
        <v>46922.690999999992</v>
      </c>
      <c r="AA10" s="81">
        <v>20849.431</v>
      </c>
      <c r="AB10" s="81">
        <f>'MK -Elims-2023- 1r scenario'!AC9</f>
        <v>46922.690999999992</v>
      </c>
      <c r="AC10" s="81">
        <f>'MK -Elims-2023- 1r scenario'!AD9</f>
        <v>63345.632849999995</v>
      </c>
      <c r="AD10" s="81">
        <f>'MK -Elims-2023- 1r scenario'!AE9</f>
        <v>85516.604347500004</v>
      </c>
      <c r="AE10" s="81">
        <f>'MK -Elims-2023- 1r scenario'!AF9</f>
        <v>71263</v>
      </c>
      <c r="AF10" s="82"/>
      <c r="AG10" s="80">
        <f>SUM(T10:Y10)</f>
        <v>278818.13249999995</v>
      </c>
      <c r="AH10" s="81">
        <f>SUM(Z10:AE10)</f>
        <v>334820.05019749998</v>
      </c>
      <c r="AI10" s="83">
        <f>SUM(T10:AE10)</f>
        <v>613638.18269749987</v>
      </c>
      <c r="AJ10" s="61"/>
      <c r="AK10" s="61"/>
      <c r="AL10" s="61"/>
      <c r="AM10" s="61"/>
      <c r="AN10" s="61"/>
      <c r="AO10" s="61"/>
      <c r="AP10" s="61"/>
      <c r="AQ10" s="61"/>
      <c r="AR10" s="61"/>
    </row>
    <row r="11" spans="2:44" ht="15.75" customHeight="1">
      <c r="B11" s="79" t="s">
        <v>293</v>
      </c>
      <c r="C11" s="80">
        <v>10533.27</v>
      </c>
      <c r="D11" s="80">
        <v>17503.98</v>
      </c>
      <c r="E11" s="80">
        <v>35244.78</v>
      </c>
      <c r="F11" s="80">
        <v>43839.63</v>
      </c>
      <c r="G11" s="80">
        <v>59490.01</v>
      </c>
      <c r="H11" s="80">
        <v>34299.83</v>
      </c>
      <c r="I11" s="80">
        <v>27149.55</v>
      </c>
      <c r="J11" s="80" t="e">
        <f>'[3]MK Digital-marca B-2022'!J9</f>
        <v>#REF!</v>
      </c>
      <c r="K11" s="80" t="e">
        <f>'[3]MK Digital-marca B-2022'!K9</f>
        <v>#REF!</v>
      </c>
      <c r="L11" s="80" t="e">
        <f>'[3]MK Digital-marca B-2022'!L9</f>
        <v>#REF!</v>
      </c>
      <c r="M11" s="80">
        <f>'[3]MK Digital-CEL-2022'!M9</f>
        <v>73430.490000000005</v>
      </c>
      <c r="N11" s="80">
        <f>'MK -CEL-2023- 1r Scenario'!O9</f>
        <v>50255.289999999994</v>
      </c>
      <c r="O11" s="194"/>
      <c r="P11" s="80">
        <f>SUM(C11:H11)</f>
        <v>200911.5</v>
      </c>
      <c r="Q11" s="81" t="e">
        <f>SUM(I11:N11)</f>
        <v>#REF!</v>
      </c>
      <c r="R11" s="83" t="e">
        <f>SUM(C11:N11)</f>
        <v>#REF!</v>
      </c>
      <c r="S11" s="79"/>
      <c r="T11" s="81">
        <f>'MK -CEL-2023- 1r Scenario'!U9</f>
        <v>47936.738999999994</v>
      </c>
      <c r="U11" s="81">
        <f>'MK -CEL-2023- 1r Scenario'!V9</f>
        <v>41922.986499999999</v>
      </c>
      <c r="V11" s="81">
        <f>'MK -CEL-2023- 1r Scenario'!W9</f>
        <v>44222.986499999999</v>
      </c>
      <c r="W11" s="81">
        <f>'MK -CEL-2023- 1r Scenario'!X9</f>
        <v>46522.986499999999</v>
      </c>
      <c r="X11" s="81">
        <f>'MK -CEL-2023- 1r Scenario'!Y9</f>
        <v>49972.986499999999</v>
      </c>
      <c r="Y11" s="81">
        <f>'MK -CEL-2023- 1r Scenario'!Z9</f>
        <v>48822.986499999999</v>
      </c>
      <c r="Z11" s="81">
        <f>'MK -CEL-2023- 1r Scenario'!AA9</f>
        <v>42522.986499999999</v>
      </c>
      <c r="AA11" s="81">
        <f>'MK -CEL-2023- 1r Scenario'!AB9</f>
        <v>14841.968999999999</v>
      </c>
      <c r="AB11" s="81">
        <f>'MK -CEL-2023- 1r Scenario'!AC9</f>
        <v>42522.986499999999</v>
      </c>
      <c r="AC11" s="81">
        <f>'MK -CEL-2023- 1r Scenario'!AD9</f>
        <v>57406.031775000003</v>
      </c>
      <c r="AD11" s="81">
        <f>'MK -CEL-2023- 1r Scenario'!AE9</f>
        <v>77498.142896250007</v>
      </c>
      <c r="AE11" s="81">
        <f>'MK -CEL-2023- 1r Scenario'!AF9</f>
        <v>66016.936541250005</v>
      </c>
      <c r="AF11" s="82"/>
      <c r="AG11" s="80">
        <f>SUM(T11:Y11)</f>
        <v>279401.6715</v>
      </c>
      <c r="AH11" s="81">
        <f>SUM(Z11:AE11)</f>
        <v>300809.0532125</v>
      </c>
      <c r="AI11" s="83">
        <f>SUM(T11:AE11)</f>
        <v>580210.7247125</v>
      </c>
      <c r="AJ11" s="61"/>
      <c r="AK11" s="61"/>
      <c r="AL11" s="61"/>
      <c r="AM11" s="61"/>
      <c r="AN11" s="61"/>
      <c r="AO11" s="61"/>
      <c r="AP11" s="61"/>
      <c r="AQ11" s="61"/>
      <c r="AR11" s="61"/>
    </row>
    <row r="12" spans="2:44" ht="15.75" customHeight="1">
      <c r="B12" s="79"/>
      <c r="C12" s="84"/>
      <c r="D12" s="84"/>
      <c r="E12" s="84"/>
      <c r="F12" s="85">
        <f>AVERAGE(F15:H15)</f>
        <v>896.39</v>
      </c>
      <c r="G12" s="84"/>
      <c r="H12" s="84"/>
      <c r="I12" s="84">
        <v>0.7</v>
      </c>
      <c r="J12" s="84">
        <v>0.55000000000000004</v>
      </c>
      <c r="K12" s="84">
        <v>1.25</v>
      </c>
      <c r="L12" s="84">
        <v>1.4</v>
      </c>
      <c r="M12" s="84">
        <v>1.8</v>
      </c>
      <c r="N12" s="86"/>
      <c r="O12" s="194"/>
      <c r="P12" s="84"/>
      <c r="Q12" s="84"/>
      <c r="R12" s="84"/>
      <c r="S12" s="79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4"/>
      <c r="AG12" s="84"/>
      <c r="AH12" s="84"/>
      <c r="AI12" s="84"/>
      <c r="AJ12" s="87"/>
      <c r="AK12" s="61"/>
      <c r="AL12" s="61"/>
      <c r="AM12" s="61"/>
      <c r="AN12" s="61"/>
      <c r="AO12" s="61"/>
      <c r="AP12" s="61"/>
      <c r="AQ12" s="61"/>
      <c r="AR12" s="61"/>
    </row>
    <row r="13" spans="2:44" ht="15.75" customHeight="1">
      <c r="B13" s="79"/>
      <c r="C13" s="200"/>
      <c r="D13" s="200"/>
      <c r="E13" s="200"/>
      <c r="F13" s="201"/>
      <c r="G13" s="200"/>
      <c r="H13" s="200"/>
      <c r="I13" s="200"/>
      <c r="J13" s="200"/>
      <c r="K13" s="200"/>
      <c r="L13" s="200"/>
      <c r="M13" s="200"/>
      <c r="N13" s="84"/>
      <c r="O13" s="194"/>
      <c r="P13" s="84"/>
      <c r="Q13" s="84"/>
      <c r="R13" s="84"/>
      <c r="S13" s="79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7"/>
      <c r="AK13" s="61"/>
      <c r="AL13" s="61"/>
      <c r="AM13" s="61"/>
      <c r="AN13" s="61"/>
      <c r="AO13" s="61"/>
      <c r="AP13" s="61"/>
      <c r="AQ13" s="61"/>
      <c r="AR13" s="61"/>
    </row>
    <row r="14" spans="2:44" ht="15.75" customHeight="1">
      <c r="B14" s="74" t="s">
        <v>104</v>
      </c>
      <c r="C14" s="88">
        <f t="shared" ref="C14:H14" si="4">SUM(C15:C16)</f>
        <v>627.5</v>
      </c>
      <c r="D14" s="88">
        <f t="shared" si="4"/>
        <v>1201.78</v>
      </c>
      <c r="E14" s="88">
        <f t="shared" si="4"/>
        <v>2856.61</v>
      </c>
      <c r="F14" s="88">
        <f t="shared" si="4"/>
        <v>1500.42</v>
      </c>
      <c r="G14" s="88">
        <f t="shared" si="4"/>
        <v>1091.75</v>
      </c>
      <c r="H14" s="88">
        <f t="shared" si="4"/>
        <v>1333</v>
      </c>
      <c r="I14" s="88">
        <v>803</v>
      </c>
      <c r="J14" s="88">
        <f t="shared" ref="J14:M14" si="5">SUM(J15:J16)</f>
        <v>408</v>
      </c>
      <c r="K14" s="88">
        <f t="shared" si="5"/>
        <v>787</v>
      </c>
      <c r="L14" s="88">
        <f t="shared" si="5"/>
        <v>1108</v>
      </c>
      <c r="M14" s="88">
        <f t="shared" si="5"/>
        <v>2415</v>
      </c>
      <c r="N14" s="88">
        <f t="shared" ref="N14" si="6">SUM(N15:N16)</f>
        <v>996</v>
      </c>
      <c r="O14" s="194"/>
      <c r="P14" s="88">
        <f>SUM(C14:H14)</f>
        <v>8611.0600000000013</v>
      </c>
      <c r="Q14" s="89">
        <f>SUM(I14:N14)</f>
        <v>6517</v>
      </c>
      <c r="R14" s="90">
        <f>SUM(C14:N14)</f>
        <v>15128.060000000001</v>
      </c>
      <c r="S14" s="74"/>
      <c r="T14" s="89">
        <f>SUM(T15:T16)</f>
        <v>1092.396064781746</v>
      </c>
      <c r="U14" s="89">
        <f t="shared" ref="U14:AE14" si="7">SUM(U15:U16)</f>
        <v>832.28847027863776</v>
      </c>
      <c r="V14" s="89">
        <f t="shared" si="7"/>
        <v>885.15429071207427</v>
      </c>
      <c r="W14" s="89">
        <f t="shared" si="7"/>
        <v>902.61956499999997</v>
      </c>
      <c r="X14" s="89">
        <f t="shared" si="7"/>
        <v>1000.7528983333333</v>
      </c>
      <c r="Y14" s="89">
        <f t="shared" si="7"/>
        <v>1031.5282845201239</v>
      </c>
      <c r="Z14" s="89">
        <f t="shared" si="7"/>
        <v>953.20011114551085</v>
      </c>
      <c r="AA14" s="89">
        <f t="shared" si="7"/>
        <v>644.32989666666663</v>
      </c>
      <c r="AB14" s="89">
        <f t="shared" si="7"/>
        <v>1179.8502819047617</v>
      </c>
      <c r="AC14" s="89">
        <f t="shared" si="7"/>
        <v>1457.5378078125</v>
      </c>
      <c r="AD14" s="89">
        <f t="shared" si="7"/>
        <v>3177.322144875</v>
      </c>
      <c r="AE14" s="89">
        <f t="shared" si="7"/>
        <v>1483.5215171250002</v>
      </c>
      <c r="AF14" s="79"/>
      <c r="AG14" s="88">
        <f>SUM(T14:Y14)</f>
        <v>5744.739573625915</v>
      </c>
      <c r="AH14" s="89">
        <f>SUM(Z14:AE14)</f>
        <v>8895.7617595294396</v>
      </c>
      <c r="AI14" s="90">
        <f>SUM(T14:AE14)</f>
        <v>14640.501333155355</v>
      </c>
      <c r="AJ14" s="61"/>
      <c r="AK14" s="61"/>
      <c r="AL14" s="61"/>
      <c r="AM14" s="61"/>
      <c r="AN14" s="61"/>
      <c r="AO14" s="61"/>
      <c r="AP14" s="61"/>
      <c r="AQ14" s="61"/>
      <c r="AR14" s="61"/>
    </row>
    <row r="15" spans="2:44" ht="15.75" customHeight="1">
      <c r="B15" s="79" t="s">
        <v>294</v>
      </c>
      <c r="C15" s="91">
        <f>[2]Producto!B13</f>
        <v>480.5</v>
      </c>
      <c r="D15" s="91">
        <f>[2]Producto!C13</f>
        <v>1016.78</v>
      </c>
      <c r="E15" s="91">
        <f>[2]Producto!D13</f>
        <v>2486.61</v>
      </c>
      <c r="F15" s="91">
        <f>[2]Producto!E13</f>
        <v>1082.42</v>
      </c>
      <c r="G15" s="91">
        <f>[2]Producto!F13</f>
        <v>803.75</v>
      </c>
      <c r="H15" s="91">
        <v>803</v>
      </c>
      <c r="I15" s="91">
        <v>483</v>
      </c>
      <c r="J15" s="91">
        <f>'[3]MK Digital-Elims-2022'!J15</f>
        <v>288</v>
      </c>
      <c r="K15" s="91">
        <f>'[3]MK Digital-Elims-2022'!K15</f>
        <v>476</v>
      </c>
      <c r="L15" s="91">
        <f>'[3]MK Digital-Elims-2022'!L15</f>
        <v>671</v>
      </c>
      <c r="M15" s="91">
        <f>'[3]MK Digital-Elims-2022'!M15</f>
        <v>1718</v>
      </c>
      <c r="N15" s="91">
        <f>'MK -Elims-2023- 1r scenario'!O14</f>
        <v>410</v>
      </c>
      <c r="O15" s="194"/>
      <c r="P15" s="91">
        <f>SUM(C15:H15)</f>
        <v>6673.06</v>
      </c>
      <c r="Q15" s="92">
        <f>SUM(I15:N15)</f>
        <v>4046</v>
      </c>
      <c r="R15" s="94">
        <f>SUM(C15:N15)</f>
        <v>10719.060000000001</v>
      </c>
      <c r="S15" s="79"/>
      <c r="T15" s="92">
        <f>'MK -Elims-2023- 1r scenario'!U14</f>
        <v>547.06721875000005</v>
      </c>
      <c r="U15" s="92">
        <f>'MK -Elims-2023- 1r scenario'!V14</f>
        <v>453.20671764705878</v>
      </c>
      <c r="V15" s="92">
        <f>'MK -Elims-2023- 1r scenario'!W14</f>
        <v>481.86201176470581</v>
      </c>
      <c r="W15" s="92">
        <f>'MK -Elims-2023- 1r scenario'!X14</f>
        <v>496.49189999999993</v>
      </c>
      <c r="X15" s="92">
        <f>'MK -Elims-2023- 1r scenario'!Y14</f>
        <v>560.12523333333331</v>
      </c>
      <c r="Y15" s="92">
        <f>'MK -Elims-2023- 1r scenario'!Z14</f>
        <v>579.81495294117644</v>
      </c>
      <c r="Z15" s="92">
        <f>'MK -Elims-2023- 1r scenario'!AA14</f>
        <v>525.69730588235291</v>
      </c>
      <c r="AA15" s="92">
        <f>'MK -Elims-2023- 1r scenario'!AB14</f>
        <v>347.49051666666668</v>
      </c>
      <c r="AB15" s="92">
        <f>'MK -Elims-2023- 1r scenario'!AC14</f>
        <v>638.34672857142846</v>
      </c>
      <c r="AC15" s="92">
        <f>'MK -Elims-2023- 1r scenario'!AD14</f>
        <v>763.84016062499995</v>
      </c>
      <c r="AD15" s="92">
        <f>'MK -Elims-2023- 1r scenario'!AE14</f>
        <v>1665.5636869500001</v>
      </c>
      <c r="AE15" s="92">
        <f>'MK -Elims-2023- 1r scenario'!AF14</f>
        <v>750</v>
      </c>
      <c r="AF15" s="93"/>
      <c r="AG15" s="91">
        <f>SUM(T15:Y15)</f>
        <v>3118.5680344362745</v>
      </c>
      <c r="AH15" s="92">
        <f>SUM(Z15:AE15)</f>
        <v>4690.9383986954481</v>
      </c>
      <c r="AI15" s="94">
        <f>SUM(T15:AE15)</f>
        <v>7809.5064331317226</v>
      </c>
      <c r="AJ15" s="61"/>
      <c r="AK15" s="61"/>
      <c r="AL15" s="61"/>
      <c r="AM15" s="61"/>
      <c r="AN15" s="61"/>
      <c r="AO15" s="61"/>
      <c r="AP15" s="61"/>
      <c r="AQ15" s="61"/>
      <c r="AR15" s="61"/>
    </row>
    <row r="16" spans="2:44" ht="15.75" customHeight="1">
      <c r="B16" s="79" t="s">
        <v>295</v>
      </c>
      <c r="C16" s="91">
        <f>[2]Producto!J13</f>
        <v>147</v>
      </c>
      <c r="D16" s="91">
        <f>[2]Producto!K13</f>
        <v>185</v>
      </c>
      <c r="E16" s="91">
        <f>[2]Producto!L13</f>
        <v>370</v>
      </c>
      <c r="F16" s="91">
        <f>[2]Producto!M13</f>
        <v>418</v>
      </c>
      <c r="G16" s="91">
        <f>[2]Producto!N13</f>
        <v>288</v>
      </c>
      <c r="H16" s="91">
        <v>530</v>
      </c>
      <c r="I16" s="91">
        <v>355</v>
      </c>
      <c r="J16" s="91">
        <f>'[3]MK Digital-CEL-2022'!J14</f>
        <v>120</v>
      </c>
      <c r="K16" s="91">
        <f>'[3]MK Digital-CEL-2022'!K14</f>
        <v>311</v>
      </c>
      <c r="L16" s="91">
        <f>'[3]MK Digital-CEL-2022'!L14</f>
        <v>437</v>
      </c>
      <c r="M16" s="91">
        <f>'[3]MK Digital-CEL-2022'!M14</f>
        <v>697</v>
      </c>
      <c r="N16" s="91">
        <f>'MK -CEL-2023- 1r Scenario'!O14</f>
        <v>586</v>
      </c>
      <c r="O16" s="194"/>
      <c r="P16" s="91">
        <f>SUM(C16:H16)</f>
        <v>1938</v>
      </c>
      <c r="Q16" s="92">
        <f>SUM(I16:N16)</f>
        <v>2506</v>
      </c>
      <c r="R16" s="94">
        <f>SUM(C16:N16)</f>
        <v>4444</v>
      </c>
      <c r="S16" s="79"/>
      <c r="T16" s="92">
        <f>'MK -CEL-2023- 1r Scenario'!U14</f>
        <v>545.32884603174591</v>
      </c>
      <c r="U16" s="92">
        <f>'MK -CEL-2023- 1r Scenario'!V14</f>
        <v>379.08175263157892</v>
      </c>
      <c r="V16" s="92">
        <f>'MK -CEL-2023- 1r Scenario'!W14</f>
        <v>403.2922789473684</v>
      </c>
      <c r="W16" s="92">
        <f>'MK -CEL-2023- 1r Scenario'!X14</f>
        <v>406.12766499999998</v>
      </c>
      <c r="X16" s="92">
        <f>'MK -CEL-2023- 1r Scenario'!Y14</f>
        <v>440.62766499999998</v>
      </c>
      <c r="Y16" s="92">
        <f>'MK -CEL-2023- 1r Scenario'!Z14</f>
        <v>451.71333157894736</v>
      </c>
      <c r="Z16" s="92">
        <f>'MK -CEL-2023- 1r Scenario'!AA14</f>
        <v>427.50280526315788</v>
      </c>
      <c r="AA16" s="92">
        <f>'MK -CEL-2023- 1r Scenario'!AB14</f>
        <v>296.83938000000001</v>
      </c>
      <c r="AB16" s="92">
        <f>'MK -CEL-2023- 1r Scenario'!AC14</f>
        <v>541.50355333333334</v>
      </c>
      <c r="AC16" s="92">
        <f>'MK -CEL-2023- 1r Scenario'!AD14</f>
        <v>693.69764718750002</v>
      </c>
      <c r="AD16" s="92">
        <f>'MK -CEL-2023- 1r Scenario'!AE14</f>
        <v>1511.7584579250001</v>
      </c>
      <c r="AE16" s="92">
        <f>'MK -CEL-2023- 1r Scenario'!AF14</f>
        <v>733.52151712500006</v>
      </c>
      <c r="AF16" s="95"/>
      <c r="AG16" s="91">
        <f>SUM(T16:Y16)</f>
        <v>2626.171539189641</v>
      </c>
      <c r="AH16" s="92">
        <f>SUM(Z16:AE16)</f>
        <v>4204.8233608339915</v>
      </c>
      <c r="AI16" s="94">
        <f>SUM(T16:AE16)</f>
        <v>6830.994900023632</v>
      </c>
      <c r="AJ16" s="96"/>
      <c r="AK16" s="61"/>
      <c r="AL16" s="61"/>
      <c r="AM16" s="61"/>
      <c r="AN16" s="61"/>
      <c r="AO16" s="61"/>
      <c r="AP16" s="61"/>
      <c r="AQ16" s="61"/>
      <c r="AR16" s="61"/>
    </row>
    <row r="17" spans="2:44" ht="15.75" customHeight="1">
      <c r="B17" s="74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74"/>
      <c r="O17" s="19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61"/>
      <c r="AK17" s="61"/>
      <c r="AL17" s="61"/>
      <c r="AM17" s="61"/>
      <c r="AN17" s="61"/>
      <c r="AO17" s="61"/>
      <c r="AP17" s="61"/>
      <c r="AQ17" s="61"/>
      <c r="AR17" s="61"/>
    </row>
    <row r="18" spans="2:44" ht="15.75" customHeight="1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19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2:44" ht="15.75" customHeight="1">
      <c r="B19" s="74" t="s">
        <v>19</v>
      </c>
      <c r="C19" s="97">
        <f t="shared" ref="C19:H21" si="8">C9/C14</f>
        <v>59.249179282868525</v>
      </c>
      <c r="D19" s="97">
        <f t="shared" si="8"/>
        <v>64.292898866681085</v>
      </c>
      <c r="E19" s="97">
        <f t="shared" si="8"/>
        <v>51.109545930315996</v>
      </c>
      <c r="F19" s="97">
        <f t="shared" si="8"/>
        <v>86.101904799989327</v>
      </c>
      <c r="G19" s="97">
        <f t="shared" si="8"/>
        <v>162.9889443553927</v>
      </c>
      <c r="H19" s="97">
        <f t="shared" si="8"/>
        <v>105.80615153788447</v>
      </c>
      <c r="I19" s="97">
        <v>77.841046077210464</v>
      </c>
      <c r="J19" s="97" t="e">
        <f t="shared" ref="J19:M21" si="9">J9/J14</f>
        <v>#REF!</v>
      </c>
      <c r="K19" s="97" t="e">
        <f t="shared" si="9"/>
        <v>#REF!</v>
      </c>
      <c r="L19" s="97" t="e">
        <f t="shared" si="9"/>
        <v>#REF!</v>
      </c>
      <c r="M19" s="97">
        <f t="shared" si="9"/>
        <v>62.719246376811597</v>
      </c>
      <c r="N19" s="97">
        <f t="shared" ref="N19" si="10">N9/N14</f>
        <v>94.784116465863448</v>
      </c>
      <c r="O19" s="194"/>
      <c r="P19" s="75">
        <f t="shared" ref="P19:R21" si="11">P9/P14</f>
        <v>82.291450762159343</v>
      </c>
      <c r="Q19" s="76" t="e">
        <f t="shared" si="11"/>
        <v>#REF!</v>
      </c>
      <c r="R19" s="99" t="e">
        <f t="shared" si="11"/>
        <v>#REF!</v>
      </c>
      <c r="S19" s="74"/>
      <c r="T19" s="76">
        <f>T9/T14</f>
        <v>83.945850279423624</v>
      </c>
      <c r="U19" s="76">
        <f t="shared" ref="U19:AA19" si="12">U9/U14</f>
        <v>99.34533572514664</v>
      </c>
      <c r="V19" s="76">
        <f t="shared" si="12"/>
        <v>98.762078450384124</v>
      </c>
      <c r="W19" s="76">
        <f t="shared" si="12"/>
        <v>103.52720140738363</v>
      </c>
      <c r="X19" s="76">
        <f t="shared" si="12"/>
        <v>102.54547118565344</v>
      </c>
      <c r="Y19" s="76">
        <f t="shared" si="12"/>
        <v>97.278648589535962</v>
      </c>
      <c r="Z19" s="76">
        <f t="shared" si="12"/>
        <v>93.837250388597212</v>
      </c>
      <c r="AA19" s="76">
        <f t="shared" si="12"/>
        <v>55.393052820680076</v>
      </c>
      <c r="AB19" s="76">
        <f t="shared" ref="AB19:AE19" si="13">AB9/AB14</f>
        <v>75.811040495407624</v>
      </c>
      <c r="AC19" s="76">
        <f t="shared" si="13"/>
        <v>82.846334398849223</v>
      </c>
      <c r="AD19" s="76">
        <f t="shared" si="13"/>
        <v>51.305703296938823</v>
      </c>
      <c r="AE19" s="76">
        <f t="shared" si="13"/>
        <v>92.536532134223791</v>
      </c>
      <c r="AF19" s="98"/>
      <c r="AG19" s="75">
        <f t="shared" ref="AG19:AI21" si="14">AG9/AG14</f>
        <v>97.170602225866901</v>
      </c>
      <c r="AH19" s="76">
        <f t="shared" si="14"/>
        <v>71.453026799991875</v>
      </c>
      <c r="AI19" s="99">
        <f t="shared" si="14"/>
        <v>81.544264109752234</v>
      </c>
      <c r="AJ19" s="100"/>
      <c r="AK19" s="61"/>
      <c r="AL19" s="61"/>
      <c r="AM19" s="61"/>
      <c r="AN19" s="61"/>
      <c r="AO19" s="61"/>
      <c r="AP19" s="61"/>
      <c r="AQ19" s="61"/>
      <c r="AR19" s="61"/>
    </row>
    <row r="20" spans="2:44" ht="15.75" customHeight="1">
      <c r="B20" s="79" t="s">
        <v>299</v>
      </c>
      <c r="C20" s="101">
        <f t="shared" si="8"/>
        <v>55.453881373569196</v>
      </c>
      <c r="D20" s="101">
        <f t="shared" si="8"/>
        <v>58.775684022109012</v>
      </c>
      <c r="E20" s="101">
        <f t="shared" si="8"/>
        <v>44.540663795287557</v>
      </c>
      <c r="F20" s="101">
        <f t="shared" si="8"/>
        <v>78.850529369376019</v>
      </c>
      <c r="G20" s="101">
        <f t="shared" si="8"/>
        <v>147.37563919129082</v>
      </c>
      <c r="H20" s="101">
        <f t="shared" si="8"/>
        <v>132.92623910336241</v>
      </c>
      <c r="I20" s="101">
        <v>78.921450892857138</v>
      </c>
      <c r="J20" s="101">
        <f t="shared" si="9"/>
        <v>62.951180555555567</v>
      </c>
      <c r="K20" s="101">
        <f t="shared" si="9"/>
        <v>77.315840336134457</v>
      </c>
      <c r="L20" s="101">
        <f t="shared" si="9"/>
        <v>80.561624441132636</v>
      </c>
      <c r="M20" s="101">
        <f t="shared" si="9"/>
        <v>45.422869615832369</v>
      </c>
      <c r="N20" s="101">
        <f t="shared" ref="N20" si="15">N10/N15</f>
        <v>107.68217073170732</v>
      </c>
      <c r="O20" s="194"/>
      <c r="P20" s="80">
        <f t="shared" si="11"/>
        <v>76.082804590397799</v>
      </c>
      <c r="Q20" s="81">
        <f t="shared" si="11"/>
        <v>65.875462184873953</v>
      </c>
      <c r="R20" s="102">
        <f t="shared" si="11"/>
        <v>72.22995673128051</v>
      </c>
      <c r="S20" s="79"/>
      <c r="T20" s="81">
        <f>'MK -Elims-2023- 1r scenario'!U19</f>
        <v>80</v>
      </c>
      <c r="U20" s="81">
        <f>'MK -Elims-2023- 1r scenario'!V19</f>
        <v>89.939070655486617</v>
      </c>
      <c r="V20" s="81">
        <f>'MK -Elims-2023- 1r scenario'!W19</f>
        <v>89.645354780723039</v>
      </c>
      <c r="W20" s="81">
        <f>'MK -Elims-2023- 1r scenario'!X19</f>
        <v>94.508472343657573</v>
      </c>
      <c r="X20" s="81">
        <f>'MK -Elims-2023- 1r scenario'!Y19</f>
        <v>93.996284878435205</v>
      </c>
      <c r="Y20" s="81">
        <f>'MK -Elims-2023- 1r scenario'!Z19</f>
        <v>88.860576531607819</v>
      </c>
      <c r="Z20" s="81">
        <f>'MK -Elims-2023- 1r scenario'!AA19</f>
        <v>89.258001657898802</v>
      </c>
      <c r="AA20" s="81">
        <f>'MK -Elims-2023- 1r scenario'!AB19</f>
        <v>70</v>
      </c>
      <c r="AB20" s="81">
        <f>'MK -Elims-2023- 1r scenario'!AC19</f>
        <v>70</v>
      </c>
      <c r="AC20" s="81">
        <f>'MK -Elims-2023- 1r scenario'!AD19</f>
        <v>70</v>
      </c>
      <c r="AD20" s="81">
        <f>'MK -Elims-2023- 1r scenario'!AE19</f>
        <v>70</v>
      </c>
      <c r="AE20" s="81">
        <f>'MK -Elims-2023- 1r scenario'!AF19</f>
        <v>70</v>
      </c>
      <c r="AF20" s="77"/>
      <c r="AG20" s="80">
        <f t="shared" si="14"/>
        <v>89.405820049842291</v>
      </c>
      <c r="AH20" s="81">
        <f t="shared" si="14"/>
        <v>71.375921348831525</v>
      </c>
      <c r="AI20" s="102">
        <f t="shared" si="14"/>
        <v>78.575795788341807</v>
      </c>
      <c r="AJ20" s="61"/>
      <c r="AK20" s="61"/>
      <c r="AL20" s="61"/>
      <c r="AM20" s="61"/>
      <c r="AN20" s="61"/>
      <c r="AO20" s="61"/>
      <c r="AP20" s="61"/>
      <c r="AQ20" s="61"/>
      <c r="AR20" s="61"/>
    </row>
    <row r="21" spans="2:44" ht="15.75" customHeight="1">
      <c r="B21" s="79" t="s">
        <v>300</v>
      </c>
      <c r="C21" s="101">
        <f t="shared" si="8"/>
        <v>71.654897959183671</v>
      </c>
      <c r="D21" s="101">
        <f t="shared" si="8"/>
        <v>94.616108108108108</v>
      </c>
      <c r="E21" s="101">
        <f t="shared" si="8"/>
        <v>95.256162162162155</v>
      </c>
      <c r="F21" s="101">
        <f t="shared" si="8"/>
        <v>104.87949760765549</v>
      </c>
      <c r="G21" s="101">
        <f t="shared" si="8"/>
        <v>206.56253472222224</v>
      </c>
      <c r="H21" s="101">
        <f t="shared" si="8"/>
        <v>64.716660377358494</v>
      </c>
      <c r="I21" s="101">
        <v>76.47760563380281</v>
      </c>
      <c r="J21" s="101" t="e">
        <f t="shared" si="9"/>
        <v>#REF!</v>
      </c>
      <c r="K21" s="101" t="e">
        <f t="shared" si="9"/>
        <v>#REF!</v>
      </c>
      <c r="L21" s="101" t="e">
        <f t="shared" si="9"/>
        <v>#REF!</v>
      </c>
      <c r="M21" s="101">
        <f t="shared" si="9"/>
        <v>105.35220946915352</v>
      </c>
      <c r="N21" s="101">
        <f t="shared" ref="N21" si="16">N11/N16</f>
        <v>85.759880546075081</v>
      </c>
      <c r="O21" s="194"/>
      <c r="P21" s="80">
        <f t="shared" si="11"/>
        <v>103.66950464396285</v>
      </c>
      <c r="Q21" s="81" t="e">
        <f t="shared" si="11"/>
        <v>#REF!</v>
      </c>
      <c r="R21" s="102" t="e">
        <f t="shared" si="11"/>
        <v>#REF!</v>
      </c>
      <c r="S21" s="79"/>
      <c r="T21" s="81">
        <f>'MK -CEL-2023- 1r Scenario'!U21</f>
        <v>90</v>
      </c>
      <c r="U21" s="81">
        <f>'MK -CEL-2023- 1r Scenario'!V21</f>
        <v>95</v>
      </c>
      <c r="V21" s="81">
        <f>'MK -CEL-2023- 1r Scenario'!W21</f>
        <v>95</v>
      </c>
      <c r="W21" s="81">
        <f>'MK -CEL-2023- 1r Scenario'!X21</f>
        <v>100</v>
      </c>
      <c r="X21" s="81">
        <f>'MK -CEL-2023- 1r Scenario'!Y21</f>
        <v>100</v>
      </c>
      <c r="Y21" s="81">
        <f>'MK -CEL-2023- 1r Scenario'!Z21</f>
        <v>95</v>
      </c>
      <c r="Z21" s="81">
        <f>'MK -CEL-2023- 1r Scenario'!AA21</f>
        <v>95</v>
      </c>
      <c r="AA21" s="81">
        <f>'MK -CEL-2023- 1r Scenario'!AB21</f>
        <v>50</v>
      </c>
      <c r="AB21" s="81">
        <f>'MK -CEL-2023- 1r Scenario'!AC21</f>
        <v>75</v>
      </c>
      <c r="AC21" s="81">
        <f>'MK -CEL-2023- 1r Scenario'!AD21</f>
        <v>80</v>
      </c>
      <c r="AD21" s="81">
        <f>'MK -CEL-2023- 1r Scenario'!AE21</f>
        <v>50</v>
      </c>
      <c r="AE21" s="81">
        <f>'MK -CEL-2023- 1r Scenario'!AF21</f>
        <v>90</v>
      </c>
      <c r="AF21" s="77"/>
      <c r="AG21" s="80">
        <f t="shared" si="14"/>
        <v>106.39124951685947</v>
      </c>
      <c r="AH21" s="81">
        <f t="shared" si="14"/>
        <v>71.539046328176084</v>
      </c>
      <c r="AI21" s="102">
        <f t="shared" si="14"/>
        <v>84.937953139226138</v>
      </c>
      <c r="AJ21" s="61"/>
      <c r="AK21" s="61"/>
      <c r="AL21" s="61"/>
      <c r="AM21" s="61"/>
      <c r="AN21" s="61"/>
      <c r="AO21" s="61"/>
      <c r="AP21" s="61"/>
      <c r="AQ21" s="61"/>
      <c r="AR21" s="61"/>
    </row>
    <row r="22" spans="2:44" ht="15.75" customHeight="1">
      <c r="B22" s="79"/>
      <c r="C22" s="74"/>
      <c r="D22" s="74"/>
      <c r="E22" s="74"/>
      <c r="F22" s="103">
        <f t="shared" ref="F22:F23" si="17">AVERAGE(F25:H25)</f>
        <v>0.45513760613240523</v>
      </c>
      <c r="G22" s="104"/>
      <c r="H22" s="104"/>
      <c r="I22" s="104"/>
      <c r="J22" s="104"/>
      <c r="K22" s="104"/>
      <c r="L22" s="104"/>
      <c r="M22" s="104"/>
      <c r="N22" s="104"/>
      <c r="O22" s="194"/>
      <c r="P22" s="104"/>
      <c r="Q22" s="104"/>
      <c r="R22" s="104"/>
      <c r="S22" s="79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2:44" ht="15.75" customHeight="1">
      <c r="B23" s="79"/>
      <c r="C23" s="74"/>
      <c r="D23" s="74"/>
      <c r="E23" s="74"/>
      <c r="F23" s="103">
        <f t="shared" si="17"/>
        <v>0.68262831475964536</v>
      </c>
      <c r="G23" s="104"/>
      <c r="H23" s="104"/>
      <c r="I23" s="104">
        <v>0.7</v>
      </c>
      <c r="J23" s="104">
        <v>0.4</v>
      </c>
      <c r="K23" s="104">
        <v>0.8</v>
      </c>
      <c r="L23" s="104">
        <v>1</v>
      </c>
      <c r="M23" s="104">
        <v>1.2</v>
      </c>
      <c r="N23" s="71"/>
      <c r="O23" s="194"/>
      <c r="P23" s="104"/>
      <c r="Q23" s="104"/>
      <c r="R23" s="105"/>
      <c r="S23" s="79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104"/>
      <c r="AG23" s="104"/>
      <c r="AH23" s="104"/>
      <c r="AI23" s="105"/>
      <c r="AJ23" s="61"/>
      <c r="AK23" s="61"/>
      <c r="AL23" s="61"/>
      <c r="AM23" s="61"/>
      <c r="AN23" s="61"/>
      <c r="AO23" s="61"/>
      <c r="AP23" s="61"/>
      <c r="AQ23" s="61"/>
      <c r="AR23" s="61"/>
    </row>
    <row r="24" spans="2:44" ht="15.75" customHeight="1">
      <c r="B24" s="74" t="s">
        <v>22</v>
      </c>
      <c r="C24" s="106">
        <f t="shared" ref="C24:H26" si="18">C29/C14</f>
        <v>0.55617529880478089</v>
      </c>
      <c r="D24" s="106">
        <f t="shared" si="18"/>
        <v>0.46930386593220058</v>
      </c>
      <c r="E24" s="106">
        <f t="shared" si="18"/>
        <v>0.27585144629473396</v>
      </c>
      <c r="F24" s="106">
        <f t="shared" si="18"/>
        <v>0.36989642899988001</v>
      </c>
      <c r="G24" s="106">
        <f t="shared" si="18"/>
        <v>0.69338218456606371</v>
      </c>
      <c r="H24" s="106">
        <f t="shared" si="18"/>
        <v>0.48612153038259565</v>
      </c>
      <c r="I24" s="106">
        <v>0.61021170610211706</v>
      </c>
      <c r="J24" s="106">
        <f t="shared" ref="J24:M24" si="19">J29/J14</f>
        <v>0.55882352941176472</v>
      </c>
      <c r="K24" s="106">
        <f t="shared" si="19"/>
        <v>0.71664548919949178</v>
      </c>
      <c r="L24" s="106">
        <f t="shared" si="19"/>
        <v>0.53249097472924189</v>
      </c>
      <c r="M24" s="106">
        <f t="shared" si="19"/>
        <v>0.4581904761904762</v>
      </c>
      <c r="N24" s="106">
        <f t="shared" ref="N24" si="20">N29/N14</f>
        <v>0.52610441767068272</v>
      </c>
      <c r="O24" s="194"/>
      <c r="P24" s="109">
        <f t="shared" ref="P24:R26" si="21">P29/P14</f>
        <v>0.42515091057314658</v>
      </c>
      <c r="Q24" s="107">
        <f t="shared" si="21"/>
        <v>0.5374451434709222</v>
      </c>
      <c r="R24" s="110">
        <f t="shared" si="21"/>
        <v>0.47352601721569054</v>
      </c>
      <c r="S24" s="74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8"/>
      <c r="AG24" s="109">
        <f t="shared" ref="AG24:AI26" si="22">AG29/AG14</f>
        <v>0.52008230504143393</v>
      </c>
      <c r="AH24" s="107">
        <f t="shared" si="22"/>
        <v>0.63653550541018</v>
      </c>
      <c r="AI24" s="110">
        <f t="shared" si="22"/>
        <v>0.59084080593163824</v>
      </c>
      <c r="AJ24" s="61"/>
      <c r="AK24" s="61"/>
      <c r="AL24" s="61"/>
      <c r="AM24" s="61"/>
      <c r="AN24" s="61"/>
      <c r="AO24" s="61"/>
      <c r="AP24" s="61"/>
      <c r="AQ24" s="61"/>
      <c r="AR24" s="61"/>
    </row>
    <row r="25" spans="2:44" ht="15.75" customHeight="1">
      <c r="B25" s="79" t="s">
        <v>296</v>
      </c>
      <c r="C25" s="111">
        <f t="shared" si="18"/>
        <v>0.36212278876170656</v>
      </c>
      <c r="D25" s="111">
        <f t="shared" si="18"/>
        <v>0.33143846259761206</v>
      </c>
      <c r="E25" s="111">
        <f t="shared" si="18"/>
        <v>0.17976280960826185</v>
      </c>
      <c r="F25" s="111">
        <f t="shared" si="18"/>
        <v>0.3298165222372092</v>
      </c>
      <c r="G25" s="111">
        <f t="shared" si="18"/>
        <v>0.55489891135303271</v>
      </c>
      <c r="H25" s="111">
        <f t="shared" si="18"/>
        <v>0.48069738480697383</v>
      </c>
      <c r="I25" s="111">
        <v>0.5915178571428571</v>
      </c>
      <c r="J25" s="111">
        <v>0.39053872053872002</v>
      </c>
      <c r="K25" s="111">
        <v>0.47414157876469398</v>
      </c>
      <c r="L25" s="111">
        <v>0.567609032056268</v>
      </c>
      <c r="M25" s="111">
        <v>0.666694467423111</v>
      </c>
      <c r="N25" s="111">
        <v>0.666694467423111</v>
      </c>
      <c r="O25" s="194"/>
      <c r="P25" s="114">
        <f t="shared" si="21"/>
        <v>0.32174144994949844</v>
      </c>
      <c r="Q25" s="112">
        <f t="shared" si="21"/>
        <v>0.47503707365299058</v>
      </c>
      <c r="R25" s="115">
        <f t="shared" si="21"/>
        <v>0.37960418170996335</v>
      </c>
      <c r="S25" s="79"/>
      <c r="T25" s="112">
        <f>'MK -Elims-2023- 1r scenario'!U24</f>
        <v>0.45247152467190999</v>
      </c>
      <c r="U25" s="112">
        <f>'MK -Elims-2023- 1r scenario'!V24</f>
        <v>0.47649911719150001</v>
      </c>
      <c r="V25" s="112">
        <f>'MK -Elims-2023- 1r scenario'!W24</f>
        <v>0.48499117191500002</v>
      </c>
      <c r="W25" s="112">
        <f>'MK -Elims-2023- 1r scenario'!X24</f>
        <v>0.55884991171914999</v>
      </c>
      <c r="X25" s="112">
        <f>'MK -Elims-2023- 1r scenario'!Y24</f>
        <v>0.57884991171915001</v>
      </c>
      <c r="Y25" s="112">
        <f>'MK -Elims-2023- 1r scenario'!Z24</f>
        <v>0.59884991171915003</v>
      </c>
      <c r="Z25" s="112">
        <f>'MK -Elims-2023- 1r scenario'!AA24</f>
        <v>0.53384991171914997</v>
      </c>
      <c r="AA25" s="112">
        <f>'MK -Elims-2023- 1r scenario'!AB24</f>
        <v>0.39</v>
      </c>
      <c r="AB25" s="112">
        <f>'MK -Elims-2023- 1r scenario'!AC24</f>
        <v>0.59</v>
      </c>
      <c r="AC25" s="112">
        <f>'MK -Elims-2023- 1r scenario'!AD24</f>
        <v>0.62565217391304295</v>
      </c>
      <c r="AD25" s="112">
        <f>'MK -Elims-2023- 1r scenario'!AE24</f>
        <v>0.70454545454545503</v>
      </c>
      <c r="AE25" s="112">
        <f>'MK -Elims-2023- 1r scenario'!AF24</f>
        <v>0.65230769230769203</v>
      </c>
      <c r="AF25" s="113"/>
      <c r="AG25" s="114">
        <f t="shared" si="22"/>
        <v>0.52783802462329887</v>
      </c>
      <c r="AH25" s="112">
        <f t="shared" si="22"/>
        <v>0.66024165110939481</v>
      </c>
      <c r="AI25" s="115">
        <f t="shared" si="22"/>
        <v>0.6073689477268589</v>
      </c>
      <c r="AJ25" s="61"/>
      <c r="AK25" s="61"/>
      <c r="AL25" s="61"/>
      <c r="AM25" s="61"/>
      <c r="AN25" s="61"/>
      <c r="AO25" s="61"/>
      <c r="AP25" s="61"/>
      <c r="AQ25" s="61"/>
      <c r="AR25" s="61"/>
    </row>
    <row r="26" spans="2:44" ht="15.75" customHeight="1">
      <c r="B26" s="79" t="s">
        <v>301</v>
      </c>
      <c r="C26" s="111">
        <f t="shared" si="18"/>
        <v>1.1904761904761905</v>
      </c>
      <c r="D26" s="111">
        <f t="shared" si="18"/>
        <v>1.2270270270270269</v>
      </c>
      <c r="E26" s="111">
        <f t="shared" si="18"/>
        <v>0.92162162162162165</v>
      </c>
      <c r="F26" s="111">
        <f t="shared" si="18"/>
        <v>0.47368421052631576</v>
      </c>
      <c r="G26" s="111">
        <f t="shared" si="18"/>
        <v>1.0798611111111112</v>
      </c>
      <c r="H26" s="111">
        <f t="shared" si="18"/>
        <v>0.49433962264150944</v>
      </c>
      <c r="I26" s="111">
        <v>0.63380281690140849</v>
      </c>
      <c r="J26" s="111">
        <v>0.445353535353535</v>
      </c>
      <c r="K26" s="111">
        <v>0.59722665599359004</v>
      </c>
      <c r="L26" s="111">
        <v>0.67166871322793698</v>
      </c>
      <c r="M26" s="111">
        <v>0.78142725635381205</v>
      </c>
      <c r="N26" s="111">
        <v>0.78142725635381205</v>
      </c>
      <c r="O26" s="194"/>
      <c r="P26" s="114">
        <f t="shared" si="21"/>
        <v>0.78121775025799789</v>
      </c>
      <c r="Q26" s="112">
        <f t="shared" si="21"/>
        <v>0.63069832402234638</v>
      </c>
      <c r="R26" s="115">
        <f t="shared" si="21"/>
        <v>0.69633888388838894</v>
      </c>
      <c r="S26" s="79"/>
      <c r="T26" s="116">
        <f>'MK -CEL-2023- 1r Scenario'!U26</f>
        <v>0.45247152467190999</v>
      </c>
      <c r="U26" s="116">
        <f>'MK -CEL-2023- 1r Scenario'!V26</f>
        <v>0.46220414367575502</v>
      </c>
      <c r="V26" s="116">
        <f>'MK -CEL-2023- 1r Scenario'!W26</f>
        <v>0.47044143675755001</v>
      </c>
      <c r="W26" s="116">
        <f>'MK -CEL-2023- 1r Scenario'!X26</f>
        <v>0.54208441436757548</v>
      </c>
      <c r="X26" s="116">
        <f>'MK -CEL-2023- 1r Scenario'!Y26</f>
        <v>0.56148441436757546</v>
      </c>
      <c r="Y26" s="116">
        <f>'MK -CEL-2023- 1r Scenario'!Z26</f>
        <v>0.58088441436757554</v>
      </c>
      <c r="Z26" s="116">
        <f>'MK -CEL-2023- 1r Scenario'!AA26</f>
        <v>0.51783441436757549</v>
      </c>
      <c r="AA26" s="116">
        <f>'MK -CEL-2023- 1r Scenario'!AB26</f>
        <v>0.39</v>
      </c>
      <c r="AB26" s="116">
        <f>'MK -CEL-2023- 1r Scenario'!AC26</f>
        <v>0.57229999999999992</v>
      </c>
      <c r="AC26" s="116">
        <f>'MK -CEL-2023- 1r Scenario'!AD26</f>
        <v>0.60688260869565169</v>
      </c>
      <c r="AD26" s="116">
        <f>'MK -CEL-2023- 1r Scenario'!AE26</f>
        <v>0.68340909090909141</v>
      </c>
      <c r="AE26" s="116">
        <f>'MK -CEL-2023- 1r Scenario'!AF26</f>
        <v>0.63273846153846125</v>
      </c>
      <c r="AF26" s="117"/>
      <c r="AG26" s="114">
        <f t="shared" si="22"/>
        <v>0.51087241954419083</v>
      </c>
      <c r="AH26" s="112">
        <f t="shared" si="22"/>
        <v>0.61008871808937815</v>
      </c>
      <c r="AI26" s="115">
        <f t="shared" si="22"/>
        <v>0.57194507674919615</v>
      </c>
      <c r="AJ26" s="61"/>
      <c r="AK26" s="61"/>
      <c r="AL26" s="61"/>
      <c r="AM26" s="61"/>
      <c r="AN26" s="61"/>
      <c r="AO26" s="61"/>
      <c r="AP26" s="61"/>
      <c r="AQ26" s="61"/>
      <c r="AR26" s="61"/>
    </row>
    <row r="27" spans="2:44" ht="15.75" customHeight="1">
      <c r="B27" s="74"/>
      <c r="C27" s="74"/>
      <c r="D27" s="74"/>
      <c r="E27" s="74"/>
      <c r="F27" s="118">
        <f t="shared" ref="F27" si="23">AVERAGE(F30:H30)</f>
        <v>396.33333333333331</v>
      </c>
      <c r="G27" s="104"/>
      <c r="H27" s="104"/>
      <c r="I27" s="104"/>
      <c r="J27" s="104"/>
      <c r="K27" s="104"/>
      <c r="L27" s="104"/>
      <c r="M27" s="104"/>
      <c r="N27" s="104"/>
      <c r="O27" s="194"/>
      <c r="P27" s="104"/>
      <c r="Q27" s="104"/>
      <c r="R27" s="104"/>
      <c r="S27" s="7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61"/>
      <c r="AK27" s="61"/>
      <c r="AL27" s="61"/>
      <c r="AM27" s="61"/>
      <c r="AN27" s="61"/>
      <c r="AO27" s="61"/>
      <c r="AP27" s="61"/>
      <c r="AQ27" s="61"/>
      <c r="AR27" s="61"/>
    </row>
    <row r="28" spans="2:44" ht="15.75" customHeight="1">
      <c r="B28" s="74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71"/>
      <c r="O28" s="194"/>
      <c r="P28" s="104"/>
      <c r="Q28" s="104"/>
      <c r="R28" s="104"/>
      <c r="S28" s="74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104"/>
      <c r="AG28" s="104"/>
      <c r="AH28" s="104"/>
      <c r="AI28" s="104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2:44" ht="15.75" customHeight="1">
      <c r="B29" s="74" t="s">
        <v>54</v>
      </c>
      <c r="C29" s="88">
        <f t="shared" ref="C29:H29" si="24">SUM(C30:C31)</f>
        <v>349</v>
      </c>
      <c r="D29" s="88">
        <f t="shared" si="24"/>
        <v>564</v>
      </c>
      <c r="E29" s="88">
        <f t="shared" si="24"/>
        <v>788</v>
      </c>
      <c r="F29" s="88">
        <f t="shared" si="24"/>
        <v>555</v>
      </c>
      <c r="G29" s="88">
        <f t="shared" si="24"/>
        <v>757</v>
      </c>
      <c r="H29" s="88">
        <f t="shared" si="24"/>
        <v>648</v>
      </c>
      <c r="I29" s="88">
        <v>490</v>
      </c>
      <c r="J29" s="88">
        <f t="shared" ref="J29:M29" si="25">SUM(J30:J31)</f>
        <v>228</v>
      </c>
      <c r="K29" s="88">
        <f t="shared" si="25"/>
        <v>564</v>
      </c>
      <c r="L29" s="88">
        <f t="shared" si="25"/>
        <v>590</v>
      </c>
      <c r="M29" s="88">
        <f t="shared" si="25"/>
        <v>1106.53</v>
      </c>
      <c r="N29" s="88">
        <f>SUM(N30:N31)</f>
        <v>524</v>
      </c>
      <c r="O29" s="194"/>
      <c r="P29" s="88">
        <f>SUM(C29:H29)</f>
        <v>3661</v>
      </c>
      <c r="Q29" s="89">
        <f>SUM(I29:N29)</f>
        <v>3502.5299999999997</v>
      </c>
      <c r="R29" s="90">
        <f>SUM(C29:N29)</f>
        <v>7163.53</v>
      </c>
      <c r="S29" s="74"/>
      <c r="T29" s="89">
        <f>SUM(T30:T31)</f>
        <v>494.27811297739117</v>
      </c>
      <c r="U29" s="89">
        <f t="shared" ref="U29:AE29" si="26">SUM(U30:U31)</f>
        <v>391.16575772226429</v>
      </c>
      <c r="V29" s="89">
        <f t="shared" si="26"/>
        <v>423.42422092831083</v>
      </c>
      <c r="W29" s="89">
        <f t="shared" si="26"/>
        <v>497.61993192426888</v>
      </c>
      <c r="X29" s="89">
        <f t="shared" si="26"/>
        <v>571.63400830334547</v>
      </c>
      <c r="Y29" s="89">
        <f t="shared" si="26"/>
        <v>609.61536745852993</v>
      </c>
      <c r="Z29" s="89">
        <f t="shared" si="26"/>
        <v>502.01912514023212</v>
      </c>
      <c r="AA29" s="89">
        <f t="shared" si="26"/>
        <v>251.28865970000004</v>
      </c>
      <c r="AB29" s="89">
        <f t="shared" si="26"/>
        <v>686.52705342980948</v>
      </c>
      <c r="AC29" s="89">
        <f t="shared" si="26"/>
        <v>898.891294788305</v>
      </c>
      <c r="AD29" s="89">
        <f t="shared" si="26"/>
        <v>2206.6147983012461</v>
      </c>
      <c r="AE29" s="89">
        <f t="shared" si="26"/>
        <v>1117.1272762510307</v>
      </c>
      <c r="AF29" s="93"/>
      <c r="AG29" s="88">
        <f t="shared" ref="AG29:AG31" si="27">SUM(T29:Y29)</f>
        <v>2987.7373993141105</v>
      </c>
      <c r="AH29" s="89">
        <f t="shared" ref="AH29:AH31" si="28">SUM(Z29:AE29)</f>
        <v>5662.4682076106237</v>
      </c>
      <c r="AI29" s="90">
        <f t="shared" ref="AI29:AI31" si="29">SUM(T29:AE29)</f>
        <v>8650.2056069247337</v>
      </c>
      <c r="AJ29" s="61"/>
      <c r="AK29" s="61"/>
      <c r="AL29" s="61"/>
      <c r="AM29" s="61"/>
      <c r="AN29" s="61"/>
      <c r="AO29" s="61"/>
      <c r="AP29" s="61"/>
      <c r="AQ29" s="61"/>
      <c r="AR29" s="61"/>
    </row>
    <row r="30" spans="2:44" ht="15.75" customHeight="1">
      <c r="B30" s="79" t="s">
        <v>297</v>
      </c>
      <c r="C30" s="119">
        <f>[2]Producto!B32</f>
        <v>174</v>
      </c>
      <c r="D30" s="119">
        <f>[2]Producto!C32</f>
        <v>337</v>
      </c>
      <c r="E30" s="119">
        <f>[2]Producto!D32</f>
        <v>447</v>
      </c>
      <c r="F30" s="119">
        <f>[2]Producto!E32</f>
        <v>357</v>
      </c>
      <c r="G30" s="119">
        <f>[2]Producto!F32</f>
        <v>446</v>
      </c>
      <c r="H30" s="119">
        <f>[2]Producto!G32</f>
        <v>386</v>
      </c>
      <c r="I30" s="119">
        <v>265</v>
      </c>
      <c r="J30" s="119">
        <f>'[3]MK Digital-Elims-2022'!J33</f>
        <v>115</v>
      </c>
      <c r="K30" s="119">
        <f>'[3]MK Digital-Elims-2022'!K33</f>
        <v>293</v>
      </c>
      <c r="L30" s="119">
        <f>'[3]MK Digital-Elims-2022'!L33</f>
        <v>295</v>
      </c>
      <c r="M30" s="119">
        <f>'[3]MK Digital-Elims-2022'!M33</f>
        <v>658.99999999999989</v>
      </c>
      <c r="N30" s="119">
        <f>'MK -Elims-2023- 1r scenario'!O29</f>
        <v>295</v>
      </c>
      <c r="O30" s="194"/>
      <c r="P30" s="91">
        <f>SUM(C30:H30)</f>
        <v>2147</v>
      </c>
      <c r="Q30" s="92">
        <f>SUM(I30:N30)</f>
        <v>1922</v>
      </c>
      <c r="R30" s="94">
        <f>SUM(C30:N30)</f>
        <v>4069</v>
      </c>
      <c r="S30" s="79"/>
      <c r="T30" s="92">
        <f>'MK -Elims-2023- 1r scenario'!U29</f>
        <v>247.53233856583384</v>
      </c>
      <c r="U30" s="92">
        <f>'MK -Elims-2023- 1r scenario'!V29</f>
        <v>215.95260086408092</v>
      </c>
      <c r="V30" s="92">
        <f>'MK -Elims-2023- 1r scenario'!W29</f>
        <v>233.6988217870842</v>
      </c>
      <c r="W30" s="92">
        <f>'MK -Elims-2023- 1r scenario'!X29</f>
        <v>277.46445448427301</v>
      </c>
      <c r="X30" s="92">
        <f>'MK -Elims-2023- 1r scenario'!Y29</f>
        <v>324.22844186666828</v>
      </c>
      <c r="Y30" s="92">
        <f>'MK -Elims-2023- 1r scenario'!Z29</f>
        <v>347.22213338226663</v>
      </c>
      <c r="Z30" s="92">
        <f>'MK -Elims-2023- 1r scenario'!AA29</f>
        <v>280.64346033628908</v>
      </c>
      <c r="AA30" s="92">
        <f>'MK -Elims-2023- 1r scenario'!AB29</f>
        <v>135.52130150000002</v>
      </c>
      <c r="AB30" s="92">
        <f>'MK -Elims-2023- 1r scenario'!AC29</f>
        <v>376.62456985714277</v>
      </c>
      <c r="AC30" s="92">
        <f>'MK -Elims-2023- 1r scenario'!AD29</f>
        <v>477.89825701711914</v>
      </c>
      <c r="AD30" s="92">
        <f>'MK -Elims-2023- 1r scenario'!AE29</f>
        <v>1173.4653248965917</v>
      </c>
      <c r="AE30" s="92">
        <f>'MK -Elims-2023- 1r scenario'!AF29</f>
        <v>653</v>
      </c>
      <c r="AF30" s="120"/>
      <c r="AG30" s="91">
        <f t="shared" si="27"/>
        <v>1646.0987909502069</v>
      </c>
      <c r="AH30" s="92">
        <f t="shared" si="28"/>
        <v>3097.1529136071431</v>
      </c>
      <c r="AI30" s="94">
        <f t="shared" si="29"/>
        <v>4743.2517045573495</v>
      </c>
      <c r="AJ30" s="61"/>
      <c r="AK30" s="61"/>
      <c r="AL30" s="61"/>
      <c r="AM30" s="61"/>
      <c r="AN30" s="61"/>
      <c r="AO30" s="61"/>
      <c r="AP30" s="61"/>
      <c r="AQ30" s="61"/>
      <c r="AR30" s="61"/>
    </row>
    <row r="31" spans="2:44" ht="15.75" customHeight="1">
      <c r="B31" s="79" t="s">
        <v>302</v>
      </c>
      <c r="C31" s="119">
        <f>[2]Producto!J32</f>
        <v>175</v>
      </c>
      <c r="D31" s="119">
        <f>[2]Producto!K32</f>
        <v>227</v>
      </c>
      <c r="E31" s="119">
        <f>[2]Producto!L32</f>
        <v>341</v>
      </c>
      <c r="F31" s="119">
        <f>[2]Producto!M32</f>
        <v>198</v>
      </c>
      <c r="G31" s="119">
        <f>[2]Producto!N32</f>
        <v>311</v>
      </c>
      <c r="H31" s="119">
        <f>[2]Producto!O32</f>
        <v>262</v>
      </c>
      <c r="I31" s="119">
        <v>225</v>
      </c>
      <c r="J31" s="119">
        <f>'[3]MK Digital-CEL-2022'!J30</f>
        <v>113</v>
      </c>
      <c r="K31" s="119">
        <f>'[3]MK Digital-CEL-2022'!K30</f>
        <v>270.99999999999994</v>
      </c>
      <c r="L31" s="119">
        <f>'[3]MK Digital-CEL-2022'!L30</f>
        <v>295</v>
      </c>
      <c r="M31" s="119">
        <f>'[3]MK Digital-CEL-2022'!M30</f>
        <v>447.53000000000003</v>
      </c>
      <c r="N31" s="119">
        <f>'MK -CEL-2023- 1r Scenario'!O30</f>
        <v>229</v>
      </c>
      <c r="O31" s="194"/>
      <c r="P31" s="91">
        <f>SUM(C31:H31)</f>
        <v>1514</v>
      </c>
      <c r="Q31" s="92">
        <f>SUM(I31:N31)</f>
        <v>1580.53</v>
      </c>
      <c r="R31" s="94">
        <f>SUM(C31:N31)</f>
        <v>3094.53</v>
      </c>
      <c r="S31" s="79"/>
      <c r="T31" s="92">
        <f>'MK -CEL-2023- 1r Scenario'!U32</f>
        <v>246.74577441155733</v>
      </c>
      <c r="U31" s="92">
        <f>'MK -CEL-2023- 1r Scenario'!V32</f>
        <v>175.21315685818334</v>
      </c>
      <c r="V31" s="92">
        <f>'MK -CEL-2023- 1r Scenario'!W32</f>
        <v>189.72539914122663</v>
      </c>
      <c r="W31" s="92">
        <f>'MK -CEL-2023- 1r Scenario'!X32</f>
        <v>220.15547743999588</v>
      </c>
      <c r="X31" s="92">
        <f>'MK -CEL-2023- 1r Scenario'!Y32</f>
        <v>247.40556643667722</v>
      </c>
      <c r="Y31" s="92">
        <f>'MK -CEL-2023- 1r Scenario'!Z32</f>
        <v>262.3932340762633</v>
      </c>
      <c r="Z31" s="92">
        <f>'MK -CEL-2023- 1r Scenario'!AA32</f>
        <v>221.37566480394304</v>
      </c>
      <c r="AA31" s="92">
        <f>'MK -CEL-2023- 1r Scenario'!AB30</f>
        <v>115.7673582</v>
      </c>
      <c r="AB31" s="92">
        <f>'MK -CEL-2023- 1r Scenario'!AC30</f>
        <v>309.90248357266665</v>
      </c>
      <c r="AC31" s="92">
        <f>'MK -CEL-2023- 1r Scenario'!AD30</f>
        <v>420.99303777118581</v>
      </c>
      <c r="AD31" s="92">
        <f>'MK -CEL-2023- 1r Scenario'!AE30</f>
        <v>1033.1494734046541</v>
      </c>
      <c r="AE31" s="92">
        <f>'MK -CEL-2023- 1r Scenario'!AF30</f>
        <v>464.12727625103059</v>
      </c>
      <c r="AF31" s="120"/>
      <c r="AG31" s="91">
        <f t="shared" si="27"/>
        <v>1341.6386083639036</v>
      </c>
      <c r="AH31" s="92">
        <f t="shared" si="28"/>
        <v>2565.3152940034806</v>
      </c>
      <c r="AI31" s="94">
        <f t="shared" si="29"/>
        <v>3906.9539023673838</v>
      </c>
      <c r="AJ31" s="61"/>
      <c r="AK31" s="61"/>
      <c r="AL31" s="61"/>
      <c r="AM31" s="61"/>
      <c r="AN31" s="61"/>
      <c r="AO31" s="61"/>
      <c r="AP31" s="61"/>
      <c r="AQ31" s="61"/>
      <c r="AR31" s="61"/>
    </row>
    <row r="32" spans="2:44" ht="15.75" customHeight="1">
      <c r="B32" s="79"/>
      <c r="C32" s="61"/>
      <c r="D32" s="61"/>
      <c r="E32" s="61"/>
      <c r="F32" s="70">
        <f t="shared" ref="F32" si="30">AVERAGE(F38:H38)</f>
        <v>260.3972967958685</v>
      </c>
      <c r="G32" s="121"/>
      <c r="H32" s="121"/>
      <c r="I32" s="121"/>
      <c r="J32" s="121"/>
      <c r="K32" s="121"/>
      <c r="L32" s="121"/>
      <c r="M32" s="121"/>
      <c r="N32" s="121"/>
      <c r="O32" s="194"/>
      <c r="P32" s="117"/>
      <c r="Q32" s="117"/>
      <c r="R32" s="117"/>
      <c r="S32" s="79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117"/>
      <c r="AG32" s="117"/>
      <c r="AH32" s="117"/>
      <c r="AI32" s="117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2:44" ht="15.75" customHeight="1">
      <c r="B33" s="74" t="s">
        <v>55</v>
      </c>
      <c r="C33" s="88">
        <f t="shared" ref="C33:H33" si="31">SUM(C34:C35)</f>
        <v>465</v>
      </c>
      <c r="D33" s="88">
        <f t="shared" si="31"/>
        <v>1076</v>
      </c>
      <c r="E33" s="88">
        <f t="shared" si="31"/>
        <v>975</v>
      </c>
      <c r="F33" s="88">
        <f t="shared" si="31"/>
        <v>814</v>
      </c>
      <c r="G33" s="88">
        <f t="shared" si="31"/>
        <v>965</v>
      </c>
      <c r="H33" s="88">
        <f t="shared" si="31"/>
        <v>954</v>
      </c>
      <c r="I33" s="88">
        <v>490</v>
      </c>
      <c r="J33" s="88">
        <f t="shared" ref="J33:M33" si="32">SUM(J34:J35)</f>
        <v>0</v>
      </c>
      <c r="K33" s="88">
        <f t="shared" si="32"/>
        <v>960</v>
      </c>
      <c r="L33" s="88">
        <f t="shared" si="32"/>
        <v>519</v>
      </c>
      <c r="M33" s="88">
        <f t="shared" si="32"/>
        <v>1185</v>
      </c>
      <c r="N33" s="88">
        <f t="shared" ref="N33" si="33">SUM(N34:N35)</f>
        <v>596</v>
      </c>
      <c r="O33" s="194"/>
      <c r="P33" s="88">
        <f>SUM(C33:H33)</f>
        <v>5249</v>
      </c>
      <c r="Q33" s="89">
        <f>SUM(I33:N33)</f>
        <v>3750</v>
      </c>
      <c r="R33" s="90">
        <f>SUM(C33:N33)</f>
        <v>8999</v>
      </c>
      <c r="S33" s="74"/>
      <c r="T33" s="89">
        <f>SUM(T34:T35)</f>
        <v>370.70858473304338</v>
      </c>
      <c r="U33" s="89">
        <f>SUM(U34:U35)</f>
        <v>416.94384653604595</v>
      </c>
      <c r="V33" s="89">
        <f t="shared" ref="V33:AE33" si="34">SUM(V34:V35)</f>
        <v>415.35960512679918</v>
      </c>
      <c r="W33" s="89">
        <f t="shared" si="34"/>
        <v>479.07100417527943</v>
      </c>
      <c r="X33" s="89">
        <f t="shared" si="34"/>
        <v>553.13048920857636</v>
      </c>
      <c r="Y33" s="89">
        <f t="shared" si="34"/>
        <v>600.12002766973376</v>
      </c>
      <c r="Z33" s="89">
        <f t="shared" si="34"/>
        <v>528.91818571980662</v>
      </c>
      <c r="AA33" s="89">
        <f t="shared" si="34"/>
        <v>0</v>
      </c>
      <c r="AB33" s="89">
        <f t="shared" si="34"/>
        <v>766.1839497723571</v>
      </c>
      <c r="AC33" s="89">
        <f t="shared" si="34"/>
        <v>845.80023444868107</v>
      </c>
      <c r="AD33" s="89">
        <f t="shared" si="34"/>
        <v>1879.6839224230107</v>
      </c>
      <c r="AE33" s="89">
        <f t="shared" si="34"/>
        <v>1389.4991567635843</v>
      </c>
      <c r="AF33" s="93"/>
      <c r="AG33" s="88">
        <f t="shared" ref="AG33:AG35" si="35">SUM(T33:Y33)</f>
        <v>2835.3335574494781</v>
      </c>
      <c r="AH33" s="89">
        <f t="shared" ref="AH33:AH35" si="36">SUM(Z33:AE33)</f>
        <v>5410.0854491274395</v>
      </c>
      <c r="AI33" s="90">
        <f t="shared" ref="AI33:AI35" si="37">SUM(T33:AE33)</f>
        <v>8245.419006576918</v>
      </c>
      <c r="AJ33" s="61"/>
      <c r="AK33" s="61"/>
      <c r="AL33" s="61"/>
      <c r="AM33" s="61"/>
      <c r="AN33" s="61"/>
      <c r="AO33" s="61"/>
      <c r="AP33" s="61"/>
      <c r="AQ33" s="61"/>
      <c r="AR33" s="61"/>
    </row>
    <row r="34" spans="2:44" ht="15.75" customHeight="1">
      <c r="B34" s="79" t="s">
        <v>297</v>
      </c>
      <c r="C34" s="119">
        <f>'[3]MK Digital-Elims-2022'!C39</f>
        <v>252</v>
      </c>
      <c r="D34" s="119">
        <f>'[3]MK Digital-Elims-2022'!D39</f>
        <v>405</v>
      </c>
      <c r="E34" s="119">
        <f>'[3]MK Digital-Elims-2022'!E39</f>
        <v>570</v>
      </c>
      <c r="F34" s="119">
        <f>'[3]MK Digital-Elims-2022'!F39</f>
        <v>530</v>
      </c>
      <c r="G34" s="119">
        <f>'[3]MK Digital-Elims-2022'!G39</f>
        <v>652</v>
      </c>
      <c r="H34" s="119">
        <f>'[3]MK Digital-Elims-2022'!H39</f>
        <v>691</v>
      </c>
      <c r="I34" s="119">
        <f>'[3]MK Digital-Elims-2022'!I39</f>
        <v>513</v>
      </c>
      <c r="J34" s="119">
        <f>'[3]MK Digital-Elims-2022'!J39</f>
        <v>0</v>
      </c>
      <c r="K34" s="119">
        <f>'[3]MK Digital-Elims-2022'!K39</f>
        <v>591</v>
      </c>
      <c r="L34" s="119">
        <f>'[3]MK Digital-Elims-2022'!L39</f>
        <v>288</v>
      </c>
      <c r="M34" s="119">
        <f>'[3]MK Digital-Elims-2022'!M39</f>
        <v>663</v>
      </c>
      <c r="N34" s="119">
        <f>'MK -Elims-2023- 1r scenario'!O35</f>
        <v>357</v>
      </c>
      <c r="O34" s="194"/>
      <c r="P34" s="91">
        <f>SUM(C34:H34)</f>
        <v>3100</v>
      </c>
      <c r="Q34" s="92">
        <f>SUM(I34:N34)</f>
        <v>2412</v>
      </c>
      <c r="R34" s="94">
        <f>SUM(C34:N34)</f>
        <v>5512</v>
      </c>
      <c r="S34" s="79"/>
      <c r="T34" s="92">
        <f>+T30*0.75</f>
        <v>185.64925392437539</v>
      </c>
      <c r="U34" s="92">
        <f>+(T30*0.25)+(U30*0.75)</f>
        <v>223.84753528951913</v>
      </c>
      <c r="V34" s="92">
        <f t="shared" ref="V34:AE34" si="38">+(U30*0.25)+(V30*0.75)</f>
        <v>229.26226655633337</v>
      </c>
      <c r="W34" s="92">
        <f t="shared" si="38"/>
        <v>266.52304630997583</v>
      </c>
      <c r="X34" s="92">
        <f t="shared" si="38"/>
        <v>312.53744502106946</v>
      </c>
      <c r="Y34" s="92">
        <f t="shared" si="38"/>
        <v>341.47371050336699</v>
      </c>
      <c r="Z34" s="92">
        <f t="shared" si="38"/>
        <v>297.2881285977835</v>
      </c>
      <c r="AA34" s="92">
        <v>0</v>
      </c>
      <c r="AB34" s="92">
        <f>+(AA30*1)+(AB30*0.75)</f>
        <v>417.9897288928571</v>
      </c>
      <c r="AC34" s="92">
        <f t="shared" si="38"/>
        <v>452.57983522712505</v>
      </c>
      <c r="AD34" s="92">
        <f t="shared" si="38"/>
        <v>999.57355792672365</v>
      </c>
      <c r="AE34" s="92">
        <f t="shared" si="38"/>
        <v>783.11633122414787</v>
      </c>
      <c r="AF34" s="120"/>
      <c r="AG34" s="91">
        <f t="shared" si="35"/>
        <v>1559.2932576046401</v>
      </c>
      <c r="AH34" s="92">
        <f t="shared" si="36"/>
        <v>2950.5475818686373</v>
      </c>
      <c r="AI34" s="94">
        <f t="shared" si="37"/>
        <v>4509.8408394732769</v>
      </c>
      <c r="AJ34" s="61"/>
      <c r="AK34" s="61"/>
      <c r="AL34" s="61"/>
      <c r="AM34" s="61"/>
      <c r="AN34" s="61"/>
      <c r="AO34" s="61"/>
      <c r="AP34" s="61"/>
      <c r="AQ34" s="61"/>
      <c r="AR34" s="61"/>
    </row>
    <row r="35" spans="2:44" ht="15.75" customHeight="1">
      <c r="B35" s="79" t="s">
        <v>302</v>
      </c>
      <c r="C35" s="119">
        <f>'[3]MK Digital-CEL-2022'!C35</f>
        <v>213</v>
      </c>
      <c r="D35" s="119">
        <f>'[3]MK Digital-CEL-2022'!D35</f>
        <v>671</v>
      </c>
      <c r="E35" s="119">
        <f>'[3]MK Digital-CEL-2022'!E35</f>
        <v>405</v>
      </c>
      <c r="F35" s="119">
        <f>'[3]MK Digital-CEL-2022'!F35</f>
        <v>284</v>
      </c>
      <c r="G35" s="119">
        <f>'[3]MK Digital-CEL-2022'!G35</f>
        <v>313</v>
      </c>
      <c r="H35" s="119">
        <f>'[3]MK Digital-CEL-2022'!H35</f>
        <v>263</v>
      </c>
      <c r="I35" s="119">
        <f>'[3]MK Digital-CEL-2022'!I35</f>
        <v>254</v>
      </c>
      <c r="J35" s="119">
        <f>'[3]MK Digital-CEL-2022'!J35</f>
        <v>0</v>
      </c>
      <c r="K35" s="119">
        <f>'[3]MK Digital-CEL-2022'!K35</f>
        <v>369</v>
      </c>
      <c r="L35" s="119">
        <f>'[3]MK Digital-CEL-2022'!L35</f>
        <v>231</v>
      </c>
      <c r="M35" s="119">
        <f>'[3]MK Digital-CEL-2022'!M35</f>
        <v>522</v>
      </c>
      <c r="N35" s="119">
        <f>'MK -CEL-2023- 1r Scenario'!O35</f>
        <v>239</v>
      </c>
      <c r="O35" s="194"/>
      <c r="P35" s="91">
        <f>SUM(C35:H35)</f>
        <v>2149</v>
      </c>
      <c r="Q35" s="92">
        <f>SUM(I35:N35)</f>
        <v>1615</v>
      </c>
      <c r="R35" s="94">
        <f>SUM(C35:N35)</f>
        <v>3764</v>
      </c>
      <c r="S35" s="79"/>
      <c r="T35" s="92">
        <f>+T31*0.75</f>
        <v>185.05933080866799</v>
      </c>
      <c r="U35" s="92">
        <f>+(T31*0.25)+(U31*0.75)</f>
        <v>193.09631124652685</v>
      </c>
      <c r="V35" s="92">
        <f t="shared" ref="V35:AE35" si="39">+(U31*0.25)+(V31*0.75)</f>
        <v>186.09733857046581</v>
      </c>
      <c r="W35" s="92">
        <f t="shared" si="39"/>
        <v>212.54795786530357</v>
      </c>
      <c r="X35" s="92">
        <f t="shared" si="39"/>
        <v>240.59304418750691</v>
      </c>
      <c r="Y35" s="92">
        <f t="shared" si="39"/>
        <v>258.64631716636677</v>
      </c>
      <c r="Z35" s="92">
        <f t="shared" si="39"/>
        <v>231.63005712202312</v>
      </c>
      <c r="AA35" s="92">
        <v>0</v>
      </c>
      <c r="AB35" s="92">
        <f>+(AA31*1)+(AB31*0.75)</f>
        <v>348.19422087949999</v>
      </c>
      <c r="AC35" s="92">
        <f t="shared" si="39"/>
        <v>393.22039922155602</v>
      </c>
      <c r="AD35" s="92">
        <f t="shared" si="39"/>
        <v>880.11036449628705</v>
      </c>
      <c r="AE35" s="92">
        <f t="shared" si="39"/>
        <v>606.38282553943645</v>
      </c>
      <c r="AF35" s="120"/>
      <c r="AG35" s="91">
        <f t="shared" si="35"/>
        <v>1276.040299844838</v>
      </c>
      <c r="AH35" s="92">
        <f t="shared" si="36"/>
        <v>2459.5378672588026</v>
      </c>
      <c r="AI35" s="94">
        <f t="shared" si="37"/>
        <v>3735.5781671036402</v>
      </c>
      <c r="AJ35" s="61"/>
      <c r="AK35" s="61"/>
      <c r="AL35" s="61"/>
      <c r="AM35" s="61"/>
      <c r="AN35" s="61"/>
      <c r="AO35" s="61"/>
      <c r="AP35" s="61"/>
      <c r="AQ35" s="61"/>
      <c r="AR35" s="61"/>
    </row>
    <row r="36" spans="2:44" ht="15.75" customHeight="1">
      <c r="B36" s="79"/>
      <c r="C36" s="61"/>
      <c r="D36" s="61"/>
      <c r="E36" s="61"/>
      <c r="F36" s="70"/>
      <c r="G36" s="121"/>
      <c r="H36" s="121"/>
      <c r="I36" s="121"/>
      <c r="J36" s="121"/>
      <c r="K36" s="121"/>
      <c r="L36" s="121"/>
      <c r="M36" s="121"/>
      <c r="N36" s="121"/>
      <c r="O36" s="194"/>
      <c r="P36" s="117"/>
      <c r="Q36" s="117"/>
      <c r="R36" s="117"/>
      <c r="S36" s="79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117"/>
      <c r="AG36" s="117"/>
      <c r="AH36" s="117"/>
      <c r="AI36" s="117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2:44" ht="15.75" customHeight="1">
      <c r="B37" s="74" t="s">
        <v>28</v>
      </c>
      <c r="C37" s="97">
        <f t="shared" ref="C37:H39" si="40">C9/C29</f>
        <v>106.52968481375359</v>
      </c>
      <c r="D37" s="97">
        <f t="shared" si="40"/>
        <v>136.99631205673759</v>
      </c>
      <c r="E37" s="97">
        <f t="shared" si="40"/>
        <v>185.27923857868018</v>
      </c>
      <c r="F37" s="97">
        <f t="shared" si="40"/>
        <v>232.773009009009</v>
      </c>
      <c r="G37" s="97">
        <f t="shared" si="40"/>
        <v>235.0636459709379</v>
      </c>
      <c r="H37" s="97">
        <f t="shared" si="40"/>
        <v>217.65370370370371</v>
      </c>
      <c r="I37" s="97">
        <v>127.56400000000001</v>
      </c>
      <c r="J37" s="97" t="e">
        <f t="shared" ref="J37:M39" si="41">J9/J29</f>
        <v>#REF!</v>
      </c>
      <c r="K37" s="97" t="e">
        <f t="shared" si="41"/>
        <v>#REF!</v>
      </c>
      <c r="L37" s="97" t="e">
        <f t="shared" si="41"/>
        <v>#REF!</v>
      </c>
      <c r="M37" s="97">
        <f t="shared" si="41"/>
        <v>136.88465744263601</v>
      </c>
      <c r="N37" s="97">
        <f t="shared" ref="N37" si="42">N9/N29</f>
        <v>180.16217557251909</v>
      </c>
      <c r="O37" s="243"/>
      <c r="P37" s="75">
        <f t="shared" ref="P37:R39" si="43">P9/P29</f>
        <v>193.55821360284077</v>
      </c>
      <c r="Q37" s="122" t="e">
        <f t="shared" si="43"/>
        <v>#REF!</v>
      </c>
      <c r="R37" s="78" t="e">
        <f t="shared" si="43"/>
        <v>#REF!</v>
      </c>
      <c r="S37" s="74"/>
      <c r="T37" s="122">
        <f>T9/T29</f>
        <v>185.52736625866851</v>
      </c>
      <c r="U37" s="122">
        <f t="shared" ref="U37:Z37" si="44">U9/U29</f>
        <v>211.37836292589628</v>
      </c>
      <c r="V37" s="122">
        <f t="shared" si="44"/>
        <v>206.45884949222321</v>
      </c>
      <c r="W37" s="122">
        <f t="shared" si="44"/>
        <v>187.78523830155015</v>
      </c>
      <c r="X37" s="122">
        <f t="shared" si="44"/>
        <v>179.5251437271763</v>
      </c>
      <c r="Y37" s="122">
        <f t="shared" si="44"/>
        <v>164.60490147802281</v>
      </c>
      <c r="Z37" s="122">
        <f t="shared" si="44"/>
        <v>178.17185246680506</v>
      </c>
      <c r="AA37" s="122"/>
      <c r="AB37" s="122">
        <f t="shared" ref="AB37:AE37" si="45">AB9/AB29</f>
        <v>130.28718541117902</v>
      </c>
      <c r="AC37" s="122">
        <f t="shared" si="45"/>
        <v>134.33400159185859</v>
      </c>
      <c r="AD37" s="122">
        <f t="shared" si="45"/>
        <v>73.875488993025115</v>
      </c>
      <c r="AE37" s="122">
        <f t="shared" si="45"/>
        <v>122.88656759142788</v>
      </c>
      <c r="AF37" s="82"/>
      <c r="AG37" s="75">
        <f t="shared" ref="AG37:AI39" si="46">AG9/AG29</f>
        <v>186.83697038707268</v>
      </c>
      <c r="AH37" s="122">
        <f t="shared" si="46"/>
        <v>112.25301054329709</v>
      </c>
      <c r="AI37" s="78">
        <f t="shared" si="46"/>
        <v>138.01393419530862</v>
      </c>
      <c r="AJ37" s="61"/>
      <c r="AK37" s="61"/>
      <c r="AL37" s="61"/>
      <c r="AM37" s="61"/>
      <c r="AN37" s="61"/>
      <c r="AO37" s="61"/>
      <c r="AP37" s="61"/>
      <c r="AQ37" s="61"/>
      <c r="AR37" s="61"/>
    </row>
    <row r="38" spans="2:44" ht="15.75" customHeight="1">
      <c r="B38" s="79" t="s">
        <v>298</v>
      </c>
      <c r="C38" s="101">
        <f t="shared" si="40"/>
        <v>153.13557471264369</v>
      </c>
      <c r="D38" s="101">
        <f t="shared" si="40"/>
        <v>177.33513353115728</v>
      </c>
      <c r="E38" s="101">
        <f t="shared" si="40"/>
        <v>247.77463087248321</v>
      </c>
      <c r="F38" s="101">
        <f t="shared" si="40"/>
        <v>239.07392156862744</v>
      </c>
      <c r="G38" s="101">
        <f t="shared" si="40"/>
        <v>265.59006726457397</v>
      </c>
      <c r="H38" s="101">
        <f t="shared" si="40"/>
        <v>276.52790155440414</v>
      </c>
      <c r="I38" s="101">
        <v>133.42192452830187</v>
      </c>
      <c r="J38" s="101">
        <f t="shared" si="41"/>
        <v>157.65165217391305</v>
      </c>
      <c r="K38" s="101">
        <f t="shared" si="41"/>
        <v>125.60525597269626</v>
      </c>
      <c r="L38" s="101">
        <f t="shared" si="41"/>
        <v>183.24355932203389</v>
      </c>
      <c r="M38" s="101">
        <f t="shared" si="41"/>
        <v>118.4165250379363</v>
      </c>
      <c r="N38" s="101">
        <f t="shared" ref="N38" si="47">N10/N30</f>
        <v>149.65996610169492</v>
      </c>
      <c r="O38" s="194"/>
      <c r="P38" s="80">
        <f t="shared" si="43"/>
        <v>236.47187703772707</v>
      </c>
      <c r="Q38" s="81">
        <f t="shared" si="43"/>
        <v>138.67436004162332</v>
      </c>
      <c r="R38" s="83">
        <f t="shared" si="43"/>
        <v>190.27703121159985</v>
      </c>
      <c r="S38" s="79"/>
      <c r="T38" s="81">
        <f>T10/T34</f>
        <v>235.74227514982587</v>
      </c>
      <c r="U38" s="81">
        <f t="shared" ref="U38:Z38" si="48">U10/U34</f>
        <v>182.09265046086253</v>
      </c>
      <c r="V38" s="81">
        <f t="shared" si="48"/>
        <v>188.41605140192522</v>
      </c>
      <c r="W38" s="81">
        <f t="shared" si="48"/>
        <v>176.054910258782</v>
      </c>
      <c r="X38" s="81">
        <f t="shared" si="48"/>
        <v>168.45882577830204</v>
      </c>
      <c r="Y38" s="81">
        <f t="shared" si="48"/>
        <v>150.88333132307699</v>
      </c>
      <c r="Z38" s="81">
        <f t="shared" si="48"/>
        <v>157.83573740841879</v>
      </c>
      <c r="AA38" s="81"/>
      <c r="AB38" s="81">
        <f t="shared" ref="AB38:AE38" si="49">AB10/AB30</f>
        <v>124.58744000105519</v>
      </c>
      <c r="AC38" s="81">
        <f t="shared" si="49"/>
        <v>132.55045801041882</v>
      </c>
      <c r="AD38" s="81">
        <f t="shared" si="49"/>
        <v>72.875271670286395</v>
      </c>
      <c r="AE38" s="81">
        <f t="shared" si="49"/>
        <v>109.13169984686064</v>
      </c>
      <c r="AF38" s="77"/>
      <c r="AG38" s="80">
        <f t="shared" si="46"/>
        <v>169.38116596213086</v>
      </c>
      <c r="AH38" s="81">
        <f t="shared" si="46"/>
        <v>108.105753747737</v>
      </c>
      <c r="AI38" s="83">
        <f t="shared" si="46"/>
        <v>129.37078209615399</v>
      </c>
      <c r="AJ38" s="61"/>
      <c r="AK38" s="61"/>
      <c r="AL38" s="61"/>
      <c r="AM38" s="61"/>
      <c r="AN38" s="61"/>
      <c r="AO38" s="61"/>
      <c r="AP38" s="61"/>
      <c r="AQ38" s="61"/>
      <c r="AR38" s="61"/>
    </row>
    <row r="39" spans="2:44" ht="15.75" customHeight="1">
      <c r="B39" s="79" t="s">
        <v>303</v>
      </c>
      <c r="C39" s="101">
        <f t="shared" si="40"/>
        <v>60.190114285714287</v>
      </c>
      <c r="D39" s="101">
        <f t="shared" si="40"/>
        <v>77.110044052863429</v>
      </c>
      <c r="E39" s="101">
        <f t="shared" si="40"/>
        <v>103.35712609970675</v>
      </c>
      <c r="F39" s="101">
        <f t="shared" si="40"/>
        <v>221.41227272727272</v>
      </c>
      <c r="G39" s="101">
        <f t="shared" si="40"/>
        <v>191.28620578778137</v>
      </c>
      <c r="H39" s="101">
        <f t="shared" si="40"/>
        <v>130.91538167938933</v>
      </c>
      <c r="I39" s="101">
        <v>120.66466666666666</v>
      </c>
      <c r="J39" s="101" t="e">
        <f t="shared" si="41"/>
        <v>#REF!</v>
      </c>
      <c r="K39" s="101" t="e">
        <f t="shared" si="41"/>
        <v>#REF!</v>
      </c>
      <c r="L39" s="101" t="e">
        <f t="shared" si="41"/>
        <v>#REF!</v>
      </c>
      <c r="M39" s="101">
        <f t="shared" si="41"/>
        <v>164.07948070520413</v>
      </c>
      <c r="N39" s="101">
        <f t="shared" ref="N39" si="50">N11/N31</f>
        <v>219.45541484716153</v>
      </c>
      <c r="O39" s="194"/>
      <c r="P39" s="80">
        <f t="shared" si="43"/>
        <v>132.70244385733156</v>
      </c>
      <c r="Q39" s="81" t="e">
        <f t="shared" si="43"/>
        <v>#REF!</v>
      </c>
      <c r="R39" s="83" t="e">
        <f t="shared" si="43"/>
        <v>#REF!</v>
      </c>
      <c r="S39" s="79"/>
      <c r="T39" s="81">
        <f>T11/T35</f>
        <v>259.03443393276706</v>
      </c>
      <c r="U39" s="81">
        <f t="shared" ref="U39:Z39" si="51">U11/U35</f>
        <v>217.10920436215247</v>
      </c>
      <c r="V39" s="81">
        <f t="shared" si="51"/>
        <v>237.63363216102607</v>
      </c>
      <c r="W39" s="81">
        <f t="shared" si="51"/>
        <v>218.88230292705359</v>
      </c>
      <c r="X39" s="81">
        <f t="shared" si="51"/>
        <v>207.70752815718731</v>
      </c>
      <c r="Y39" s="81">
        <f t="shared" si="51"/>
        <v>188.7635093160674</v>
      </c>
      <c r="Z39" s="81">
        <f t="shared" si="51"/>
        <v>183.58147050664851</v>
      </c>
      <c r="AA39" s="81"/>
      <c r="AB39" s="81">
        <f t="shared" ref="AB39:AE39" si="52">AB11/AB31</f>
        <v>137.2140875083665</v>
      </c>
      <c r="AC39" s="81">
        <f t="shared" si="52"/>
        <v>136.35862502362994</v>
      </c>
      <c r="AD39" s="81">
        <f t="shared" si="52"/>
        <v>75.011549530061345</v>
      </c>
      <c r="AE39" s="81">
        <f t="shared" si="52"/>
        <v>142.23886403423464</v>
      </c>
      <c r="AF39" s="82"/>
      <c r="AG39" s="80">
        <f t="shared" si="46"/>
        <v>208.25404826469901</v>
      </c>
      <c r="AH39" s="81">
        <f t="shared" si="46"/>
        <v>117.260070883159</v>
      </c>
      <c r="AI39" s="83">
        <f t="shared" si="46"/>
        <v>148.50718467932947</v>
      </c>
      <c r="AJ39" s="61"/>
      <c r="AK39" s="61"/>
      <c r="AL39" s="61"/>
      <c r="AM39" s="61"/>
      <c r="AN39" s="61"/>
      <c r="AO39" s="61"/>
      <c r="AP39" s="61"/>
      <c r="AQ39" s="61"/>
      <c r="AR39" s="61"/>
    </row>
    <row r="40" spans="2:44" ht="15.75" customHeight="1"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2:44" ht="15.75" customHeight="1"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</row>
    <row r="42" spans="2:44" ht="15.75" customHeight="1"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2:44" ht="15.75" customHeight="1"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2:44" ht="15.75" customHeight="1"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2:44" ht="15.75" customHeight="1"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</row>
    <row r="46" spans="2:44" ht="15.75" customHeight="1"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2:44" ht="15.75" customHeight="1"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</row>
    <row r="48" spans="2:44" ht="15.75" customHeight="1"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2:44" ht="15.75" customHeight="1"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</row>
    <row r="50" spans="2:44" ht="15.75" customHeight="1"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2:44" ht="15.75" customHeight="1"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</row>
    <row r="52" spans="2:44" ht="15.75" customHeight="1"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2:44" ht="15.75" customHeight="1"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</row>
    <row r="54" spans="2:44" ht="15.75" customHeight="1"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2:44" ht="15.75" customHeight="1"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</row>
    <row r="56" spans="2:44" ht="15.75" customHeight="1"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2:44" ht="15.75" customHeight="1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2:44" ht="15.75" customHeight="1"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2:44" ht="15.75" customHeight="1"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</row>
    <row r="60" spans="2:44" ht="15.75" customHeight="1"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2:44" ht="15.75" customHeight="1"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</row>
    <row r="62" spans="2:44" ht="15.75" customHeight="1"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</row>
    <row r="63" spans="2:44" ht="15.75" customHeight="1"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</row>
    <row r="64" spans="2:44" ht="15.75" customHeight="1"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</row>
    <row r="65" spans="2:44" ht="15.75" customHeight="1"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</row>
    <row r="66" spans="2:44" ht="15.75" customHeight="1"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</row>
    <row r="67" spans="2:44" ht="15.75" customHeight="1"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</row>
    <row r="68" spans="2:44" ht="15.75" customHeight="1"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</row>
    <row r="69" spans="2:44" ht="15.75" customHeight="1"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</row>
    <row r="70" spans="2:44" ht="15.75" customHeight="1"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</row>
    <row r="71" spans="2:44" ht="15.75" customHeight="1"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</row>
    <row r="72" spans="2:44" ht="15.75" customHeight="1"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</row>
    <row r="73" spans="2:44" ht="15.75" customHeight="1"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</row>
    <row r="74" spans="2:44" ht="15.75" customHeight="1"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</row>
    <row r="75" spans="2:44" ht="15.75" customHeight="1"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</row>
    <row r="76" spans="2:44" ht="15.75" customHeight="1"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</row>
    <row r="77" spans="2:44" ht="15.75" customHeight="1"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</row>
    <row r="78" spans="2:44" ht="15.75" customHeight="1"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</row>
    <row r="79" spans="2:44" ht="15.75" customHeight="1"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</row>
    <row r="80" spans="2:44" ht="15.75" customHeight="1"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</row>
    <row r="81" spans="2:44" ht="15.75" customHeight="1"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</row>
    <row r="82" spans="2:44" ht="15.75" customHeight="1"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</row>
    <row r="83" spans="2:44" ht="15.75" customHeight="1"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</row>
    <row r="84" spans="2:44" ht="15.75" customHeight="1"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</row>
    <row r="85" spans="2:44" ht="15.75" customHeight="1"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</row>
    <row r="86" spans="2:44" ht="15.75" customHeight="1"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</row>
    <row r="87" spans="2:44" ht="15.75" customHeight="1"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</row>
    <row r="88" spans="2:44" ht="15.75" customHeight="1"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</row>
    <row r="89" spans="2:44" ht="15.75" customHeight="1"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</row>
    <row r="90" spans="2:44" ht="15.75" customHeight="1"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</row>
    <row r="91" spans="2:44" ht="15.75" customHeight="1"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</row>
    <row r="92" spans="2:44" ht="15.75" customHeight="1"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</row>
    <row r="93" spans="2:44" ht="15.75" customHeight="1"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</row>
    <row r="94" spans="2:44" ht="15.75" customHeight="1"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</row>
    <row r="95" spans="2:44" ht="15.75" customHeight="1"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</row>
    <row r="96" spans="2:44" ht="15.75" customHeight="1"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</row>
    <row r="97" spans="2:44" ht="15.75" customHeight="1"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</row>
    <row r="98" spans="2:44" ht="15.75" customHeight="1"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</row>
    <row r="99" spans="2:44" ht="15.75" customHeight="1"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</row>
    <row r="100" spans="2:44" ht="15.75" customHeight="1"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</row>
    <row r="101" spans="2:44" ht="15.75" customHeight="1"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</row>
    <row r="102" spans="2:44" ht="15.75" customHeight="1"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</row>
    <row r="103" spans="2:44" ht="15.75" customHeight="1"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</row>
    <row r="104" spans="2:44" ht="15.75" customHeight="1"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</row>
    <row r="105" spans="2:44" ht="15.75" customHeight="1"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</row>
    <row r="106" spans="2:44" ht="15.75" customHeight="1"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</row>
    <row r="107" spans="2:44" ht="15.75" customHeight="1"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</row>
    <row r="108" spans="2:44" ht="15.75" customHeight="1"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</row>
    <row r="109" spans="2:44" ht="15.75" customHeight="1"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</row>
    <row r="110" spans="2:44" ht="15.75" customHeight="1"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</row>
    <row r="111" spans="2:44" ht="15.75" customHeight="1"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</row>
    <row r="112" spans="2:44" ht="15.75" customHeight="1"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</row>
    <row r="113" spans="2:44" ht="15.75" customHeight="1"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</row>
    <row r="114" spans="2:44" ht="15.75" customHeight="1"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</row>
    <row r="115" spans="2:44" ht="15.75" customHeight="1"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</row>
    <row r="116" spans="2:44" ht="15.75" customHeight="1"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</row>
    <row r="117" spans="2:44" ht="15.75" customHeight="1"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</row>
    <row r="118" spans="2:44" ht="15.75" customHeight="1"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</row>
    <row r="119" spans="2:44" ht="15.75" customHeight="1"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</row>
    <row r="120" spans="2:44" ht="15.75" customHeight="1"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</row>
    <row r="121" spans="2:44" ht="15.75" customHeight="1"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</row>
    <row r="122" spans="2:44" ht="15.75" customHeight="1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</row>
    <row r="123" spans="2:44" ht="15.75" customHeight="1"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</row>
    <row r="124" spans="2:44" ht="15.75" customHeight="1"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</row>
    <row r="125" spans="2:44" ht="15.75" customHeight="1"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</row>
    <row r="126" spans="2:44" ht="15.75" customHeight="1"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</row>
    <row r="127" spans="2:44" ht="15.75" customHeight="1"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</row>
    <row r="128" spans="2:44" ht="15.75" customHeight="1"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</row>
    <row r="129" spans="2:44" ht="15.75" customHeight="1"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</row>
    <row r="130" spans="2:44" ht="15.75" customHeight="1"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</row>
    <row r="131" spans="2:44" ht="15.75" customHeight="1"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</row>
    <row r="132" spans="2:44" ht="15.75" customHeight="1"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</row>
    <row r="133" spans="2:44" ht="15.75" customHeight="1"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</row>
    <row r="134" spans="2:44" ht="15.75" customHeight="1"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</row>
    <row r="135" spans="2:44" ht="15.75" customHeight="1"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</row>
    <row r="136" spans="2:44" ht="15.75" customHeight="1"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</row>
    <row r="137" spans="2:44" ht="15.75" customHeight="1"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</row>
    <row r="138" spans="2:44" ht="15.75" customHeight="1"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</row>
    <row r="139" spans="2:44" ht="15.75" customHeight="1"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</row>
    <row r="140" spans="2:44" ht="15.75" customHeight="1"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</row>
    <row r="141" spans="2:44" ht="15.75" customHeight="1"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</row>
    <row r="142" spans="2:44" ht="15.75" customHeight="1"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</row>
    <row r="143" spans="2:44" ht="15.75" customHeight="1"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</row>
    <row r="144" spans="2:44" ht="15.75" customHeight="1"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</row>
    <row r="145" spans="2:44" ht="15.75" customHeight="1"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</row>
    <row r="146" spans="2:44" ht="15.75" customHeight="1"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</row>
    <row r="147" spans="2:44" ht="15.75" customHeight="1"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</row>
    <row r="148" spans="2:44" ht="15.75" customHeight="1"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</row>
    <row r="149" spans="2:44" ht="15.75" customHeight="1"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</row>
    <row r="150" spans="2:44" ht="15.75" customHeight="1"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</row>
    <row r="151" spans="2:44" ht="15.75" customHeight="1"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</row>
    <row r="152" spans="2:44" ht="15.75" customHeight="1"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</row>
    <row r="153" spans="2:44" ht="15.75" customHeight="1"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</row>
    <row r="154" spans="2:44" ht="15.75" customHeight="1"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</row>
    <row r="155" spans="2:44" ht="15.75" customHeight="1"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</row>
    <row r="156" spans="2:44" ht="15.75" customHeight="1"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</row>
    <row r="157" spans="2:44" ht="15.75" customHeight="1"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</row>
    <row r="158" spans="2:44" ht="15.75" customHeight="1"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</row>
    <row r="159" spans="2:44" ht="15.75" customHeight="1"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</row>
    <row r="160" spans="2:44" ht="15.75" customHeight="1"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</row>
    <row r="161" spans="2:44" ht="15.75" customHeight="1"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</row>
    <row r="162" spans="2:44" ht="15.75" customHeight="1"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</row>
    <row r="163" spans="2:44" ht="15.75" customHeight="1"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</row>
    <row r="164" spans="2:44" ht="15.75" customHeight="1"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</row>
    <row r="165" spans="2:44" ht="15.75" customHeight="1"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</row>
    <row r="166" spans="2:44" ht="15.75" customHeight="1"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</row>
    <row r="167" spans="2:44" ht="15.75" customHeight="1"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</row>
    <row r="168" spans="2:44" ht="15.75" customHeight="1"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</row>
    <row r="169" spans="2:44" ht="15.75" customHeight="1"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</row>
    <row r="170" spans="2:44" ht="15.75" customHeight="1"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</row>
    <row r="171" spans="2:44" ht="15.75" customHeight="1"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</row>
    <row r="172" spans="2:44" ht="15.75" customHeight="1"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</row>
    <row r="173" spans="2:44" ht="15.75" customHeight="1"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</row>
    <row r="174" spans="2:44" ht="15.75" customHeight="1"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</row>
    <row r="175" spans="2:44" ht="15.75" customHeight="1"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</row>
    <row r="176" spans="2:44" ht="15.75" customHeight="1"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</row>
    <row r="177" spans="2:44" ht="15.75" customHeight="1"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</row>
    <row r="178" spans="2:44" ht="15.75" customHeight="1"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</row>
    <row r="179" spans="2:44" ht="15.75" customHeight="1"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</row>
    <row r="180" spans="2:44" ht="15.75" customHeight="1"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</row>
    <row r="181" spans="2:44" ht="15.75" customHeight="1"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</row>
    <row r="182" spans="2:44" ht="15.75" customHeight="1"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</row>
    <row r="183" spans="2:44" ht="15.75" customHeight="1"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</row>
    <row r="184" spans="2:44" ht="15.75" customHeight="1"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</row>
    <row r="185" spans="2:44" ht="15.75" customHeight="1"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</row>
    <row r="186" spans="2:44" ht="15.75" customHeight="1"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</row>
    <row r="187" spans="2:44" ht="15.75" customHeight="1"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</row>
    <row r="188" spans="2:44" ht="15.75" customHeight="1"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</row>
    <row r="189" spans="2:44" ht="15.75" customHeight="1"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</row>
    <row r="190" spans="2:44" ht="15.75" customHeight="1"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</row>
    <row r="191" spans="2:44" ht="15.75" customHeight="1"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</row>
    <row r="192" spans="2:44" ht="15.75" customHeight="1"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</row>
    <row r="193" spans="2:44" ht="15.75" customHeight="1"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</row>
    <row r="194" spans="2:44" ht="15.75" customHeight="1"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</row>
    <row r="195" spans="2:44" ht="15.75" customHeight="1"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</row>
    <row r="196" spans="2:44" ht="15.75" customHeight="1"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</row>
    <row r="197" spans="2:44" ht="15.75" customHeight="1"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</row>
    <row r="198" spans="2:44" ht="15.75" customHeight="1"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</row>
    <row r="199" spans="2:44" ht="15.75" customHeight="1"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</row>
    <row r="200" spans="2:44" ht="15.75" customHeight="1"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</row>
    <row r="201" spans="2:44" ht="15.75" customHeight="1"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</row>
    <row r="202" spans="2:44" ht="15.75" customHeight="1"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</row>
    <row r="203" spans="2:44" ht="15.75" customHeight="1"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</row>
    <row r="204" spans="2:44" ht="15.75" customHeight="1"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</row>
    <row r="205" spans="2:44" ht="15.75" customHeight="1"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</row>
    <row r="206" spans="2:44" ht="15.75" customHeight="1"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</row>
    <row r="207" spans="2:44" ht="15.75" customHeight="1"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</row>
    <row r="208" spans="2:44" ht="15.75" customHeight="1"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</row>
    <row r="209" spans="2:44" ht="15.75" customHeight="1"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</row>
    <row r="210" spans="2:44" ht="15.75" customHeight="1"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</row>
    <row r="211" spans="2:44" ht="15.75" customHeight="1"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</row>
    <row r="212" spans="2:44" ht="15.75" customHeight="1"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</row>
    <row r="213" spans="2:44" ht="15.75" customHeight="1"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</row>
    <row r="214" spans="2:44" ht="15.75" customHeight="1"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</row>
    <row r="215" spans="2:44" ht="15.75" customHeight="1"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</row>
    <row r="216" spans="2:44" ht="15.75" customHeight="1"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</row>
    <row r="217" spans="2:44" ht="15.75" customHeight="1"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</row>
    <row r="218" spans="2:44" ht="15.75" customHeight="1"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</row>
    <row r="219" spans="2:44" ht="15.75" customHeight="1"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</row>
    <row r="220" spans="2:44" ht="15.75" customHeight="1"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</row>
    <row r="221" spans="2:44" ht="15.75" customHeight="1"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</row>
    <row r="222" spans="2:44" ht="15.75" customHeight="1"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</row>
    <row r="223" spans="2:44" ht="15.75" customHeight="1"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</row>
    <row r="224" spans="2:44" ht="15.75" customHeight="1"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</row>
    <row r="225" spans="2:44" ht="15.75" customHeight="1"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</row>
    <row r="226" spans="2:44" ht="15.75" customHeight="1"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</row>
    <row r="227" spans="2:44" ht="15.75" customHeight="1"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</row>
    <row r="228" spans="2:44" ht="15.75" customHeight="1"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</row>
    <row r="229" spans="2:44" ht="15.75" customHeight="1"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</row>
    <row r="230" spans="2:44" ht="15.75" customHeight="1"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</row>
    <row r="231" spans="2:44" ht="15.75" customHeight="1"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</row>
    <row r="232" spans="2:44" ht="15.75" customHeight="1"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</row>
    <row r="233" spans="2:44" ht="15.75" customHeight="1"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</row>
    <row r="234" spans="2:44" ht="15.75" customHeight="1"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</row>
    <row r="235" spans="2:44" ht="15.75" customHeight="1"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</row>
    <row r="236" spans="2:44" ht="15.75" customHeight="1"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</row>
    <row r="237" spans="2:44" ht="15.75" customHeight="1"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</row>
    <row r="238" spans="2:44" ht="15.75" customHeight="1"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</row>
    <row r="239" spans="2:44" ht="15.75" customHeight="1"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</row>
    <row r="240" spans="2:44" ht="15.75" customHeight="1"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</row>
    <row r="241" spans="2:44" ht="15.75" customHeight="1"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</row>
    <row r="242" spans="2:44" ht="15.75" customHeight="1"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</row>
    <row r="243" spans="2:44" ht="15.75" customHeight="1"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</row>
    <row r="244" spans="2:44" ht="15.75" customHeight="1"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</row>
    <row r="245" spans="2:44" ht="15.75" customHeight="1"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</row>
    <row r="246" spans="2:44" ht="15.75" customHeight="1"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</row>
    <row r="247" spans="2:44" ht="15.75" customHeight="1"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</row>
    <row r="248" spans="2:44" ht="15.75" customHeight="1"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</row>
    <row r="249" spans="2:44" ht="15.75" customHeight="1"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</row>
    <row r="250" spans="2:44" ht="15.75" customHeight="1"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</row>
    <row r="251" spans="2:44" ht="15.75" customHeight="1"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</row>
    <row r="252" spans="2:44" ht="15.75" customHeight="1"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</row>
    <row r="253" spans="2:44" ht="15.75" customHeight="1"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</row>
    <row r="254" spans="2:44" ht="15.75" customHeight="1"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</row>
    <row r="255" spans="2:44" ht="15.75" customHeight="1"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</row>
    <row r="256" spans="2:44" ht="15.75" customHeight="1"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</row>
    <row r="257" spans="2:44" ht="15.75" customHeight="1"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</row>
    <row r="258" spans="2:44" ht="15.75" customHeight="1"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</row>
    <row r="259" spans="2:44" ht="15.75" customHeight="1"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</row>
    <row r="260" spans="2:44" ht="15.75" customHeight="1"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</row>
    <row r="261" spans="2:44" ht="15.75" customHeight="1"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</row>
    <row r="262" spans="2:44" ht="15.75" customHeight="1"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</row>
    <row r="263" spans="2:44" ht="15.75" customHeight="1"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</row>
    <row r="264" spans="2:44" ht="15.75" customHeight="1"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</row>
    <row r="265" spans="2:44" ht="15.75" customHeight="1"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</row>
    <row r="266" spans="2:44" ht="15.75" customHeight="1"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</row>
    <row r="267" spans="2:44" ht="15.75" customHeight="1"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</row>
    <row r="268" spans="2:44" ht="15.75" customHeight="1"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</row>
    <row r="269" spans="2:44" ht="15.75" customHeight="1"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</row>
    <row r="270" spans="2:44" ht="15.75" customHeight="1"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</row>
    <row r="271" spans="2:44" ht="15.75" customHeight="1"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</row>
    <row r="272" spans="2:44" ht="15.75" customHeight="1"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</row>
    <row r="273" spans="2:44" ht="15.75" customHeight="1"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</row>
    <row r="274" spans="2:44" ht="15.75" customHeight="1"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</row>
    <row r="275" spans="2:44" ht="15.75" customHeight="1"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</row>
    <row r="276" spans="2:44" ht="15.75" customHeight="1"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</row>
    <row r="277" spans="2:44" ht="15.75" customHeight="1"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</row>
    <row r="278" spans="2:44" ht="15.75" customHeight="1"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</row>
    <row r="279" spans="2:44" ht="15.75" customHeight="1"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</row>
    <row r="280" spans="2:44" ht="15.75" customHeight="1"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</row>
    <row r="281" spans="2:44" ht="15.75" customHeight="1"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</row>
    <row r="282" spans="2:44" ht="15.75" customHeight="1"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</row>
    <row r="283" spans="2:44" ht="15.75" customHeight="1"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</row>
    <row r="284" spans="2:44" ht="15.75" customHeight="1"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</row>
    <row r="285" spans="2:44" ht="15.75" customHeight="1"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</row>
    <row r="286" spans="2:44" ht="15.75" customHeight="1"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</row>
    <row r="287" spans="2:44" ht="15.75" customHeight="1"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</row>
    <row r="288" spans="2:44" ht="15.75" customHeight="1"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</row>
    <row r="289" spans="2:44" ht="15.75" customHeight="1"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</row>
    <row r="290" spans="2:44" ht="15.75" customHeight="1"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</row>
    <row r="291" spans="2:44" ht="15.75" customHeight="1"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</row>
    <row r="292" spans="2:44" ht="15.75" customHeight="1"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</row>
    <row r="293" spans="2:44" ht="15.75" customHeight="1"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</row>
    <row r="294" spans="2:44" ht="15.75" customHeight="1"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</row>
    <row r="295" spans="2:44" ht="15.75" customHeight="1"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</row>
    <row r="296" spans="2:44" ht="15.75" customHeight="1"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</row>
    <row r="297" spans="2:44" ht="15.75" customHeight="1"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</row>
    <row r="298" spans="2:44" ht="15.75" customHeight="1"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</row>
    <row r="299" spans="2:44" ht="15.75" customHeight="1"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</row>
    <row r="300" spans="2:44" ht="15.75" customHeight="1"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</row>
    <row r="301" spans="2:44" ht="15.75" customHeight="1"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</row>
    <row r="302" spans="2:44" ht="15.75" customHeight="1"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</row>
    <row r="303" spans="2:44" ht="15.75" customHeight="1"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</row>
    <row r="304" spans="2:44" ht="15.75" customHeight="1"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</row>
    <row r="305" spans="2:44" ht="15.75" customHeight="1"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</row>
    <row r="306" spans="2:44" ht="15.75" customHeight="1"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</row>
    <row r="307" spans="2:44" ht="15.75" customHeight="1"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</row>
    <row r="308" spans="2:44" ht="15.75" customHeight="1"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</row>
    <row r="309" spans="2:44" ht="15.75" customHeight="1"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</row>
    <row r="310" spans="2:44" ht="15.75" customHeight="1"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</row>
    <row r="311" spans="2:44" ht="15.75" customHeight="1"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</row>
    <row r="312" spans="2:44" ht="15.75" customHeight="1"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</row>
    <row r="313" spans="2:44" ht="15.75" customHeight="1"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</row>
    <row r="314" spans="2:44" ht="15.75" customHeight="1"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</row>
    <row r="315" spans="2:44" ht="15.75" customHeight="1"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</row>
    <row r="316" spans="2:44" ht="15.75" customHeight="1"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</row>
    <row r="317" spans="2:44" ht="15.75" customHeight="1"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</row>
    <row r="318" spans="2:44" ht="15.75" customHeight="1"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</row>
    <row r="319" spans="2:44" ht="15.75" customHeight="1"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</row>
    <row r="320" spans="2:44" ht="15.75" customHeight="1"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</row>
    <row r="321" spans="2:44" ht="15.75" customHeight="1"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</row>
    <row r="322" spans="2:44" ht="15.75" customHeight="1"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</row>
    <row r="323" spans="2:44" ht="15.75" customHeight="1"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</row>
    <row r="324" spans="2:44" ht="15.75" customHeight="1"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</row>
    <row r="325" spans="2:44" ht="15.75" customHeight="1"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</row>
    <row r="326" spans="2:44" ht="15.75" customHeight="1"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</row>
    <row r="327" spans="2:44" ht="15.75" customHeight="1"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</row>
    <row r="328" spans="2:44" ht="15.75" customHeight="1"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</row>
    <row r="329" spans="2:44" ht="15.75" customHeight="1"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</row>
    <row r="330" spans="2:44" ht="15.75" customHeight="1"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</row>
    <row r="331" spans="2:44" ht="15.75" customHeight="1"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</row>
    <row r="332" spans="2:44" ht="15.75" customHeight="1"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</row>
    <row r="333" spans="2:44" ht="15.75" customHeight="1"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</row>
    <row r="334" spans="2:44" ht="15.75" customHeight="1"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</row>
    <row r="335" spans="2:44" ht="15.75" customHeight="1"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</row>
    <row r="336" spans="2:44" ht="15.75" customHeight="1"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</row>
    <row r="337" spans="2:44" ht="15.75" customHeight="1"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</row>
    <row r="338" spans="2:44" ht="15.75" customHeight="1"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</row>
    <row r="339" spans="2:44" ht="15.75" customHeight="1"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</row>
    <row r="340" spans="2:44" ht="15.75" customHeight="1"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</row>
    <row r="341" spans="2:44" ht="15.75" customHeight="1"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</row>
    <row r="342" spans="2:44" ht="15.75" customHeight="1"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</row>
    <row r="343" spans="2:44" ht="15.75" customHeight="1"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</row>
    <row r="344" spans="2:44" ht="15.75" customHeight="1"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</row>
    <row r="345" spans="2:44" ht="15.75" customHeight="1"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</row>
    <row r="346" spans="2:44" ht="15.75" customHeight="1"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</row>
    <row r="347" spans="2:44" ht="15.75" customHeight="1"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</row>
    <row r="348" spans="2:44" ht="15.75" customHeight="1"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</row>
    <row r="349" spans="2:44" ht="15.75" customHeight="1"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</row>
    <row r="350" spans="2:44" ht="15.75" customHeight="1"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</row>
    <row r="351" spans="2:44" ht="15.75" customHeight="1"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</row>
    <row r="352" spans="2:44" ht="15.75" customHeight="1"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</row>
    <row r="353" spans="2:44" ht="15.75" customHeight="1"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</row>
    <row r="354" spans="2:44" ht="15.75" customHeight="1"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</row>
    <row r="355" spans="2:44" ht="15.75" customHeight="1"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</row>
    <row r="356" spans="2:44" ht="15.75" customHeight="1"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</row>
    <row r="357" spans="2:44" ht="15.75" customHeight="1"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</row>
    <row r="358" spans="2:44" ht="15.75" customHeight="1"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</row>
    <row r="359" spans="2:44" ht="15.75" customHeight="1"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</row>
    <row r="360" spans="2:44" ht="15.75" customHeight="1"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</row>
    <row r="361" spans="2:44" ht="15.75" customHeight="1"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</row>
    <row r="362" spans="2:44" ht="15.75" customHeight="1"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</row>
    <row r="363" spans="2:44" ht="15.75" customHeight="1"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</row>
    <row r="364" spans="2:44" ht="15.75" customHeight="1"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</row>
    <row r="365" spans="2:44" ht="15.75" customHeight="1"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</row>
    <row r="366" spans="2:44" ht="15.75" customHeight="1"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</row>
    <row r="367" spans="2:44" ht="15.75" customHeight="1"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</row>
    <row r="368" spans="2:44" ht="15.75" customHeight="1"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</row>
    <row r="369" spans="2:44" ht="15.75" customHeight="1"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</row>
    <row r="370" spans="2:44" ht="15.75" customHeight="1"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</row>
    <row r="371" spans="2:44" ht="15.75" customHeight="1"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</row>
    <row r="372" spans="2:44" ht="15.75" customHeight="1"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</row>
    <row r="373" spans="2:44" ht="15.75" customHeight="1"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</row>
    <row r="374" spans="2:44" ht="15.75" customHeight="1"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</row>
    <row r="375" spans="2:44" ht="15.75" customHeight="1"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</row>
    <row r="376" spans="2:44" ht="15.75" customHeight="1"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</row>
    <row r="377" spans="2:44" ht="15.75" customHeight="1"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</row>
    <row r="378" spans="2:44" ht="15.75" customHeight="1"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</row>
    <row r="379" spans="2:44" ht="15.75" customHeight="1"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</row>
    <row r="380" spans="2:44" ht="15.75" customHeight="1"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</row>
    <row r="381" spans="2:44" ht="15.75" customHeight="1"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</row>
    <row r="382" spans="2:44" ht="15.75" customHeight="1"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</row>
    <row r="383" spans="2:44" ht="15.75" customHeight="1"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</row>
    <row r="384" spans="2:44" ht="15.75" customHeight="1"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</row>
    <row r="385" spans="2:44" ht="15.75" customHeight="1"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</row>
    <row r="386" spans="2:44" ht="15.75" customHeight="1"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</row>
    <row r="387" spans="2:44" ht="15.75" customHeight="1"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</row>
    <row r="388" spans="2:44" ht="15.75" customHeight="1"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</row>
    <row r="389" spans="2:44" ht="15.75" customHeight="1"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</row>
    <row r="390" spans="2:44" ht="15.75" customHeight="1"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</row>
    <row r="391" spans="2:44" ht="15.75" customHeight="1"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</row>
    <row r="392" spans="2:44" ht="15.75" customHeight="1"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</row>
    <row r="393" spans="2:44" ht="15.75" customHeight="1"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</row>
    <row r="394" spans="2:44" ht="15.75" customHeight="1"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</row>
    <row r="395" spans="2:44" ht="15.75" customHeight="1"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</row>
    <row r="396" spans="2:44" ht="15.75" customHeight="1"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</row>
    <row r="397" spans="2:44" ht="15.75" customHeight="1"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</row>
    <row r="398" spans="2:44" ht="15.75" customHeight="1"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</row>
    <row r="399" spans="2:44" ht="15.75" customHeight="1"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</row>
    <row r="400" spans="2:44" ht="15.75" customHeight="1"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</row>
    <row r="401" spans="2:44" ht="15.75" customHeight="1"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</row>
    <row r="402" spans="2:44" ht="15.75" customHeight="1"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</row>
    <row r="403" spans="2:44" ht="15.75" customHeight="1"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</row>
    <row r="404" spans="2:44" ht="15.75" customHeight="1"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</row>
    <row r="405" spans="2:44" ht="15.75" customHeight="1"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</row>
    <row r="406" spans="2:44" ht="15.75" customHeight="1"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</row>
    <row r="407" spans="2:44" ht="15.75" customHeight="1"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</row>
    <row r="408" spans="2:44" ht="15.75" customHeight="1"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</row>
    <row r="409" spans="2:44" ht="15.75" customHeight="1"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</row>
    <row r="410" spans="2:44" ht="15.75" customHeight="1"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</row>
    <row r="411" spans="2:44" ht="15.75" customHeight="1"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</row>
    <row r="412" spans="2:44" ht="15.75" customHeight="1"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</row>
    <row r="413" spans="2:44" ht="15.75" customHeight="1"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</row>
    <row r="414" spans="2:44" ht="15.75" customHeight="1"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</row>
    <row r="415" spans="2:44" ht="15.75" customHeight="1"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</row>
    <row r="416" spans="2:44" ht="15.75" customHeight="1"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</row>
    <row r="417" spans="2:44" ht="15.75" customHeight="1"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</row>
    <row r="418" spans="2:44" ht="15.75" customHeight="1"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</row>
    <row r="419" spans="2:44" ht="15.75" customHeight="1"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</row>
    <row r="420" spans="2:44" ht="15.75" customHeight="1"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</row>
    <row r="421" spans="2:44" ht="15.75" customHeight="1"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</row>
    <row r="422" spans="2:44" ht="15.75" customHeight="1"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</row>
    <row r="423" spans="2:44" ht="15.75" customHeight="1"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</row>
    <row r="424" spans="2:44" ht="15.75" customHeight="1"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</row>
    <row r="425" spans="2:44" ht="15.75" customHeight="1"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</row>
    <row r="426" spans="2:44" ht="15.75" customHeight="1"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</row>
    <row r="427" spans="2:44" ht="15.75" customHeight="1"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</row>
    <row r="428" spans="2:44" ht="15.75" customHeight="1"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</row>
    <row r="429" spans="2:44" ht="15.75" customHeight="1"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</row>
    <row r="430" spans="2:44" ht="15.75" customHeight="1"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</row>
    <row r="431" spans="2:44" ht="15.75" customHeight="1"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</row>
    <row r="432" spans="2:44" ht="15.75" customHeight="1"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</row>
    <row r="433" spans="2:44" ht="15.75" customHeight="1"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</row>
    <row r="434" spans="2:44" ht="15.75" customHeight="1"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</row>
    <row r="435" spans="2:44" ht="15.75" customHeight="1"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</row>
    <row r="436" spans="2:44" ht="15.75" customHeight="1"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</row>
    <row r="437" spans="2:44" ht="15.75" customHeight="1"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</row>
    <row r="438" spans="2:44" ht="15.75" customHeight="1"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</row>
    <row r="439" spans="2:44" ht="15.75" customHeight="1"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</row>
    <row r="440" spans="2:44" ht="15.75" customHeight="1"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</row>
    <row r="441" spans="2:44" ht="15.75" customHeight="1"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</row>
    <row r="442" spans="2:44" ht="15.75" customHeight="1"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</row>
    <row r="443" spans="2:44" ht="15.75" customHeight="1"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</row>
    <row r="444" spans="2:44" ht="15.75" customHeight="1"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</row>
    <row r="445" spans="2:44" ht="15.75" customHeight="1"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</row>
    <row r="446" spans="2:44" ht="15.75" customHeight="1"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</row>
    <row r="447" spans="2:44" ht="15.75" customHeight="1"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</row>
    <row r="448" spans="2:44" ht="15.75" customHeight="1"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</row>
    <row r="449" spans="2:44" ht="15.75" customHeight="1"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</row>
    <row r="450" spans="2:44" ht="15.75" customHeight="1"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</row>
    <row r="451" spans="2:44" ht="15.75" customHeight="1"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</row>
    <row r="452" spans="2:44" ht="15.75" customHeight="1"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</row>
    <row r="453" spans="2:44" ht="15.75" customHeight="1"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</row>
    <row r="454" spans="2:44" ht="15.75" customHeight="1"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</row>
    <row r="455" spans="2:44" ht="15.75" customHeight="1"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</row>
    <row r="456" spans="2:44" ht="15.75" customHeight="1"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</row>
    <row r="457" spans="2:44" ht="15.75" customHeight="1"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</row>
    <row r="458" spans="2:44" ht="15.75" customHeight="1"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</row>
    <row r="459" spans="2:44" ht="15.75" customHeight="1"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</row>
    <row r="460" spans="2:44" ht="15.75" customHeight="1"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</row>
    <row r="461" spans="2:44" ht="15.75" customHeight="1"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</row>
    <row r="462" spans="2:44" ht="15.75" customHeight="1"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</row>
    <row r="463" spans="2:44" ht="15.75" customHeight="1"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</row>
    <row r="464" spans="2:44" ht="15.75" customHeight="1"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</row>
    <row r="465" spans="2:44" ht="15.75" customHeight="1"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</row>
    <row r="466" spans="2:44" ht="15.75" customHeight="1"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</row>
    <row r="467" spans="2:44" ht="15.75" customHeight="1"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</row>
    <row r="468" spans="2:44" ht="15.75" customHeight="1"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</row>
    <row r="469" spans="2:44" ht="15.75" customHeight="1"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</row>
    <row r="470" spans="2:44" ht="15.75" customHeight="1"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</row>
    <row r="471" spans="2:44" ht="15.75" customHeight="1"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</row>
    <row r="472" spans="2:44" ht="15.75" customHeight="1"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</row>
    <row r="473" spans="2:44" ht="15.75" customHeight="1"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</row>
    <row r="474" spans="2:44" ht="15.75" customHeight="1"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</row>
    <row r="475" spans="2:44" ht="15.75" customHeight="1"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</row>
    <row r="476" spans="2:44" ht="15.75" customHeight="1"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</row>
    <row r="477" spans="2:44" ht="15.75" customHeight="1"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</row>
    <row r="478" spans="2:44" ht="15.75" customHeight="1"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</row>
    <row r="479" spans="2:44" ht="15.75" customHeight="1"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</row>
    <row r="480" spans="2:44" ht="15.75" customHeight="1"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</row>
    <row r="481" spans="2:44" ht="15.75" customHeight="1"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</row>
    <row r="482" spans="2:44" ht="15.75" customHeight="1"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</row>
    <row r="483" spans="2:44" ht="15.75" customHeight="1"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</row>
    <row r="484" spans="2:44" ht="15.75" customHeight="1"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</row>
    <row r="485" spans="2:44" ht="15.75" customHeight="1"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</row>
    <row r="486" spans="2:44" ht="15.75" customHeight="1"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</row>
    <row r="487" spans="2:44" ht="15.75" customHeight="1"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</row>
    <row r="488" spans="2:44" ht="15.75" customHeight="1"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</row>
    <row r="489" spans="2:44" ht="15.75" customHeight="1"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</row>
    <row r="490" spans="2:44" ht="15.75" customHeight="1"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</row>
    <row r="491" spans="2:44" ht="15.75" customHeight="1"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</row>
    <row r="492" spans="2:44" ht="15.75" customHeight="1"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</row>
    <row r="493" spans="2:44" ht="15.75" customHeight="1"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</row>
    <row r="494" spans="2:44" ht="15.75" customHeight="1"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</row>
    <row r="495" spans="2:44" ht="15.75" customHeight="1"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</row>
    <row r="496" spans="2:44" ht="15.75" customHeight="1"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</row>
    <row r="497" spans="2:44" ht="15.75" customHeight="1"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</row>
    <row r="498" spans="2:44" ht="15.75" customHeight="1"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</row>
    <row r="499" spans="2:44" ht="15.75" customHeight="1"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</row>
    <row r="500" spans="2:44" ht="15.75" customHeight="1"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</row>
    <row r="501" spans="2:44" ht="15.75" customHeight="1"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</row>
    <row r="502" spans="2:44" ht="15.75" customHeight="1"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</row>
    <row r="503" spans="2:44" ht="15.75" customHeight="1"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</row>
    <row r="504" spans="2:44" ht="15.75" customHeight="1"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</row>
    <row r="505" spans="2:44" ht="15.75" customHeight="1"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</row>
    <row r="506" spans="2:44" ht="15.75" customHeight="1"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</row>
    <row r="507" spans="2:44" ht="15.75" customHeight="1"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</row>
    <row r="508" spans="2:44" ht="15.75" customHeight="1"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</row>
    <row r="509" spans="2:44" ht="15.75" customHeight="1"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</row>
    <row r="510" spans="2:44" ht="15.75" customHeight="1"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</row>
    <row r="511" spans="2:44" ht="15.75" customHeight="1"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</row>
    <row r="512" spans="2:44" ht="15.75" customHeight="1"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</row>
    <row r="513" spans="2:44" ht="15.75" customHeight="1"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</row>
    <row r="514" spans="2:44" ht="15.75" customHeight="1"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</row>
    <row r="515" spans="2:44" ht="15.75" customHeight="1"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</row>
    <row r="516" spans="2:44" ht="15.75" customHeight="1"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</row>
    <row r="517" spans="2:44" ht="15.75" customHeight="1"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</row>
    <row r="518" spans="2:44" ht="15.75" customHeight="1"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</row>
    <row r="519" spans="2:44" ht="15.75" customHeight="1"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</row>
    <row r="520" spans="2:44" ht="15.75" customHeight="1"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</row>
    <row r="521" spans="2:44" ht="15.75" customHeight="1"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</row>
    <row r="522" spans="2:44" ht="15.75" customHeight="1"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</row>
    <row r="523" spans="2:44" ht="15.75" customHeight="1"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</row>
    <row r="524" spans="2:44" ht="15.75" customHeight="1"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</row>
    <row r="525" spans="2:44" ht="15.75" customHeight="1"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</row>
    <row r="526" spans="2:44" ht="15.75" customHeight="1"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</row>
    <row r="527" spans="2:44" ht="15.75" customHeight="1"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</row>
    <row r="528" spans="2:44" ht="15.75" customHeight="1"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</row>
    <row r="529" spans="2:44" ht="15.75" customHeight="1"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</row>
    <row r="530" spans="2:44" ht="15.75" customHeight="1"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</row>
    <row r="531" spans="2:44" ht="15.75" customHeight="1"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</row>
    <row r="532" spans="2:44" ht="15.75" customHeight="1"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</row>
    <row r="533" spans="2:44" ht="15.75" customHeight="1"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</row>
    <row r="534" spans="2:44" ht="15.75" customHeight="1"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</row>
    <row r="535" spans="2:44" ht="15.75" customHeight="1"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</row>
    <row r="536" spans="2:44" ht="15.75" customHeight="1"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</row>
    <row r="537" spans="2:44" ht="15.75" customHeight="1"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</row>
    <row r="538" spans="2:44" ht="15.75" customHeight="1"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</row>
    <row r="539" spans="2:44" ht="15.75" customHeight="1"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</row>
    <row r="540" spans="2:44" ht="15.75" customHeight="1"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</row>
    <row r="541" spans="2:44" ht="15.75" customHeight="1"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</row>
    <row r="542" spans="2:44" ht="15.75" customHeight="1"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</row>
    <row r="543" spans="2:44" ht="15.75" customHeight="1"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</row>
    <row r="544" spans="2:44" ht="15.75" customHeight="1"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</row>
    <row r="545" spans="2:44" ht="15.75" customHeight="1"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</row>
    <row r="546" spans="2:44" ht="15.75" customHeight="1"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</row>
    <row r="547" spans="2:44" ht="15.75" customHeight="1"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</row>
    <row r="548" spans="2:44" ht="15.75" customHeight="1"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</row>
    <row r="549" spans="2:44" ht="15.75" customHeight="1"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</row>
    <row r="550" spans="2:44" ht="15.75" customHeight="1"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</row>
    <row r="551" spans="2:44" ht="15.75" customHeight="1"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</row>
    <row r="552" spans="2:44" ht="15.75" customHeight="1"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</row>
    <row r="553" spans="2:44" ht="15.75" customHeight="1"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</row>
    <row r="554" spans="2:44" ht="15.75" customHeight="1"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</row>
    <row r="555" spans="2:44" ht="15.75" customHeight="1"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</row>
    <row r="556" spans="2:44" ht="15.75" customHeight="1"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</row>
    <row r="557" spans="2:44" ht="15.75" customHeight="1"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</row>
    <row r="558" spans="2:44" ht="15.75" customHeight="1"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</row>
    <row r="559" spans="2:44" ht="15.75" customHeight="1"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</row>
    <row r="560" spans="2:44" ht="15.75" customHeight="1"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</row>
    <row r="561" spans="2:44" ht="15.75" customHeight="1"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</row>
    <row r="562" spans="2:44" ht="15.75" customHeight="1"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</row>
    <row r="563" spans="2:44" ht="15.75" customHeight="1"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</row>
    <row r="564" spans="2:44" ht="15.75" customHeight="1"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</row>
    <row r="565" spans="2:44" ht="15.75" customHeight="1"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</row>
    <row r="566" spans="2:44" ht="15.75" customHeight="1"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</row>
    <row r="567" spans="2:44" ht="15.75" customHeight="1"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</row>
    <row r="568" spans="2:44" ht="15.75" customHeight="1"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</row>
    <row r="569" spans="2:44" ht="15.75" customHeight="1"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</row>
    <row r="570" spans="2:44" ht="15.75" customHeight="1"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</row>
    <row r="571" spans="2:44" ht="15.75" customHeight="1"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</row>
    <row r="572" spans="2:44" ht="15.75" customHeight="1"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</row>
    <row r="573" spans="2:44" ht="15.75" customHeight="1"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</row>
    <row r="574" spans="2:44" ht="15.75" customHeight="1"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</row>
    <row r="575" spans="2:44" ht="15.75" customHeight="1"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</row>
    <row r="576" spans="2:44" ht="15.75" customHeight="1"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</row>
    <row r="577" spans="2:44" ht="15.75" customHeight="1"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</row>
    <row r="578" spans="2:44" ht="15.75" customHeight="1"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</row>
    <row r="579" spans="2:44" ht="15.75" customHeight="1"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</row>
    <row r="580" spans="2:44" ht="15.75" customHeight="1"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</row>
    <row r="581" spans="2:44" ht="15.75" customHeight="1"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</row>
    <row r="582" spans="2:44" ht="15.75" customHeight="1"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</row>
    <row r="583" spans="2:44" ht="15.75" customHeight="1"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</row>
    <row r="584" spans="2:44" ht="15.75" customHeight="1"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</row>
    <row r="585" spans="2:44" ht="15.75" customHeight="1"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</row>
    <row r="586" spans="2:44" ht="15.75" customHeight="1"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</row>
    <row r="587" spans="2:44" ht="15.75" customHeight="1"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</row>
    <row r="588" spans="2:44" ht="15.75" customHeight="1"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</row>
    <row r="589" spans="2:44" ht="15.75" customHeight="1"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</row>
    <row r="590" spans="2:44" ht="15.75" customHeight="1"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</row>
    <row r="591" spans="2:44" ht="15.75" customHeight="1"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</row>
    <row r="592" spans="2:44" ht="15.75" customHeight="1"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</row>
    <row r="593" spans="2:44" ht="15.75" customHeight="1"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</row>
    <row r="594" spans="2:44" ht="15.75" customHeight="1"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</row>
    <row r="595" spans="2:44" ht="15.75" customHeight="1"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</row>
    <row r="596" spans="2:44" ht="15.75" customHeight="1"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</row>
    <row r="597" spans="2:44" ht="15.75" customHeight="1"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</row>
    <row r="598" spans="2:44" ht="15.75" customHeight="1"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</row>
    <row r="599" spans="2:44" ht="15.75" customHeight="1"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</row>
    <row r="600" spans="2:44" ht="15.75" customHeight="1"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</row>
    <row r="601" spans="2:44" ht="15.75" customHeight="1"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</row>
    <row r="602" spans="2:44" ht="15.75" customHeight="1"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</row>
    <row r="603" spans="2:44" ht="15.75" customHeight="1"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</row>
    <row r="604" spans="2:44" ht="15.75" customHeight="1"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</row>
    <row r="605" spans="2:44" ht="15.75" customHeight="1"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</row>
    <row r="606" spans="2:44" ht="15.75" customHeight="1"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</row>
    <row r="607" spans="2:44" ht="15.75" customHeight="1"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</row>
    <row r="608" spans="2:44" ht="15.75" customHeight="1"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</row>
    <row r="609" spans="2:44" ht="15.75" customHeight="1"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</row>
    <row r="610" spans="2:44" ht="15.75" customHeight="1"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</row>
    <row r="611" spans="2:44" ht="15.75" customHeight="1"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</row>
    <row r="612" spans="2:44" ht="15.75" customHeight="1"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</row>
    <row r="613" spans="2:44" ht="15.75" customHeight="1"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</row>
    <row r="614" spans="2:44" ht="15.75" customHeight="1"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</row>
    <row r="615" spans="2:44" ht="15.75" customHeight="1"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</row>
    <row r="616" spans="2:44" ht="15.75" customHeight="1"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</row>
    <row r="617" spans="2:44" ht="15.75" customHeight="1"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</row>
    <row r="618" spans="2:44" ht="15.75" customHeight="1"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</row>
    <row r="619" spans="2:44" ht="15.75" customHeight="1"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</row>
    <row r="620" spans="2:44" ht="15.75" customHeight="1"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</row>
    <row r="621" spans="2:44" ht="15.75" customHeight="1"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</row>
    <row r="622" spans="2:44" ht="15.75" customHeight="1"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</row>
    <row r="623" spans="2:44" ht="15.75" customHeight="1"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</row>
    <row r="624" spans="2:44" ht="15.75" customHeight="1"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</row>
    <row r="625" spans="2:44" ht="15.75" customHeight="1"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</row>
    <row r="626" spans="2:44" ht="15.75" customHeight="1"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</row>
    <row r="627" spans="2:44" ht="15.75" customHeight="1"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</row>
    <row r="628" spans="2:44" ht="15.75" customHeight="1"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</row>
    <row r="629" spans="2:44" ht="15.75" customHeight="1"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</row>
    <row r="630" spans="2:44" ht="15.75" customHeight="1"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</row>
    <row r="631" spans="2:44" ht="15.75" customHeight="1"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</row>
    <row r="632" spans="2:44" ht="15.75" customHeight="1"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</row>
    <row r="633" spans="2:44" ht="15.75" customHeight="1"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</row>
    <row r="634" spans="2:44" ht="15.75" customHeight="1"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</row>
    <row r="635" spans="2:44" ht="15.75" customHeight="1"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</row>
    <row r="636" spans="2:44" ht="15.75" customHeight="1"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</row>
    <row r="637" spans="2:44" ht="15.75" customHeight="1"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</row>
    <row r="638" spans="2:44" ht="15.75" customHeight="1"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</row>
    <row r="639" spans="2:44" ht="15.75" customHeight="1"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</row>
    <row r="640" spans="2:44" ht="15.75" customHeight="1"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</row>
    <row r="641" spans="2:44" ht="15.75" customHeight="1"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</row>
    <row r="642" spans="2:44" ht="15.75" customHeight="1"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</row>
    <row r="643" spans="2:44" ht="15.75" customHeight="1"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</row>
    <row r="644" spans="2:44" ht="15.75" customHeight="1"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</row>
    <row r="645" spans="2:44" ht="15.75" customHeight="1"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</row>
    <row r="646" spans="2:44" ht="15.75" customHeight="1"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</row>
    <row r="647" spans="2:44" ht="15.75" customHeight="1"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</row>
    <row r="648" spans="2:44" ht="15.75" customHeight="1"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</row>
    <row r="649" spans="2:44" ht="15.75" customHeight="1"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</row>
    <row r="650" spans="2:44" ht="15.75" customHeight="1"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</row>
    <row r="651" spans="2:44" ht="15.75" customHeight="1"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</row>
    <row r="652" spans="2:44" ht="15.75" customHeight="1"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</row>
    <row r="653" spans="2:44" ht="15.75" customHeight="1"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</row>
    <row r="654" spans="2:44" ht="15.75" customHeight="1"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</row>
    <row r="655" spans="2:44" ht="15.75" customHeight="1"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</row>
    <row r="656" spans="2:44" ht="15.75" customHeight="1"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</row>
    <row r="657" spans="2:44" ht="15.75" customHeight="1"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</row>
    <row r="658" spans="2:44" ht="15.75" customHeight="1"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</row>
    <row r="659" spans="2:44" ht="15.75" customHeight="1"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</row>
    <row r="660" spans="2:44" ht="15.75" customHeight="1"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</row>
    <row r="661" spans="2:44" ht="15.75" customHeight="1"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</row>
    <row r="662" spans="2:44" ht="15.75" customHeight="1"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</row>
    <row r="663" spans="2:44" ht="15.75" customHeight="1"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</row>
    <row r="664" spans="2:44" ht="15.75" customHeight="1"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</row>
    <row r="665" spans="2:44" ht="15.75" customHeight="1"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</row>
    <row r="666" spans="2:44" ht="15.75" customHeight="1"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</row>
    <row r="667" spans="2:44" ht="15.75" customHeight="1"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</row>
    <row r="668" spans="2:44" ht="15.75" customHeight="1"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</row>
    <row r="669" spans="2:44" ht="15.75" customHeight="1"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</row>
    <row r="670" spans="2:44" ht="15.75" customHeight="1"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</row>
    <row r="671" spans="2:44" ht="15.75" customHeight="1"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</row>
    <row r="672" spans="2:44" ht="15.75" customHeight="1"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</row>
    <row r="673" spans="2:44" ht="15.75" customHeight="1"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</row>
    <row r="674" spans="2:44" ht="15.75" customHeight="1"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</row>
    <row r="675" spans="2:44" ht="15.75" customHeight="1"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</row>
    <row r="676" spans="2:44" ht="15.75" customHeight="1"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</row>
    <row r="677" spans="2:44" ht="15.75" customHeight="1"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</row>
    <row r="678" spans="2:44" ht="15.75" customHeight="1"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</row>
    <row r="679" spans="2:44" ht="15.75" customHeight="1"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</row>
    <row r="680" spans="2:44" ht="15.75" customHeight="1"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</row>
    <row r="681" spans="2:44" ht="15.75" customHeight="1"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</row>
    <row r="682" spans="2:44" ht="15.75" customHeight="1"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</row>
    <row r="683" spans="2:44" ht="15.75" customHeight="1"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</row>
    <row r="684" spans="2:44" ht="15.75" customHeight="1"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</row>
    <row r="685" spans="2:44" ht="15.75" customHeight="1"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</row>
    <row r="686" spans="2:44" ht="15.75" customHeight="1"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</row>
    <row r="687" spans="2:44" ht="15.75" customHeight="1"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</row>
    <row r="688" spans="2:44" ht="15.75" customHeight="1"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</row>
    <row r="689" spans="2:44" ht="15.75" customHeight="1"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</row>
    <row r="690" spans="2:44" ht="15.75" customHeight="1"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</row>
    <row r="691" spans="2:44" ht="15.75" customHeight="1"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</row>
    <row r="692" spans="2:44" ht="15.75" customHeight="1"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</row>
    <row r="693" spans="2:44" ht="15.75" customHeight="1"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</row>
    <row r="694" spans="2:44" ht="15.75" customHeight="1"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</row>
    <row r="695" spans="2:44" ht="15.75" customHeight="1"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</row>
    <row r="696" spans="2:44" ht="15.75" customHeight="1"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</row>
    <row r="697" spans="2:44" ht="15.75" customHeight="1"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</row>
    <row r="698" spans="2:44" ht="15.75" customHeight="1"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</row>
    <row r="699" spans="2:44" ht="15.75" customHeight="1"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</row>
    <row r="700" spans="2:44" ht="15.75" customHeight="1"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</row>
    <row r="701" spans="2:44" ht="15.75" customHeight="1"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</row>
    <row r="702" spans="2:44" ht="15.75" customHeight="1"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</row>
    <row r="703" spans="2:44" ht="15.75" customHeight="1"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</row>
    <row r="704" spans="2:44" ht="15.75" customHeight="1"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</row>
    <row r="705" spans="2:44" ht="15.75" customHeight="1"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</row>
    <row r="706" spans="2:44" ht="15.75" customHeight="1"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</row>
    <row r="707" spans="2:44" ht="15.75" customHeight="1"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</row>
    <row r="708" spans="2:44" ht="15.75" customHeight="1"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</row>
    <row r="709" spans="2:44" ht="15.75" customHeight="1"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</row>
    <row r="710" spans="2:44" ht="15.75" customHeight="1"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</row>
    <row r="711" spans="2:44" ht="15.75" customHeight="1"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</row>
    <row r="712" spans="2:44" ht="15.75" customHeight="1"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</row>
    <row r="713" spans="2:44" ht="15.75" customHeight="1"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</row>
    <row r="714" spans="2:44" ht="15.75" customHeight="1"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</row>
    <row r="715" spans="2:44" ht="15.75" customHeight="1"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</row>
    <row r="716" spans="2:44" ht="15.75" customHeight="1"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</row>
    <row r="717" spans="2:44" ht="15.75" customHeight="1"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</row>
    <row r="718" spans="2:44" ht="15.75" customHeight="1"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</row>
    <row r="719" spans="2:44" ht="15.75" customHeight="1"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</row>
    <row r="720" spans="2:44" ht="15.75" customHeight="1"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</row>
    <row r="721" spans="2:44" ht="15.75" customHeight="1"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</row>
    <row r="722" spans="2:44" ht="15.75" customHeight="1"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</row>
    <row r="723" spans="2:44" ht="15.75" customHeight="1"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</row>
    <row r="724" spans="2:44" ht="15.75" customHeight="1"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</row>
    <row r="725" spans="2:44" ht="15.75" customHeight="1"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</row>
    <row r="726" spans="2:44" ht="15.75" customHeight="1"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</row>
    <row r="727" spans="2:44" ht="15.75" customHeight="1"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</row>
    <row r="728" spans="2:44" ht="15.75" customHeight="1"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</row>
    <row r="729" spans="2:44" ht="15.75" customHeight="1"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</row>
    <row r="730" spans="2:44" ht="15.75" customHeight="1"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</row>
    <row r="731" spans="2:44" ht="15.75" customHeight="1"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</row>
    <row r="732" spans="2:44" ht="15.75" customHeight="1"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</row>
    <row r="733" spans="2:44" ht="15.75" customHeight="1"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</row>
    <row r="734" spans="2:44" ht="15.75" customHeight="1"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</row>
    <row r="735" spans="2:44" ht="15.75" customHeight="1"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</row>
    <row r="736" spans="2:44" ht="15.75" customHeight="1"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</row>
    <row r="737" spans="2:44" ht="15.75" customHeight="1"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</row>
    <row r="738" spans="2:44" ht="15.75" customHeight="1"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</row>
    <row r="739" spans="2:44" ht="15.75" customHeight="1"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</row>
    <row r="740" spans="2:44" ht="15.75" customHeight="1"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</row>
    <row r="741" spans="2:44" ht="15.75" customHeight="1"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</row>
    <row r="742" spans="2:44" ht="15.75" customHeight="1"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</row>
    <row r="743" spans="2:44" ht="15.75" customHeight="1"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</row>
    <row r="744" spans="2:44" ht="15.75" customHeight="1"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</row>
    <row r="745" spans="2:44" ht="15.75" customHeight="1"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</row>
    <row r="746" spans="2:44" ht="15.75" customHeight="1"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</row>
    <row r="747" spans="2:44" ht="15.75" customHeight="1"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</row>
    <row r="748" spans="2:44" ht="15.75" customHeight="1"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</row>
    <row r="749" spans="2:44" ht="15.75" customHeight="1"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</row>
    <row r="750" spans="2:44" ht="15.75" customHeight="1"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</row>
    <row r="751" spans="2:44" ht="15.75" customHeight="1"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</row>
    <row r="752" spans="2:44" ht="15.75" customHeight="1"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</row>
    <row r="753" spans="2:44" ht="15.75" customHeight="1"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</row>
    <row r="754" spans="2:44" ht="15.75" customHeight="1"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</row>
    <row r="755" spans="2:44" ht="15.75" customHeight="1"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</row>
    <row r="756" spans="2:44" ht="15.75" customHeight="1"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</row>
    <row r="757" spans="2:44" ht="15.75" customHeight="1"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</row>
    <row r="758" spans="2:44" ht="15.75" customHeight="1"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</row>
    <row r="759" spans="2:44" ht="15.75" customHeight="1"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</row>
    <row r="760" spans="2:44" ht="15.75" customHeight="1"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</row>
    <row r="761" spans="2:44" ht="15.75" customHeight="1"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</row>
    <row r="762" spans="2:44" ht="15.75" customHeight="1"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</row>
    <row r="763" spans="2:44" ht="15.75" customHeight="1"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</row>
    <row r="764" spans="2:44" ht="15.75" customHeight="1"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</row>
    <row r="765" spans="2:44" ht="15.75" customHeight="1"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</row>
    <row r="766" spans="2:44" ht="15.75" customHeight="1"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</row>
    <row r="767" spans="2:44" ht="15.75" customHeight="1"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</row>
    <row r="768" spans="2:44" ht="15.75" customHeight="1"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</row>
    <row r="769" spans="2:44" ht="15.75" customHeight="1"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</row>
    <row r="770" spans="2:44" ht="15.75" customHeight="1"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</row>
  </sheetData>
  <mergeCells count="9">
    <mergeCell ref="AH5:AH6"/>
    <mergeCell ref="AI5:AI6"/>
    <mergeCell ref="B5:B6"/>
    <mergeCell ref="AG5:AG6"/>
    <mergeCell ref="T5:AE5"/>
    <mergeCell ref="C5:N5"/>
    <mergeCell ref="P5:P6"/>
    <mergeCell ref="Q5:Q6"/>
    <mergeCell ref="R5:R6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/>
    <outlinePr summaryBelow="0" summaryRight="0"/>
  </sheetPr>
  <dimension ref="B1:AJ943"/>
  <sheetViews>
    <sheetView showGridLines="0" zoomScale="77" zoomScaleNormal="77" workbookViewId="0">
      <selection activeCell="AA36" sqref="AA36"/>
    </sheetView>
  </sheetViews>
  <sheetFormatPr baseColWidth="10" defaultColWidth="12.6640625" defaultRowHeight="15.75" customHeight="1"/>
  <cols>
    <col min="2" max="2" width="33.33203125" style="58" customWidth="1"/>
    <col min="3" max="3" width="2.109375" style="58" customWidth="1"/>
    <col min="4" max="9" width="12.6640625" style="58" hidden="1" customWidth="1"/>
    <col min="10" max="10" width="16.88671875" style="58" hidden="1" customWidth="1"/>
    <col min="11" max="15" width="14.88671875" style="58" hidden="1" customWidth="1"/>
    <col min="16" max="16" width="7.6640625" style="58" customWidth="1"/>
    <col min="17" max="19" width="0" style="58" hidden="1" customWidth="1"/>
    <col min="20" max="20" width="45.109375" style="58" hidden="1" customWidth="1"/>
    <col min="21" max="26" width="12.6640625" style="58"/>
    <col min="27" max="27" width="16.88671875" style="58" bestFit="1" customWidth="1"/>
    <col min="28" max="32" width="14.88671875" style="58" bestFit="1" customWidth="1"/>
    <col min="33" max="36" width="12.6640625" style="58"/>
  </cols>
  <sheetData>
    <row r="1" spans="2:36" ht="15.75" customHeight="1">
      <c r="B1" s="4"/>
      <c r="C1" s="4"/>
      <c r="D1" s="4"/>
      <c r="E1" s="4"/>
      <c r="F1" s="4"/>
      <c r="G1" s="4"/>
      <c r="H1" s="5"/>
      <c r="I1" s="6">
        <v>44348</v>
      </c>
      <c r="J1" s="6">
        <v>44378</v>
      </c>
      <c r="K1" s="7" t="s">
        <v>0</v>
      </c>
      <c r="L1" s="6">
        <v>44440</v>
      </c>
      <c r="M1" s="6">
        <v>44470</v>
      </c>
      <c r="N1" s="6">
        <v>44501</v>
      </c>
      <c r="O1" s="7" t="s">
        <v>1</v>
      </c>
      <c r="P1" s="4"/>
      <c r="Q1" s="4"/>
      <c r="R1" s="4"/>
      <c r="S1" s="4"/>
      <c r="T1" s="4"/>
      <c r="U1" s="4"/>
      <c r="V1" s="4"/>
      <c r="W1" s="4"/>
      <c r="X1" s="4"/>
      <c r="Y1" s="5"/>
      <c r="Z1" s="6">
        <v>44348</v>
      </c>
      <c r="AA1" s="6">
        <v>44378</v>
      </c>
      <c r="AB1" s="7" t="s">
        <v>0</v>
      </c>
      <c r="AC1" s="6">
        <v>44440</v>
      </c>
      <c r="AD1" s="6">
        <v>44470</v>
      </c>
      <c r="AE1" s="6">
        <v>44501</v>
      </c>
      <c r="AF1" s="7" t="s">
        <v>1</v>
      </c>
      <c r="AG1" s="4"/>
      <c r="AH1" s="4"/>
      <c r="AI1" s="4"/>
      <c r="AJ1" s="4"/>
    </row>
    <row r="2" spans="2:36" ht="7.95" customHeight="1"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4"/>
      <c r="AH2" s="4"/>
      <c r="AI2" s="4"/>
      <c r="AJ2" s="4"/>
    </row>
    <row r="3" spans="2:36" ht="38.4" customHeight="1">
      <c r="B3" s="193" t="s">
        <v>102</v>
      </c>
      <c r="C3" s="193"/>
      <c r="D3" s="193"/>
      <c r="E3" s="193"/>
      <c r="F3" s="4"/>
      <c r="G3" s="4"/>
      <c r="H3" s="5"/>
      <c r="I3" s="9">
        <v>187</v>
      </c>
      <c r="J3" s="9">
        <v>249</v>
      </c>
      <c r="K3" s="9">
        <v>41</v>
      </c>
      <c r="L3" s="9">
        <v>171</v>
      </c>
      <c r="M3" s="9">
        <v>181</v>
      </c>
      <c r="N3" s="9">
        <v>419</v>
      </c>
      <c r="O3" s="9">
        <v>291</v>
      </c>
      <c r="P3" s="4"/>
      <c r="Q3" s="4"/>
      <c r="R3" s="4"/>
      <c r="S3" s="4"/>
      <c r="T3" s="193"/>
      <c r="U3" s="193"/>
      <c r="V3" s="193"/>
      <c r="W3" s="4"/>
      <c r="X3" s="4"/>
      <c r="Y3" s="5"/>
      <c r="Z3" s="9">
        <v>187</v>
      </c>
      <c r="AA3" s="9">
        <v>249</v>
      </c>
      <c r="AB3" s="9">
        <v>41</v>
      </c>
      <c r="AC3" s="9">
        <v>171</v>
      </c>
      <c r="AD3" s="9">
        <v>181</v>
      </c>
      <c r="AE3" s="9">
        <v>419</v>
      </c>
      <c r="AF3" s="9">
        <v>291</v>
      </c>
      <c r="AG3" s="4"/>
      <c r="AH3" s="4"/>
      <c r="AI3" s="4"/>
      <c r="AJ3" s="4"/>
    </row>
    <row r="4" spans="2:36" ht="30" customHeight="1">
      <c r="B4" s="171"/>
      <c r="C4" s="171"/>
      <c r="D4" s="182"/>
      <c r="E4" s="183"/>
      <c r="F4" s="183"/>
      <c r="G4" s="183"/>
      <c r="H4" s="183"/>
      <c r="I4" s="183"/>
      <c r="J4" s="183">
        <v>2022</v>
      </c>
      <c r="K4" s="183"/>
      <c r="L4" s="183"/>
      <c r="M4" s="183"/>
      <c r="N4" s="183"/>
      <c r="O4" s="184"/>
      <c r="P4" s="4"/>
      <c r="Q4" s="4"/>
      <c r="R4" s="4"/>
      <c r="S4" s="4"/>
      <c r="T4" s="171"/>
      <c r="U4" s="182"/>
      <c r="V4" s="183"/>
      <c r="W4" s="183"/>
      <c r="X4" s="183"/>
      <c r="Y4" s="183"/>
      <c r="Z4" s="183"/>
      <c r="AA4" s="183">
        <v>2023</v>
      </c>
      <c r="AB4" s="183"/>
      <c r="AC4" s="183"/>
      <c r="AD4" s="183"/>
      <c r="AE4" s="183"/>
      <c r="AF4" s="184"/>
      <c r="AG4" s="4"/>
      <c r="AH4" s="4"/>
      <c r="AI4" s="4"/>
      <c r="AJ4" s="4"/>
    </row>
    <row r="5" spans="2:36" ht="15.75" customHeight="1">
      <c r="B5" s="306" t="s">
        <v>2</v>
      </c>
      <c r="C5" s="16"/>
      <c r="D5" s="307" t="s">
        <v>3</v>
      </c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4"/>
      <c r="Q5" s="305" t="s">
        <v>5</v>
      </c>
      <c r="R5" s="305" t="s">
        <v>6</v>
      </c>
      <c r="S5" s="305" t="s">
        <v>7</v>
      </c>
      <c r="T5" s="16"/>
      <c r="U5" s="307" t="s">
        <v>4</v>
      </c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4"/>
      <c r="AH5" s="305" t="s">
        <v>5</v>
      </c>
      <c r="AI5" s="305" t="s">
        <v>6</v>
      </c>
      <c r="AJ5" s="305" t="s">
        <v>115</v>
      </c>
    </row>
    <row r="6" spans="2:36" ht="15.75" customHeight="1">
      <c r="B6" s="306"/>
      <c r="C6" s="16"/>
      <c r="D6" s="10" t="s">
        <v>8</v>
      </c>
      <c r="E6" s="11">
        <v>44593</v>
      </c>
      <c r="F6" s="11">
        <v>44621</v>
      </c>
      <c r="G6" s="10" t="s">
        <v>9</v>
      </c>
      <c r="H6" s="11">
        <v>44682</v>
      </c>
      <c r="I6" s="11">
        <v>44713</v>
      </c>
      <c r="J6" s="11">
        <v>44743</v>
      </c>
      <c r="K6" s="11" t="s">
        <v>10</v>
      </c>
      <c r="L6" s="11">
        <v>44805</v>
      </c>
      <c r="M6" s="11">
        <v>44835</v>
      </c>
      <c r="N6" s="11">
        <v>44866</v>
      </c>
      <c r="O6" s="11" t="s">
        <v>12</v>
      </c>
      <c r="P6" s="4"/>
      <c r="Q6" s="305"/>
      <c r="R6" s="305"/>
      <c r="S6" s="305"/>
      <c r="T6" s="16"/>
      <c r="U6" s="190" t="s">
        <v>111</v>
      </c>
      <c r="V6" s="191">
        <v>44958</v>
      </c>
      <c r="W6" s="191">
        <v>44986</v>
      </c>
      <c r="X6" s="190" t="s">
        <v>112</v>
      </c>
      <c r="Y6" s="191">
        <v>45047</v>
      </c>
      <c r="Z6" s="191">
        <v>45078</v>
      </c>
      <c r="AA6" s="192">
        <v>45108</v>
      </c>
      <c r="AB6" s="191" t="s">
        <v>113</v>
      </c>
      <c r="AC6" s="191">
        <v>45170</v>
      </c>
      <c r="AD6" s="192">
        <v>45200</v>
      </c>
      <c r="AE6" s="191">
        <v>45231</v>
      </c>
      <c r="AF6" s="191" t="s">
        <v>114</v>
      </c>
      <c r="AG6" s="4"/>
      <c r="AH6" s="305"/>
      <c r="AI6" s="305"/>
      <c r="AJ6" s="305"/>
    </row>
    <row r="7" spans="2:36" ht="15.75" customHeight="1">
      <c r="B7" s="4"/>
      <c r="C7" s="16"/>
      <c r="D7" s="46"/>
      <c r="E7" s="46"/>
      <c r="F7" s="46"/>
      <c r="G7" s="126">
        <v>103514</v>
      </c>
      <c r="H7" s="46"/>
      <c r="I7" s="127">
        <v>0.3</v>
      </c>
      <c r="J7" s="128">
        <v>0.7</v>
      </c>
      <c r="K7" s="129">
        <v>0.4</v>
      </c>
      <c r="L7" s="128">
        <v>0.8</v>
      </c>
      <c r="M7" s="128">
        <v>1.2</v>
      </c>
      <c r="N7" s="128">
        <v>1.5</v>
      </c>
      <c r="O7" s="128">
        <v>0.9</v>
      </c>
      <c r="P7" s="4"/>
      <c r="Q7" s="4"/>
      <c r="R7" s="4"/>
      <c r="S7" s="4"/>
      <c r="T7" s="4"/>
      <c r="U7" s="69"/>
      <c r="V7" s="69"/>
      <c r="W7" s="69"/>
      <c r="X7" s="70"/>
      <c r="Y7" s="69"/>
      <c r="Z7" s="69"/>
      <c r="AA7" s="71"/>
      <c r="AB7" s="72"/>
      <c r="AC7" s="71"/>
      <c r="AD7" s="71"/>
      <c r="AE7" s="71"/>
      <c r="AF7" s="71"/>
      <c r="AG7" s="4"/>
      <c r="AH7" s="4"/>
      <c r="AI7" s="4"/>
      <c r="AJ7" s="4"/>
    </row>
    <row r="8" spans="2:36" ht="15.75" customHeight="1">
      <c r="B8" s="4"/>
      <c r="C8" s="4"/>
      <c r="D8" s="130">
        <f>D11/D9</f>
        <v>0.60670210746155306</v>
      </c>
      <c r="E8" s="130">
        <f t="shared" ref="E8:J8" si="0">E11/E9</f>
        <v>0.63394536002654578</v>
      </c>
      <c r="F8" s="130">
        <f t="shared" si="0"/>
        <v>0.5909206979713435</v>
      </c>
      <c r="G8" s="130">
        <f t="shared" si="0"/>
        <v>0.37119916056479391</v>
      </c>
      <c r="H8" s="130">
        <f t="shared" si="0"/>
        <v>0.54077253218884125</v>
      </c>
      <c r="I8" s="130">
        <f t="shared" si="0"/>
        <v>0.53861663399607951</v>
      </c>
      <c r="J8" s="130">
        <f t="shared" si="0"/>
        <v>0.61678146524733879</v>
      </c>
      <c r="K8" s="131">
        <v>18350.596000000001</v>
      </c>
      <c r="L8" s="132">
        <v>36701.192000000003</v>
      </c>
      <c r="M8" s="132">
        <v>55051.787999999993</v>
      </c>
      <c r="N8" s="132">
        <v>68814.735000000001</v>
      </c>
      <c r="O8" s="132"/>
      <c r="P8" s="4"/>
      <c r="Q8" s="4"/>
      <c r="R8" s="4"/>
      <c r="S8" s="4"/>
      <c r="T8" s="4"/>
      <c r="U8" s="69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4"/>
      <c r="AH8" s="4"/>
      <c r="AI8" s="4"/>
      <c r="AJ8" s="4"/>
    </row>
    <row r="9" spans="2:36" ht="15.75" customHeight="1">
      <c r="B9" s="16" t="s">
        <v>13</v>
      </c>
      <c r="C9" s="16"/>
      <c r="D9" s="59">
        <f>SUM(D10:D12)</f>
        <v>10534</v>
      </c>
      <c r="E9" s="59">
        <f t="shared" ref="E9:M9" si="1">SUM(E10:E12)</f>
        <v>18082</v>
      </c>
      <c r="F9" s="59">
        <f t="shared" si="1"/>
        <v>35245</v>
      </c>
      <c r="G9" s="59">
        <f t="shared" si="1"/>
        <v>43839</v>
      </c>
      <c r="H9" s="59">
        <f t="shared" si="1"/>
        <v>62910</v>
      </c>
      <c r="I9" s="59">
        <f t="shared" si="1"/>
        <v>35710</v>
      </c>
      <c r="J9" s="59">
        <f t="shared" si="1"/>
        <v>27149</v>
      </c>
      <c r="K9" s="59">
        <f t="shared" si="1"/>
        <v>12906.06</v>
      </c>
      <c r="L9" s="59">
        <f t="shared" si="1"/>
        <v>27976.510000000002</v>
      </c>
      <c r="M9" s="59">
        <f t="shared" si="1"/>
        <v>42205.86</v>
      </c>
      <c r="N9" s="59">
        <f>SUM(N10:N12)</f>
        <v>73430.490000000005</v>
      </c>
      <c r="O9" s="59">
        <f>SUM(O10:O12)</f>
        <v>50255.289999999994</v>
      </c>
      <c r="P9" s="4"/>
      <c r="Q9" s="59">
        <f>SUM(D9:I9)</f>
        <v>206320</v>
      </c>
      <c r="R9" s="123">
        <f>SUM(J9:O9)</f>
        <v>233923.21000000002</v>
      </c>
      <c r="S9" s="125">
        <f>SUM(Q9+R9)</f>
        <v>440243.21</v>
      </c>
      <c r="T9" s="16"/>
      <c r="U9" s="76">
        <f>SUM(U10:U12)</f>
        <v>47936.738999999994</v>
      </c>
      <c r="V9" s="76">
        <f t="shared" ref="V9:AF9" si="2">SUM(V10:V12)</f>
        <v>41922.986499999999</v>
      </c>
      <c r="W9" s="76">
        <f t="shared" si="2"/>
        <v>44222.986499999999</v>
      </c>
      <c r="X9" s="76">
        <f t="shared" si="2"/>
        <v>46522.986499999999</v>
      </c>
      <c r="Y9" s="76">
        <f t="shared" si="2"/>
        <v>49972.986499999999</v>
      </c>
      <c r="Z9" s="76">
        <f t="shared" si="2"/>
        <v>48822.986499999999</v>
      </c>
      <c r="AA9" s="76">
        <f t="shared" si="2"/>
        <v>42522.986499999999</v>
      </c>
      <c r="AB9" s="76">
        <f t="shared" si="2"/>
        <v>14841.968999999999</v>
      </c>
      <c r="AC9" s="76">
        <f t="shared" si="2"/>
        <v>42522.986499999999</v>
      </c>
      <c r="AD9" s="76">
        <f t="shared" si="2"/>
        <v>57406.031775000003</v>
      </c>
      <c r="AE9" s="76">
        <f>SUM(AE10:AE12)</f>
        <v>77498.142896250007</v>
      </c>
      <c r="AF9" s="76">
        <f t="shared" si="2"/>
        <v>66016.936541250005</v>
      </c>
      <c r="AG9" s="4"/>
      <c r="AH9" s="59">
        <f>SUM(U9:Z9)</f>
        <v>279401.6715</v>
      </c>
      <c r="AI9" s="123">
        <f>SUM(AA9:AF9)</f>
        <v>300809.0532125</v>
      </c>
      <c r="AJ9" s="125">
        <f>SUM(AH9+AI9)</f>
        <v>580210.7247125</v>
      </c>
    </row>
    <row r="10" spans="2:36" ht="15.75" customHeight="1">
      <c r="B10" s="4" t="s">
        <v>151</v>
      </c>
      <c r="C10" s="4"/>
      <c r="D10" s="19">
        <v>4143</v>
      </c>
      <c r="E10" s="19">
        <v>6619</v>
      </c>
      <c r="F10" s="19">
        <v>14418</v>
      </c>
      <c r="G10" s="19">
        <v>27566</v>
      </c>
      <c r="H10" s="19">
        <v>28890</v>
      </c>
      <c r="I10" s="19">
        <v>16476</v>
      </c>
      <c r="J10" s="19">
        <v>10404</v>
      </c>
      <c r="K10" s="19">
        <v>1291.68</v>
      </c>
      <c r="L10" s="19">
        <v>1910.22</v>
      </c>
      <c r="M10" s="19">
        <v>518.33000000000004</v>
      </c>
      <c r="N10" s="19">
        <v>178.28</v>
      </c>
      <c r="O10" s="19"/>
      <c r="P10" s="4"/>
      <c r="Q10" s="19">
        <f>SUM(D10:I10)</f>
        <v>98112</v>
      </c>
      <c r="R10" s="20">
        <f t="shared" ref="R10" si="3">SUM(J10:O10)</f>
        <v>14302.51</v>
      </c>
      <c r="S10" s="21">
        <f t="shared" ref="S10:S12" si="4">SUM(Q10+R10)</f>
        <v>112414.51</v>
      </c>
      <c r="T10" s="4"/>
      <c r="U10" s="81"/>
      <c r="V10" s="81">
        <v>1910.22</v>
      </c>
      <c r="W10" s="81">
        <v>1910.22</v>
      </c>
      <c r="X10" s="81">
        <v>1910.22</v>
      </c>
      <c r="Y10" s="81">
        <v>1910.22</v>
      </c>
      <c r="Z10" s="81">
        <v>1910.22</v>
      </c>
      <c r="AA10" s="81">
        <v>1910.22</v>
      </c>
      <c r="AB10" s="81"/>
      <c r="AC10" s="81">
        <v>1910.22</v>
      </c>
      <c r="AD10" s="81">
        <v>1910.22</v>
      </c>
      <c r="AE10" s="81">
        <v>1910.22</v>
      </c>
      <c r="AF10" s="81"/>
      <c r="AG10" s="4"/>
      <c r="AH10" s="19"/>
      <c r="AI10" s="20"/>
      <c r="AJ10" s="21"/>
    </row>
    <row r="11" spans="2:36" ht="15.75" customHeight="1">
      <c r="B11" s="4" t="s">
        <v>36</v>
      </c>
      <c r="C11" s="4"/>
      <c r="D11" s="19">
        <v>6391</v>
      </c>
      <c r="E11" s="19">
        <v>11463</v>
      </c>
      <c r="F11" s="19">
        <v>20827</v>
      </c>
      <c r="G11" s="19">
        <v>16273</v>
      </c>
      <c r="H11" s="19">
        <v>34020</v>
      </c>
      <c r="I11" s="19">
        <v>19234</v>
      </c>
      <c r="J11" s="19">
        <v>16745</v>
      </c>
      <c r="K11" s="19">
        <v>11614.38</v>
      </c>
      <c r="L11" s="19">
        <v>24348.11</v>
      </c>
      <c r="M11" s="19">
        <v>36905.71</v>
      </c>
      <c r="N11" s="19">
        <v>66551.38</v>
      </c>
      <c r="O11" s="19">
        <v>45553.02</v>
      </c>
      <c r="P11" s="4"/>
      <c r="Q11" s="19">
        <f>SUM(D11:I11)</f>
        <v>108208</v>
      </c>
      <c r="R11" s="20">
        <f>SUM(J11:O11)</f>
        <v>201717.6</v>
      </c>
      <c r="S11" s="21">
        <f t="shared" si="4"/>
        <v>309925.59999999998</v>
      </c>
      <c r="T11" s="4"/>
      <c r="U11" s="81">
        <v>43936.738999999994</v>
      </c>
      <c r="V11" s="81">
        <v>36012.766499999998</v>
      </c>
      <c r="W11" s="81">
        <v>38312.766499999998</v>
      </c>
      <c r="X11" s="81">
        <v>40612.766499999998</v>
      </c>
      <c r="Y11" s="81">
        <v>44062.766499999998</v>
      </c>
      <c r="Z11" s="81">
        <v>42912.766499999998</v>
      </c>
      <c r="AA11" s="81">
        <v>40612.766499999998</v>
      </c>
      <c r="AB11" s="81">
        <v>14841.968999999999</v>
      </c>
      <c r="AC11" s="81">
        <v>40612.766499999998</v>
      </c>
      <c r="AD11" s="81">
        <v>55495.811775000002</v>
      </c>
      <c r="AE11" s="81">
        <v>75587.922896250006</v>
      </c>
      <c r="AF11" s="81">
        <v>66016.936541250005</v>
      </c>
      <c r="AG11" s="4"/>
      <c r="AH11" s="19"/>
      <c r="AI11" s="20"/>
      <c r="AJ11" s="21"/>
    </row>
    <row r="12" spans="2:36" ht="15.75" customHeight="1">
      <c r="B12" s="4" t="s">
        <v>47</v>
      </c>
      <c r="C12" s="4"/>
      <c r="D12" s="19"/>
      <c r="E12" s="19"/>
      <c r="F12" s="19"/>
      <c r="G12" s="19"/>
      <c r="H12" s="19"/>
      <c r="I12" s="19"/>
      <c r="J12" s="19"/>
      <c r="K12" s="19"/>
      <c r="L12" s="19">
        <v>1718.18</v>
      </c>
      <c r="M12" s="19">
        <v>4781.82</v>
      </c>
      <c r="N12" s="19">
        <v>6700.83</v>
      </c>
      <c r="O12" s="19">
        <v>4702.2700000000004</v>
      </c>
      <c r="P12" s="22"/>
      <c r="Q12" s="19">
        <f>SUM(D12:I12)</f>
        <v>0</v>
      </c>
      <c r="R12" s="20">
        <f>SUM(J12:O12)</f>
        <v>17903.099999999999</v>
      </c>
      <c r="S12" s="21">
        <f t="shared" si="4"/>
        <v>17903.099999999999</v>
      </c>
      <c r="T12" s="4"/>
      <c r="U12" s="92">
        <v>4000</v>
      </c>
      <c r="V12" s="92">
        <v>4000</v>
      </c>
      <c r="W12" s="92">
        <v>4000</v>
      </c>
      <c r="X12" s="92">
        <v>4000</v>
      </c>
      <c r="Y12" s="92">
        <v>4000</v>
      </c>
      <c r="Z12" s="92">
        <v>4000</v>
      </c>
      <c r="AA12" s="92"/>
      <c r="AB12" s="92"/>
      <c r="AC12" s="92"/>
      <c r="AD12" s="92"/>
      <c r="AE12" s="92"/>
      <c r="AF12" s="92"/>
      <c r="AG12" s="22"/>
      <c r="AH12" s="19"/>
      <c r="AI12" s="20"/>
      <c r="AJ12" s="21"/>
    </row>
    <row r="13" spans="2:36" ht="15.75" customHeight="1">
      <c r="B13" s="4"/>
      <c r="C13" s="4"/>
      <c r="D13" s="133">
        <f>D16/D14</f>
        <v>0.87755102040816324</v>
      </c>
      <c r="E13" s="133">
        <f t="shared" ref="E13:J13" si="5">E16/E14</f>
        <v>0.87027027027027026</v>
      </c>
      <c r="F13" s="133">
        <f t="shared" si="5"/>
        <v>0.7432432432432432</v>
      </c>
      <c r="G13" s="133">
        <f t="shared" si="5"/>
        <v>0.45933014354066987</v>
      </c>
      <c r="H13" s="133">
        <f t="shared" si="5"/>
        <v>0.66666666666666663</v>
      </c>
      <c r="I13" s="133">
        <f t="shared" si="5"/>
        <v>0.16098484848484848</v>
      </c>
      <c r="J13" s="133">
        <f t="shared" si="5"/>
        <v>0.44225352112676058</v>
      </c>
      <c r="K13" s="24">
        <v>164.8</v>
      </c>
      <c r="L13" s="23">
        <v>350.2</v>
      </c>
      <c r="M13" s="23">
        <v>391.4</v>
      </c>
      <c r="N13" s="23">
        <v>543.84</v>
      </c>
      <c r="O13" s="23"/>
      <c r="P13" s="22"/>
      <c r="Q13" s="22"/>
      <c r="R13" s="22"/>
      <c r="S13" s="22"/>
      <c r="T13" s="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22"/>
      <c r="AH13" s="22"/>
      <c r="AI13" s="22"/>
      <c r="AJ13" s="22"/>
    </row>
    <row r="14" spans="2:36" ht="15.75" customHeight="1">
      <c r="B14" s="16" t="s">
        <v>35</v>
      </c>
      <c r="C14" s="16"/>
      <c r="D14" s="25">
        <f>SUM(D15:D17)</f>
        <v>147</v>
      </c>
      <c r="E14" s="25">
        <f t="shared" ref="E14:O14" si="6">SUM(E15:E17)</f>
        <v>185</v>
      </c>
      <c r="F14" s="25">
        <f t="shared" si="6"/>
        <v>370</v>
      </c>
      <c r="G14" s="25">
        <f t="shared" si="6"/>
        <v>418</v>
      </c>
      <c r="H14" s="25">
        <f t="shared" si="6"/>
        <v>288</v>
      </c>
      <c r="I14" s="25">
        <f t="shared" si="6"/>
        <v>528</v>
      </c>
      <c r="J14" s="25">
        <f t="shared" si="6"/>
        <v>355</v>
      </c>
      <c r="K14" s="25">
        <f t="shared" si="6"/>
        <v>120</v>
      </c>
      <c r="L14" s="25">
        <f t="shared" si="6"/>
        <v>311</v>
      </c>
      <c r="M14" s="25">
        <f t="shared" si="6"/>
        <v>437</v>
      </c>
      <c r="N14" s="25">
        <f t="shared" si="6"/>
        <v>697</v>
      </c>
      <c r="O14" s="25">
        <f t="shared" si="6"/>
        <v>586</v>
      </c>
      <c r="P14" s="4"/>
      <c r="Q14" s="25">
        <f>SUM(D14:I14)</f>
        <v>1936</v>
      </c>
      <c r="R14" s="26">
        <f>SUM(J14:O14)</f>
        <v>2506</v>
      </c>
      <c r="S14" s="27">
        <f>SUM(Q14+R14)</f>
        <v>4442</v>
      </c>
      <c r="T14" s="16"/>
      <c r="U14" s="211">
        <f>SUM(U15:U17)</f>
        <v>545.32884603174591</v>
      </c>
      <c r="V14" s="211">
        <f t="shared" ref="V14:AF14" si="7">SUM(V15:V17)</f>
        <v>379.08175263157892</v>
      </c>
      <c r="W14" s="211">
        <f t="shared" si="7"/>
        <v>403.2922789473684</v>
      </c>
      <c r="X14" s="211">
        <f t="shared" si="7"/>
        <v>406.12766499999998</v>
      </c>
      <c r="Y14" s="211">
        <f t="shared" si="7"/>
        <v>440.62766499999998</v>
      </c>
      <c r="Z14" s="211">
        <f t="shared" si="7"/>
        <v>451.71333157894736</v>
      </c>
      <c r="AA14" s="211">
        <f t="shared" si="7"/>
        <v>427.50280526315788</v>
      </c>
      <c r="AB14" s="211">
        <f t="shared" si="7"/>
        <v>296.83938000000001</v>
      </c>
      <c r="AC14" s="211">
        <f t="shared" si="7"/>
        <v>541.50355333333334</v>
      </c>
      <c r="AD14" s="211">
        <f t="shared" si="7"/>
        <v>693.69764718750002</v>
      </c>
      <c r="AE14" s="211">
        <f t="shared" si="7"/>
        <v>1511.7584579250001</v>
      </c>
      <c r="AF14" s="211">
        <f t="shared" si="7"/>
        <v>733.52151712500006</v>
      </c>
      <c r="AG14" s="4"/>
      <c r="AH14" s="25">
        <f>SUM(U14:Z14)</f>
        <v>2626.171539189641</v>
      </c>
      <c r="AI14" s="26">
        <f>SUM(AA14:AF14)</f>
        <v>4204.8233608339915</v>
      </c>
      <c r="AJ14" s="27">
        <f>SUM(AH14+AI14)</f>
        <v>6830.994900023632</v>
      </c>
    </row>
    <row r="15" spans="2:36" ht="15.75" customHeight="1">
      <c r="B15" s="4" t="s">
        <v>105</v>
      </c>
      <c r="C15" s="4"/>
      <c r="D15" s="28">
        <v>18</v>
      </c>
      <c r="E15" s="29">
        <v>24</v>
      </c>
      <c r="F15" s="29">
        <v>95</v>
      </c>
      <c r="G15" s="29">
        <v>226</v>
      </c>
      <c r="H15" s="28">
        <v>96</v>
      </c>
      <c r="I15" s="28">
        <v>443</v>
      </c>
      <c r="J15" s="28">
        <v>198</v>
      </c>
      <c r="K15" s="28">
        <v>3</v>
      </c>
      <c r="L15" s="28">
        <v>13</v>
      </c>
      <c r="M15" s="28">
        <v>10</v>
      </c>
      <c r="N15" s="28">
        <v>5</v>
      </c>
      <c r="O15" s="28"/>
      <c r="P15" s="4"/>
      <c r="Q15" s="28">
        <f>SUM(D15:I15)</f>
        <v>902</v>
      </c>
      <c r="R15" s="31">
        <f>SUM(J15:O15)</f>
        <v>229</v>
      </c>
      <c r="S15" s="32">
        <f t="shared" ref="S15:S17" si="8">SUM(Q15+R15)</f>
        <v>1131</v>
      </c>
      <c r="T15" s="4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4"/>
      <c r="AH15" s="28"/>
      <c r="AI15" s="31"/>
      <c r="AJ15" s="32"/>
    </row>
    <row r="16" spans="2:36" ht="15.75" customHeight="1">
      <c r="B16" s="4" t="s">
        <v>38</v>
      </c>
      <c r="C16" s="4"/>
      <c r="D16" s="28">
        <v>129</v>
      </c>
      <c r="E16" s="28">
        <v>161</v>
      </c>
      <c r="F16" s="28">
        <v>275</v>
      </c>
      <c r="G16" s="28">
        <v>192</v>
      </c>
      <c r="H16" s="28">
        <v>192</v>
      </c>
      <c r="I16" s="28">
        <v>85</v>
      </c>
      <c r="J16" s="28">
        <v>157</v>
      </c>
      <c r="K16" s="28">
        <v>117</v>
      </c>
      <c r="L16" s="28">
        <v>298</v>
      </c>
      <c r="M16" s="28">
        <v>406</v>
      </c>
      <c r="N16" s="28">
        <v>614</v>
      </c>
      <c r="O16" s="28">
        <v>505</v>
      </c>
      <c r="P16" s="4"/>
      <c r="Q16" s="28">
        <f>SUM(D16:I16)</f>
        <v>1034</v>
      </c>
      <c r="R16" s="31">
        <f>SUM(J16:O16)</f>
        <v>2097</v>
      </c>
      <c r="S16" s="32">
        <f t="shared" si="8"/>
        <v>3131</v>
      </c>
      <c r="T16" s="4"/>
      <c r="U16" s="92">
        <f>U11/U21</f>
        <v>488.1859888888888</v>
      </c>
      <c r="V16" s="92">
        <f>V11/V21</f>
        <v>379.08175263157892</v>
      </c>
      <c r="W16" s="92">
        <f t="shared" ref="W16:AF16" si="9">W11/W21</f>
        <v>403.2922789473684</v>
      </c>
      <c r="X16" s="92">
        <f t="shared" si="9"/>
        <v>406.12766499999998</v>
      </c>
      <c r="Y16" s="92">
        <f t="shared" si="9"/>
        <v>440.62766499999998</v>
      </c>
      <c r="Z16" s="92">
        <f t="shared" si="9"/>
        <v>451.71333157894736</v>
      </c>
      <c r="AA16" s="92">
        <f t="shared" si="9"/>
        <v>427.50280526315788</v>
      </c>
      <c r="AB16" s="92">
        <f t="shared" si="9"/>
        <v>296.83938000000001</v>
      </c>
      <c r="AC16" s="92">
        <f t="shared" si="9"/>
        <v>541.50355333333334</v>
      </c>
      <c r="AD16" s="92">
        <f t="shared" si="9"/>
        <v>693.69764718750002</v>
      </c>
      <c r="AE16" s="92">
        <f t="shared" si="9"/>
        <v>1511.7584579250001</v>
      </c>
      <c r="AF16" s="92">
        <f t="shared" si="9"/>
        <v>733.52151712500006</v>
      </c>
      <c r="AG16" s="4"/>
      <c r="AH16" s="188"/>
      <c r="AI16" s="31"/>
      <c r="AJ16" s="32"/>
    </row>
    <row r="17" spans="2:36" ht="15.75" customHeight="1">
      <c r="B17" s="4" t="s">
        <v>48</v>
      </c>
      <c r="C17" s="4"/>
      <c r="D17" s="28"/>
      <c r="E17" s="28"/>
      <c r="F17" s="28"/>
      <c r="G17" s="28"/>
      <c r="H17" s="28"/>
      <c r="I17" s="28"/>
      <c r="J17" s="28"/>
      <c r="K17" s="28"/>
      <c r="L17" s="28"/>
      <c r="M17" s="28">
        <v>21</v>
      </c>
      <c r="N17" s="28">
        <v>78</v>
      </c>
      <c r="O17" s="28">
        <v>81</v>
      </c>
      <c r="P17" s="16"/>
      <c r="Q17" s="28">
        <f>SUM(D17:I17)</f>
        <v>0</v>
      </c>
      <c r="R17" s="31">
        <f>SUM(J17:O17)</f>
        <v>180</v>
      </c>
      <c r="S17" s="32">
        <f t="shared" si="8"/>
        <v>180</v>
      </c>
      <c r="T17" s="4"/>
      <c r="U17" s="92">
        <f>U12/U22</f>
        <v>57.142857142857146</v>
      </c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16"/>
      <c r="AH17" s="28"/>
      <c r="AI17" s="31"/>
      <c r="AJ17" s="32"/>
    </row>
    <row r="18" spans="2:36" ht="15.75" customHeight="1">
      <c r="B18" s="16"/>
      <c r="C18" s="1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6"/>
      <c r="Q18" s="16"/>
      <c r="R18" s="16"/>
      <c r="S18" s="16"/>
      <c r="T18" s="16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16"/>
      <c r="AH18" s="16"/>
      <c r="AI18" s="16"/>
      <c r="AJ18" s="16"/>
    </row>
    <row r="19" spans="2:36" ht="15.75" customHeight="1">
      <c r="B19" s="16" t="s">
        <v>19</v>
      </c>
      <c r="C19" s="16"/>
      <c r="D19" s="59">
        <f t="shared" ref="D19:N22" si="10">D9/D14</f>
        <v>71.659863945578238</v>
      </c>
      <c r="E19" s="59">
        <f t="shared" si="10"/>
        <v>97.740540540540536</v>
      </c>
      <c r="F19" s="59">
        <f t="shared" si="10"/>
        <v>95.256756756756758</v>
      </c>
      <c r="G19" s="59">
        <f t="shared" si="10"/>
        <v>104.87799043062201</v>
      </c>
      <c r="H19" s="59">
        <f t="shared" si="10"/>
        <v>218.4375</v>
      </c>
      <c r="I19" s="59">
        <f t="shared" si="10"/>
        <v>67.632575757575751</v>
      </c>
      <c r="J19" s="59">
        <f t="shared" si="10"/>
        <v>76.476056338028172</v>
      </c>
      <c r="K19" s="59">
        <f t="shared" si="10"/>
        <v>107.5505</v>
      </c>
      <c r="L19" s="59">
        <f t="shared" si="10"/>
        <v>89.95662379421222</v>
      </c>
      <c r="M19" s="59">
        <f t="shared" si="10"/>
        <v>96.580915331807788</v>
      </c>
      <c r="N19" s="59">
        <f t="shared" si="10"/>
        <v>105.35220946915352</v>
      </c>
      <c r="O19" s="59">
        <f t="shared" ref="O19" si="11">O9/O14</f>
        <v>85.759880546075081</v>
      </c>
      <c r="P19" s="4"/>
      <c r="Q19" s="59">
        <f t="shared" ref="Q19:S22" si="12">Q9/Q14</f>
        <v>106.5702479338843</v>
      </c>
      <c r="R19" s="8">
        <f t="shared" si="12"/>
        <v>93.345255387071035</v>
      </c>
      <c r="S19" s="34">
        <f t="shared" si="12"/>
        <v>99.10923232778029</v>
      </c>
      <c r="T19" s="16"/>
      <c r="U19" s="76">
        <v>90</v>
      </c>
      <c r="V19" s="76">
        <v>90</v>
      </c>
      <c r="W19" s="76">
        <v>90</v>
      </c>
      <c r="X19" s="76">
        <v>90</v>
      </c>
      <c r="Y19" s="76">
        <v>90</v>
      </c>
      <c r="Z19" s="76">
        <v>90</v>
      </c>
      <c r="AA19" s="76">
        <v>90</v>
      </c>
      <c r="AB19" s="76">
        <v>90</v>
      </c>
      <c r="AC19" s="76">
        <v>90</v>
      </c>
      <c r="AD19" s="76">
        <v>90</v>
      </c>
      <c r="AE19" s="76">
        <v>90</v>
      </c>
      <c r="AF19" s="76">
        <v>90</v>
      </c>
      <c r="AG19" s="4"/>
      <c r="AH19" s="59">
        <f t="shared" ref="AH19:AJ19" si="13">AH9/AH14</f>
        <v>106.39124951685947</v>
      </c>
      <c r="AI19" s="8">
        <f t="shared" si="13"/>
        <v>71.539046328176084</v>
      </c>
      <c r="AJ19" s="34">
        <f t="shared" si="13"/>
        <v>84.937953139226138</v>
      </c>
    </row>
    <row r="20" spans="2:36" ht="15.75" customHeight="1">
      <c r="B20" s="4" t="s">
        <v>106</v>
      </c>
      <c r="C20" s="4"/>
      <c r="D20" s="19">
        <f t="shared" si="10"/>
        <v>230.16666666666666</v>
      </c>
      <c r="E20" s="19">
        <f t="shared" si="10"/>
        <v>275.79166666666669</v>
      </c>
      <c r="F20" s="19">
        <f t="shared" si="10"/>
        <v>151.76842105263157</v>
      </c>
      <c r="G20" s="19">
        <f t="shared" si="10"/>
        <v>121.97345132743362</v>
      </c>
      <c r="H20" s="19">
        <f t="shared" si="10"/>
        <v>300.9375</v>
      </c>
      <c r="I20" s="19">
        <f t="shared" si="10"/>
        <v>37.191873589164786</v>
      </c>
      <c r="J20" s="19">
        <f t="shared" si="10"/>
        <v>52.545454545454547</v>
      </c>
      <c r="K20" s="19">
        <f t="shared" si="10"/>
        <v>430.56</v>
      </c>
      <c r="L20" s="19">
        <f t="shared" si="10"/>
        <v>146.94</v>
      </c>
      <c r="M20" s="19">
        <f t="shared" si="10"/>
        <v>51.833000000000006</v>
      </c>
      <c r="N20" s="19">
        <f t="shared" si="10"/>
        <v>35.655999999999999</v>
      </c>
      <c r="O20" s="19"/>
      <c r="P20" s="4"/>
      <c r="Q20" s="19">
        <f t="shared" si="12"/>
        <v>108.77161862527716</v>
      </c>
      <c r="R20" s="20">
        <f t="shared" si="12"/>
        <v>62.456375545851529</v>
      </c>
      <c r="S20" s="21">
        <f t="shared" si="12"/>
        <v>99.393908045977014</v>
      </c>
      <c r="T20" s="4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4"/>
      <c r="AH20" s="19"/>
      <c r="AI20" s="20"/>
      <c r="AJ20" s="21"/>
    </row>
    <row r="21" spans="2:36" ht="15.75" customHeight="1">
      <c r="B21" s="4" t="s">
        <v>37</v>
      </c>
      <c r="C21" s="4"/>
      <c r="D21" s="19">
        <f t="shared" si="10"/>
        <v>49.542635658914726</v>
      </c>
      <c r="E21" s="19">
        <f t="shared" si="10"/>
        <v>71.198757763975152</v>
      </c>
      <c r="F21" s="19">
        <f t="shared" si="10"/>
        <v>75.734545454545454</v>
      </c>
      <c r="G21" s="19">
        <f t="shared" si="10"/>
        <v>84.755208333333329</v>
      </c>
      <c r="H21" s="19">
        <f t="shared" si="10"/>
        <v>177.1875</v>
      </c>
      <c r="I21" s="19">
        <f t="shared" si="10"/>
        <v>226.28235294117647</v>
      </c>
      <c r="J21" s="19">
        <f t="shared" si="10"/>
        <v>106.65605095541402</v>
      </c>
      <c r="K21" s="19">
        <f t="shared" si="10"/>
        <v>99.268205128205125</v>
      </c>
      <c r="L21" s="19">
        <f>L11/L16</f>
        <v>81.705067114093964</v>
      </c>
      <c r="M21" s="19">
        <f t="shared" si="10"/>
        <v>90.900763546798032</v>
      </c>
      <c r="N21" s="19">
        <f t="shared" si="10"/>
        <v>108.3898697068404</v>
      </c>
      <c r="O21" s="19">
        <f t="shared" ref="O21" si="14">O11/O16</f>
        <v>90.203999999999994</v>
      </c>
      <c r="P21" s="4"/>
      <c r="Q21" s="19">
        <f t="shared" si="12"/>
        <v>104.64990328820116</v>
      </c>
      <c r="R21" s="20">
        <f t="shared" si="12"/>
        <v>96.193419170243203</v>
      </c>
      <c r="S21" s="21">
        <f t="shared" si="12"/>
        <v>98.986138613861385</v>
      </c>
      <c r="T21" s="4"/>
      <c r="U21" s="81">
        <v>90</v>
      </c>
      <c r="V21" s="81">
        <v>95</v>
      </c>
      <c r="W21" s="81">
        <v>95</v>
      </c>
      <c r="X21" s="81">
        <v>100</v>
      </c>
      <c r="Y21" s="81">
        <v>100</v>
      </c>
      <c r="Z21" s="81">
        <v>95</v>
      </c>
      <c r="AA21" s="81">
        <v>95</v>
      </c>
      <c r="AB21" s="81">
        <v>50</v>
      </c>
      <c r="AC21" s="81">
        <v>75</v>
      </c>
      <c r="AD21" s="81">
        <v>80</v>
      </c>
      <c r="AE21" s="81">
        <v>50</v>
      </c>
      <c r="AF21" s="81">
        <v>90</v>
      </c>
      <c r="AG21" s="4"/>
      <c r="AH21" s="19"/>
      <c r="AI21" s="20"/>
      <c r="AJ21" s="21"/>
    </row>
    <row r="22" spans="2:36" ht="15.75" customHeight="1">
      <c r="B22" s="4" t="s">
        <v>49</v>
      </c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>
        <f t="shared" si="10"/>
        <v>227.70571428571427</v>
      </c>
      <c r="N22" s="19">
        <f t="shared" si="10"/>
        <v>85.908076923076919</v>
      </c>
      <c r="O22" s="19">
        <f t="shared" ref="O22" si="15">O12/O17</f>
        <v>58.052716049382724</v>
      </c>
      <c r="P22" s="4"/>
      <c r="Q22" s="19" t="e">
        <f t="shared" si="12"/>
        <v>#DIV/0!</v>
      </c>
      <c r="R22" s="20">
        <f t="shared" si="12"/>
        <v>99.461666666666659</v>
      </c>
      <c r="S22" s="21">
        <f t="shared" si="12"/>
        <v>99.461666666666659</v>
      </c>
      <c r="T22" s="4"/>
      <c r="U22" s="92">
        <v>70</v>
      </c>
      <c r="V22" s="92">
        <v>70</v>
      </c>
      <c r="W22" s="92">
        <v>70</v>
      </c>
      <c r="X22" s="92">
        <v>70</v>
      </c>
      <c r="Y22" s="92">
        <v>70</v>
      </c>
      <c r="Z22" s="92">
        <v>70</v>
      </c>
      <c r="AA22" s="92"/>
      <c r="AB22" s="92"/>
      <c r="AC22" s="92"/>
      <c r="AD22" s="92"/>
      <c r="AE22" s="92"/>
      <c r="AF22" s="92"/>
      <c r="AG22" s="4"/>
      <c r="AH22" s="19"/>
      <c r="AI22" s="20"/>
      <c r="AJ22" s="21"/>
    </row>
    <row r="23" spans="2:36" ht="15.75" customHeight="1">
      <c r="B23" s="4"/>
      <c r="C23" s="4"/>
      <c r="D23" s="4"/>
      <c r="E23" s="4"/>
      <c r="F23" s="4"/>
      <c r="G23" s="35">
        <v>0.68389999999999995</v>
      </c>
      <c r="H23" s="22"/>
      <c r="I23" s="22"/>
      <c r="J23" s="23">
        <v>0.7</v>
      </c>
      <c r="K23" s="24">
        <v>0.4</v>
      </c>
      <c r="L23" s="23">
        <v>0.8</v>
      </c>
      <c r="M23" s="23">
        <v>1</v>
      </c>
      <c r="N23" s="23">
        <v>1.2</v>
      </c>
      <c r="O23" s="23"/>
      <c r="P23" s="4"/>
      <c r="Q23" s="4"/>
      <c r="R23" s="4"/>
      <c r="S23" s="22"/>
      <c r="T23" s="4"/>
      <c r="U23" s="209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4"/>
      <c r="AH23" s="4"/>
      <c r="AI23" s="4"/>
      <c r="AJ23" s="22"/>
    </row>
    <row r="24" spans="2:36" ht="15.75" customHeight="1">
      <c r="B24" s="16" t="s">
        <v>22</v>
      </c>
      <c r="C24" s="16"/>
      <c r="D24" s="36">
        <f t="shared" ref="D24:N26" si="16">D30/D14</f>
        <v>1.0680272108843538</v>
      </c>
      <c r="E24" s="36">
        <f t="shared" si="16"/>
        <v>1.267027027027027</v>
      </c>
      <c r="F24" s="36">
        <f t="shared" si="16"/>
        <v>0.81729729729729739</v>
      </c>
      <c r="G24" s="36">
        <f t="shared" si="16"/>
        <v>0.77894736842105272</v>
      </c>
      <c r="H24" s="36">
        <f t="shared" si="16"/>
        <v>1.4388888888888891</v>
      </c>
      <c r="I24" s="36">
        <f t="shared" si="16"/>
        <v>0.69848484848484849</v>
      </c>
      <c r="J24" s="36">
        <f t="shared" si="16"/>
        <v>0.59718309859154939</v>
      </c>
      <c r="K24" s="36">
        <f t="shared" si="16"/>
        <v>0.94166666666666665</v>
      </c>
      <c r="L24" s="36">
        <f t="shared" si="16"/>
        <v>0.87138263665594839</v>
      </c>
      <c r="M24" s="36">
        <f t="shared" si="16"/>
        <v>0.67505720823798632</v>
      </c>
      <c r="N24" s="36">
        <f t="shared" si="16"/>
        <v>0.6420803443328551</v>
      </c>
      <c r="O24" s="36">
        <f>O30/O14</f>
        <v>0.39078498293515357</v>
      </c>
      <c r="P24" s="4"/>
      <c r="Q24" s="36">
        <f>Q30/Q14</f>
        <v>0.93109504132231402</v>
      </c>
      <c r="R24" s="37">
        <f>R30/R14</f>
        <v>0.62551077414205902</v>
      </c>
      <c r="S24" s="124">
        <f>S30/S14</f>
        <v>0.75869653309320129</v>
      </c>
      <c r="T24" s="16"/>
      <c r="U24" s="107">
        <f>U26</f>
        <v>0.45247152467190999</v>
      </c>
      <c r="V24" s="107">
        <f t="shared" ref="V24:AF24" si="17">V26</f>
        <v>0.46220414367575502</v>
      </c>
      <c r="W24" s="107">
        <f t="shared" si="17"/>
        <v>0.47044143675755001</v>
      </c>
      <c r="X24" s="107">
        <f t="shared" si="17"/>
        <v>0.54208441436757548</v>
      </c>
      <c r="Y24" s="107">
        <f t="shared" si="17"/>
        <v>0.56148441436757546</v>
      </c>
      <c r="Z24" s="107">
        <f t="shared" si="17"/>
        <v>0.58088441436757554</v>
      </c>
      <c r="AA24" s="107">
        <f t="shared" si="17"/>
        <v>0.51783441436757549</v>
      </c>
      <c r="AB24" s="107">
        <f t="shared" si="17"/>
        <v>0.39</v>
      </c>
      <c r="AC24" s="107">
        <f t="shared" si="17"/>
        <v>0.57229999999999992</v>
      </c>
      <c r="AD24" s="107">
        <f t="shared" si="17"/>
        <v>0.60688260869565169</v>
      </c>
      <c r="AE24" s="107">
        <f t="shared" si="17"/>
        <v>0.68340909090909141</v>
      </c>
      <c r="AF24" s="107">
        <f t="shared" si="17"/>
        <v>0.63273846153846125</v>
      </c>
      <c r="AG24" s="4"/>
      <c r="AH24" s="36">
        <f>AH30/AH14</f>
        <v>0.51087241954419083</v>
      </c>
      <c r="AI24" s="37">
        <f>AI30/AI14</f>
        <v>0.61008871808937815</v>
      </c>
      <c r="AJ24" s="124">
        <f>AJ30/AJ14</f>
        <v>0.57194507674919626</v>
      </c>
    </row>
    <row r="25" spans="2:36" ht="15.75" customHeight="1">
      <c r="B25" s="4" t="s">
        <v>107</v>
      </c>
      <c r="C25" s="4"/>
      <c r="D25" s="40">
        <f t="shared" si="16"/>
        <v>1.7444444444444445</v>
      </c>
      <c r="E25" s="40">
        <f t="shared" si="16"/>
        <v>1.9533333333333334</v>
      </c>
      <c r="F25" s="40">
        <f t="shared" si="16"/>
        <v>0.63663157894736855</v>
      </c>
      <c r="G25" s="40">
        <f t="shared" si="16"/>
        <v>0.28814159292035402</v>
      </c>
      <c r="H25" s="40">
        <f t="shared" si="16"/>
        <v>0.8633333333333334</v>
      </c>
      <c r="I25" s="40">
        <f t="shared" si="16"/>
        <v>0.16650112866817157</v>
      </c>
      <c r="J25" s="40">
        <f t="shared" si="16"/>
        <v>0.21414141414141416</v>
      </c>
      <c r="K25" s="40">
        <f t="shared" si="16"/>
        <v>1.1299999999999999</v>
      </c>
      <c r="L25" s="40">
        <f t="shared" si="16"/>
        <v>0.83384615384615379</v>
      </c>
      <c r="M25" s="40">
        <f t="shared" si="16"/>
        <v>0.59000000000000008</v>
      </c>
      <c r="N25" s="40">
        <f t="shared" si="16"/>
        <v>1</v>
      </c>
      <c r="O25" s="40" t="e">
        <f t="shared" ref="O25" si="18">O31/O15</f>
        <v>#DIV/0!</v>
      </c>
      <c r="P25" s="4"/>
      <c r="Q25" s="40"/>
      <c r="R25" s="41">
        <v>0.46779999999999999</v>
      </c>
      <c r="S25" s="43">
        <v>0.4294</v>
      </c>
      <c r="T25" s="4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4"/>
      <c r="AH25" s="40"/>
      <c r="AI25" s="41"/>
      <c r="AJ25" s="43"/>
    </row>
    <row r="26" spans="2:36" ht="15.75" customHeight="1">
      <c r="B26" s="4" t="s">
        <v>39</v>
      </c>
      <c r="C26" s="4"/>
      <c r="D26" s="40">
        <f t="shared" si="16"/>
        <v>0.97364341085271322</v>
      </c>
      <c r="E26" s="40">
        <f t="shared" si="16"/>
        <v>1.16472049689441</v>
      </c>
      <c r="F26" s="40">
        <f t="shared" si="16"/>
        <v>0.87970909090909111</v>
      </c>
      <c r="G26" s="40">
        <f t="shared" si="16"/>
        <v>1.3566666666666667</v>
      </c>
      <c r="H26" s="40">
        <f t="shared" si="16"/>
        <v>1.7266666666666668</v>
      </c>
      <c r="I26" s="40">
        <f t="shared" si="16"/>
        <v>3.471058823529412</v>
      </c>
      <c r="J26" s="40">
        <f t="shared" si="16"/>
        <v>1.0802547770700639</v>
      </c>
      <c r="K26" s="40">
        <f t="shared" si="16"/>
        <v>0.93683760683760686</v>
      </c>
      <c r="L26" s="40">
        <f t="shared" si="16"/>
        <v>0.87302013422818781</v>
      </c>
      <c r="M26" s="40">
        <f t="shared" si="16"/>
        <v>0.67573891625615767</v>
      </c>
      <c r="N26" s="40">
        <f t="shared" si="16"/>
        <v>0.64065146579804566</v>
      </c>
      <c r="O26" s="40">
        <f t="shared" ref="O26" si="19">O32/O16</f>
        <v>0.45346534653465348</v>
      </c>
      <c r="P26" s="4"/>
      <c r="Q26" s="40"/>
      <c r="R26" s="41">
        <v>0.44469999999999998</v>
      </c>
      <c r="S26" s="43">
        <v>0.69289999999999996</v>
      </c>
      <c r="T26" s="4"/>
      <c r="U26" s="112">
        <v>0.45247152467190999</v>
      </c>
      <c r="V26" s="112">
        <v>0.46220414367575502</v>
      </c>
      <c r="W26" s="112">
        <v>0.47044143675755001</v>
      </c>
      <c r="X26" s="112">
        <v>0.54208441436757548</v>
      </c>
      <c r="Y26" s="112">
        <v>0.56148441436757546</v>
      </c>
      <c r="Z26" s="112">
        <v>0.58088441436757554</v>
      </c>
      <c r="AA26" s="112">
        <v>0.51783441436757549</v>
      </c>
      <c r="AB26" s="112">
        <v>0.39</v>
      </c>
      <c r="AC26" s="112">
        <v>0.57229999999999992</v>
      </c>
      <c r="AD26" s="112">
        <v>0.60688260869565169</v>
      </c>
      <c r="AE26" s="112">
        <v>0.68340909090909141</v>
      </c>
      <c r="AF26" s="112">
        <v>0.63273846153846125</v>
      </c>
      <c r="AG26" s="4"/>
      <c r="AH26" s="40"/>
      <c r="AI26" s="41"/>
      <c r="AJ26" s="43"/>
    </row>
    <row r="27" spans="2:36" ht="15.75" customHeight="1">
      <c r="B27" s="4" t="s">
        <v>50</v>
      </c>
      <c r="C27" s="4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"/>
      <c r="Q27" s="40"/>
      <c r="R27" s="41">
        <v>0.44469999999999998</v>
      </c>
      <c r="S27" s="43">
        <v>0.69289999999999996</v>
      </c>
      <c r="T27" s="4"/>
      <c r="U27" s="112"/>
      <c r="V27" s="112"/>
      <c r="W27" s="112"/>
      <c r="X27" s="112"/>
      <c r="Y27" s="112"/>
      <c r="Z27" s="112"/>
      <c r="AA27" s="112"/>
      <c r="AB27" s="116"/>
      <c r="AC27" s="116"/>
      <c r="AD27" s="116"/>
      <c r="AE27" s="116"/>
      <c r="AF27" s="116"/>
      <c r="AG27" s="4"/>
      <c r="AH27" s="40"/>
      <c r="AI27" s="41"/>
      <c r="AJ27" s="43"/>
    </row>
    <row r="28" spans="2:36" ht="13.8">
      <c r="B28" s="16"/>
      <c r="C28" s="16"/>
      <c r="D28" s="4"/>
      <c r="E28" s="4"/>
      <c r="F28" s="4"/>
      <c r="G28" s="44">
        <v>257</v>
      </c>
      <c r="H28" s="4"/>
      <c r="I28" s="4"/>
      <c r="J28" s="4"/>
      <c r="K28" s="15">
        <v>0.4</v>
      </c>
      <c r="L28" s="14">
        <v>1.3</v>
      </c>
      <c r="M28" s="14">
        <v>1.5</v>
      </c>
      <c r="N28" s="14">
        <v>2.6</v>
      </c>
      <c r="O28" s="14"/>
      <c r="P28" s="4"/>
      <c r="Q28" s="4"/>
      <c r="R28" s="4"/>
      <c r="S28" s="4"/>
      <c r="T28" s="16"/>
      <c r="U28" s="4"/>
      <c r="V28" s="4"/>
      <c r="W28" s="4"/>
      <c r="X28" s="44"/>
      <c r="Y28" s="4"/>
      <c r="Z28" s="4"/>
      <c r="AA28" s="4"/>
      <c r="AB28" s="15"/>
      <c r="AC28" s="14"/>
      <c r="AD28" s="14"/>
      <c r="AE28" s="14"/>
      <c r="AF28" s="14"/>
      <c r="AG28" s="4"/>
      <c r="AH28" s="4"/>
      <c r="AI28" s="4"/>
      <c r="AJ28" s="4"/>
    </row>
    <row r="29" spans="2:36" ht="13.8">
      <c r="B29" s="16"/>
      <c r="C29" s="16"/>
      <c r="D29" s="4"/>
      <c r="E29" s="4"/>
      <c r="F29" s="4"/>
      <c r="G29" s="44"/>
      <c r="H29" s="4"/>
      <c r="I29" s="4"/>
      <c r="J29" s="4"/>
      <c r="K29" s="15"/>
      <c r="L29" s="14"/>
      <c r="M29" s="14"/>
      <c r="N29" s="14"/>
      <c r="O29" s="14"/>
      <c r="P29" s="4"/>
      <c r="Q29" s="4"/>
      <c r="R29" s="4"/>
      <c r="S29" s="4"/>
      <c r="T29" s="16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4"/>
      <c r="AH29" s="4"/>
      <c r="AI29" s="4"/>
      <c r="AJ29" s="4"/>
    </row>
    <row r="30" spans="2:36" ht="13.8">
      <c r="B30" s="16" t="s">
        <v>54</v>
      </c>
      <c r="C30" s="16"/>
      <c r="D30" s="139">
        <f>SUM(D31:D33)</f>
        <v>157</v>
      </c>
      <c r="E30" s="139">
        <f t="shared" ref="E30:O30" si="20">SUM(E31:E33)</f>
        <v>234.4</v>
      </c>
      <c r="F30" s="139">
        <f t="shared" si="20"/>
        <v>302.40000000000003</v>
      </c>
      <c r="G30" s="139">
        <f t="shared" si="20"/>
        <v>325.60000000000002</v>
      </c>
      <c r="H30" s="139">
        <f t="shared" si="20"/>
        <v>414.40000000000003</v>
      </c>
      <c r="I30" s="139">
        <f t="shared" si="20"/>
        <v>368.8</v>
      </c>
      <c r="J30" s="139">
        <f t="shared" si="20"/>
        <v>212.00000000000003</v>
      </c>
      <c r="K30" s="139">
        <f t="shared" si="20"/>
        <v>113</v>
      </c>
      <c r="L30" s="139">
        <f>SUM(L31:L33)</f>
        <v>270.99999999999994</v>
      </c>
      <c r="M30" s="139">
        <f t="shared" si="20"/>
        <v>295</v>
      </c>
      <c r="N30" s="139">
        <f t="shared" si="20"/>
        <v>447.53000000000003</v>
      </c>
      <c r="O30" s="139">
        <f t="shared" si="20"/>
        <v>229</v>
      </c>
      <c r="P30" s="4"/>
      <c r="Q30" s="25">
        <f>SUM(D30:I30)</f>
        <v>1802.6</v>
      </c>
      <c r="R30" s="26">
        <f>SUM(J30:O30)</f>
        <v>1567.53</v>
      </c>
      <c r="S30" s="27">
        <f>SUM(Q30+R30)</f>
        <v>3370.13</v>
      </c>
      <c r="T30" s="16"/>
      <c r="U30" s="89">
        <f>U32</f>
        <v>246.74577441155733</v>
      </c>
      <c r="V30" s="89">
        <f t="shared" ref="V30:AE30" si="21">V32</f>
        <v>175.21315685818334</v>
      </c>
      <c r="W30" s="89">
        <f t="shared" si="21"/>
        <v>189.72539914122663</v>
      </c>
      <c r="X30" s="89">
        <f t="shared" si="21"/>
        <v>220.15547743999588</v>
      </c>
      <c r="Y30" s="89">
        <f t="shared" si="21"/>
        <v>247.40556643667722</v>
      </c>
      <c r="Z30" s="89">
        <f t="shared" si="21"/>
        <v>262.3932340762633</v>
      </c>
      <c r="AA30" s="89">
        <f t="shared" si="21"/>
        <v>221.37566480394304</v>
      </c>
      <c r="AB30" s="89">
        <f t="shared" si="21"/>
        <v>115.7673582</v>
      </c>
      <c r="AC30" s="89">
        <f t="shared" si="21"/>
        <v>309.90248357266665</v>
      </c>
      <c r="AD30" s="89">
        <f t="shared" si="21"/>
        <v>420.99303777118581</v>
      </c>
      <c r="AE30" s="89">
        <f t="shared" si="21"/>
        <v>1033.1494734046541</v>
      </c>
      <c r="AF30" s="89">
        <f>AF32</f>
        <v>464.12727625103059</v>
      </c>
      <c r="AG30" s="4"/>
      <c r="AH30" s="25">
        <f>SUM(U30:Z30)</f>
        <v>1341.6386083639036</v>
      </c>
      <c r="AI30" s="26">
        <f>SUM(AA30:AF30)</f>
        <v>2565.3152940034806</v>
      </c>
      <c r="AJ30" s="27">
        <f>SUM(AH30+AI30)</f>
        <v>3906.9539023673842</v>
      </c>
    </row>
    <row r="31" spans="2:36" ht="13.8">
      <c r="B31" s="4" t="s">
        <v>108</v>
      </c>
      <c r="C31" s="4"/>
      <c r="D31" s="140">
        <v>31.400000000000002</v>
      </c>
      <c r="E31" s="140">
        <v>46.88</v>
      </c>
      <c r="F31" s="140">
        <v>60.480000000000011</v>
      </c>
      <c r="G31" s="140">
        <v>65.12</v>
      </c>
      <c r="H31" s="140">
        <v>82.88000000000001</v>
      </c>
      <c r="I31" s="140">
        <v>73.760000000000005</v>
      </c>
      <c r="J31" s="140">
        <v>42.400000000000006</v>
      </c>
      <c r="K31" s="140">
        <v>3.3899999999999997</v>
      </c>
      <c r="L31" s="140">
        <v>10.84</v>
      </c>
      <c r="M31" s="140">
        <v>5.9</v>
      </c>
      <c r="N31" s="140">
        <v>5</v>
      </c>
      <c r="O31" s="140"/>
      <c r="P31" s="4"/>
      <c r="Q31" s="28">
        <f>SUM(D31:I31)</f>
        <v>360.52000000000004</v>
      </c>
      <c r="R31" s="31">
        <f>SUM(E31:J31)</f>
        <v>371.52</v>
      </c>
      <c r="S31" s="32">
        <f t="shared" ref="S31:S33" si="22">SUM(Q31+R31)</f>
        <v>732.04</v>
      </c>
      <c r="T31" s="4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4"/>
      <c r="AH31" s="28"/>
      <c r="AI31" s="31"/>
      <c r="AJ31" s="32"/>
    </row>
    <row r="32" spans="2:36" ht="13.8">
      <c r="B32" s="4" t="s">
        <v>40</v>
      </c>
      <c r="C32" s="4"/>
      <c r="D32" s="140">
        <v>125.60000000000001</v>
      </c>
      <c r="E32" s="140">
        <v>187.52</v>
      </c>
      <c r="F32" s="140">
        <v>241.92000000000004</v>
      </c>
      <c r="G32" s="140">
        <v>260.48</v>
      </c>
      <c r="H32" s="140">
        <v>331.52000000000004</v>
      </c>
      <c r="I32" s="140">
        <v>295.04000000000002</v>
      </c>
      <c r="J32" s="140">
        <v>169.60000000000002</v>
      </c>
      <c r="K32" s="140">
        <v>109.61</v>
      </c>
      <c r="L32" s="140">
        <v>260.15999999999997</v>
      </c>
      <c r="M32" s="140">
        <v>274.35000000000002</v>
      </c>
      <c r="N32" s="140">
        <v>393.36</v>
      </c>
      <c r="O32" s="140">
        <v>229</v>
      </c>
      <c r="P32" s="4"/>
      <c r="Q32" s="28">
        <f>SUM(D32:I32)</f>
        <v>1442.0800000000002</v>
      </c>
      <c r="R32" s="30">
        <f>SUM(E32:J32)</f>
        <v>1486.08</v>
      </c>
      <c r="S32" s="32">
        <f t="shared" si="22"/>
        <v>2928.16</v>
      </c>
      <c r="T32" s="4"/>
      <c r="U32" s="92">
        <f>U14*U26</f>
        <v>246.74577441155733</v>
      </c>
      <c r="V32" s="92">
        <f t="shared" ref="V32:AF32" si="23">V14*V26</f>
        <v>175.21315685818334</v>
      </c>
      <c r="W32" s="92">
        <f t="shared" si="23"/>
        <v>189.72539914122663</v>
      </c>
      <c r="X32" s="92">
        <f t="shared" si="23"/>
        <v>220.15547743999588</v>
      </c>
      <c r="Y32" s="92">
        <f t="shared" si="23"/>
        <v>247.40556643667722</v>
      </c>
      <c r="Z32" s="92">
        <f t="shared" si="23"/>
        <v>262.3932340762633</v>
      </c>
      <c r="AA32" s="92">
        <f t="shared" si="23"/>
        <v>221.37566480394304</v>
      </c>
      <c r="AB32" s="92">
        <f>AB14*AB26</f>
        <v>115.7673582</v>
      </c>
      <c r="AC32" s="92">
        <f t="shared" si="23"/>
        <v>309.90248357266665</v>
      </c>
      <c r="AD32" s="92">
        <f t="shared" si="23"/>
        <v>420.99303777118581</v>
      </c>
      <c r="AE32" s="92">
        <f t="shared" si="23"/>
        <v>1033.1494734046541</v>
      </c>
      <c r="AF32" s="92">
        <f t="shared" si="23"/>
        <v>464.12727625103059</v>
      </c>
      <c r="AG32" s="4"/>
      <c r="AH32" s="232"/>
      <c r="AI32" s="141"/>
      <c r="AJ32" s="233"/>
    </row>
    <row r="33" spans="2:36" ht="13.8">
      <c r="B33" s="4" t="s">
        <v>51</v>
      </c>
      <c r="C33" s="4"/>
      <c r="D33" s="40"/>
      <c r="E33" s="40"/>
      <c r="F33" s="40"/>
      <c r="G33" s="40"/>
      <c r="H33" s="40"/>
      <c r="I33" s="40"/>
      <c r="J33" s="40"/>
      <c r="K33" s="140"/>
      <c r="L33" s="140"/>
      <c r="M33" s="140">
        <v>14.75</v>
      </c>
      <c r="N33" s="140">
        <v>49.17</v>
      </c>
      <c r="O33" s="140"/>
      <c r="P33" s="4"/>
      <c r="Q33" s="28">
        <f>SUM(D33:I33)</f>
        <v>0</v>
      </c>
      <c r="R33" s="30">
        <f>SUM(E33:J33)</f>
        <v>0</v>
      </c>
      <c r="S33" s="32">
        <f t="shared" si="22"/>
        <v>0</v>
      </c>
      <c r="T33" s="4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4"/>
      <c r="AH33" s="28"/>
      <c r="AI33" s="30"/>
      <c r="AJ33" s="32"/>
    </row>
    <row r="34" spans="2:36" ht="13.8">
      <c r="B34" s="4"/>
      <c r="C34" s="4"/>
      <c r="D34" s="4"/>
      <c r="E34" s="4"/>
      <c r="F34" s="4"/>
      <c r="G34" s="13">
        <v>181</v>
      </c>
      <c r="H34" s="4"/>
      <c r="I34" s="4"/>
      <c r="J34" s="4"/>
      <c r="K34" s="15">
        <v>0.3</v>
      </c>
      <c r="L34" s="14">
        <v>0.8</v>
      </c>
      <c r="M34" s="14">
        <v>1</v>
      </c>
      <c r="N34" s="14">
        <v>1.4</v>
      </c>
      <c r="O34" s="14"/>
      <c r="P34" s="4"/>
      <c r="Q34" s="4"/>
      <c r="R34" s="4"/>
      <c r="S34" s="4"/>
      <c r="T34" s="4"/>
      <c r="U34" s="4"/>
      <c r="V34" s="4"/>
      <c r="W34" s="4"/>
      <c r="X34" s="13"/>
      <c r="Y34" s="4"/>
      <c r="Z34" s="4"/>
      <c r="AA34" s="4"/>
      <c r="AB34" s="15"/>
      <c r="AC34" s="14"/>
      <c r="AD34" s="14"/>
      <c r="AE34" s="14"/>
      <c r="AF34" s="14"/>
      <c r="AG34" s="4"/>
      <c r="AH34" s="4"/>
      <c r="AI34" s="4"/>
      <c r="AJ34" s="4"/>
    </row>
    <row r="35" spans="2:36" ht="13.8">
      <c r="B35" s="16" t="s">
        <v>55</v>
      </c>
      <c r="C35" s="16"/>
      <c r="D35" s="10">
        <v>213</v>
      </c>
      <c r="E35" s="139">
        <v>671</v>
      </c>
      <c r="F35" s="139">
        <v>405</v>
      </c>
      <c r="G35" s="139">
        <v>284</v>
      </c>
      <c r="H35" s="139">
        <v>313</v>
      </c>
      <c r="I35" s="139">
        <v>263</v>
      </c>
      <c r="J35" s="139">
        <v>254</v>
      </c>
      <c r="K35" s="10">
        <v>0</v>
      </c>
      <c r="L35" s="10">
        <v>369</v>
      </c>
      <c r="M35" s="10">
        <v>231</v>
      </c>
      <c r="N35" s="10">
        <v>522</v>
      </c>
      <c r="O35" s="10">
        <v>239</v>
      </c>
      <c r="P35" s="4"/>
      <c r="Q35" s="25">
        <f>SUM(D35:I35)</f>
        <v>2149</v>
      </c>
      <c r="R35" s="26">
        <f>SUM(J35:O35)</f>
        <v>1615</v>
      </c>
      <c r="S35" s="27">
        <f>SUM(Q35+R35)</f>
        <v>3764</v>
      </c>
      <c r="T35" s="16"/>
      <c r="U35" s="211">
        <v>421.25100514171595</v>
      </c>
      <c r="V35" s="211">
        <f t="shared" ref="V35:AA35" si="24">+(U30*0.25)+(V30*0.75)</f>
        <v>193.09631124652685</v>
      </c>
      <c r="W35" s="211">
        <f t="shared" si="24"/>
        <v>186.09733857046581</v>
      </c>
      <c r="X35" s="211">
        <f t="shared" si="24"/>
        <v>212.54795786530357</v>
      </c>
      <c r="Y35" s="211">
        <f t="shared" si="24"/>
        <v>240.59304418750691</v>
      </c>
      <c r="Z35" s="211">
        <f t="shared" si="24"/>
        <v>258.64631716636677</v>
      </c>
      <c r="AA35" s="211">
        <f t="shared" si="24"/>
        <v>231.63005712202312</v>
      </c>
      <c r="AB35" s="211"/>
      <c r="AC35" s="211">
        <f t="shared" ref="AC35:AF35" si="25">+(AB30*0.25)+(AC30*0.75)</f>
        <v>261.3687022295</v>
      </c>
      <c r="AD35" s="211">
        <f t="shared" si="25"/>
        <v>393.22039922155602</v>
      </c>
      <c r="AE35" s="211">
        <f t="shared" si="25"/>
        <v>880.11036449628705</v>
      </c>
      <c r="AF35" s="211">
        <f t="shared" si="25"/>
        <v>606.38282553943645</v>
      </c>
      <c r="AG35" s="4"/>
      <c r="AH35" s="25">
        <f>SUM(U35:Z35)</f>
        <v>1512.2319741778858</v>
      </c>
      <c r="AI35" s="26">
        <f>SUM(AA35:AF35)</f>
        <v>2372.7123486088026</v>
      </c>
      <c r="AJ35" s="27">
        <f>SUM(AH35+AI35)</f>
        <v>3884.9443227866886</v>
      </c>
    </row>
    <row r="36" spans="2:36" ht="13.8">
      <c r="B36" s="4" t="s">
        <v>109</v>
      </c>
      <c r="C36" s="4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4"/>
      <c r="Q36" s="29">
        <f>SUM(D36:I36)</f>
        <v>0</v>
      </c>
      <c r="R36" s="31">
        <f>SUM(E36:J36)</f>
        <v>0</v>
      </c>
      <c r="S36" s="32">
        <f t="shared" ref="S36:S37" si="26">SUM(Q36+R36)</f>
        <v>0</v>
      </c>
      <c r="T36" s="4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4"/>
      <c r="AH36" s="29"/>
      <c r="AI36" s="31"/>
      <c r="AJ36" s="32"/>
    </row>
    <row r="37" spans="2:36" ht="13.8">
      <c r="B37" s="4" t="s">
        <v>40</v>
      </c>
      <c r="C37" s="4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4"/>
      <c r="Q37" s="29">
        <f>SUM(D37:I37)</f>
        <v>0</v>
      </c>
      <c r="R37" s="31">
        <f>SUM(E37:J37)</f>
        <v>0</v>
      </c>
      <c r="S37" s="32">
        <f t="shared" si="26"/>
        <v>0</v>
      </c>
      <c r="T37" s="4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4"/>
      <c r="AH37" s="29"/>
      <c r="AI37" s="31"/>
      <c r="AJ37" s="32"/>
    </row>
    <row r="38" spans="2:36" ht="13.8">
      <c r="B38" s="4" t="s">
        <v>51</v>
      </c>
      <c r="C38" s="4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4"/>
      <c r="Q38" s="4"/>
      <c r="R38" s="4"/>
      <c r="S38" s="4"/>
      <c r="T38" s="4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4"/>
      <c r="AH38" s="4"/>
      <c r="AI38" s="4"/>
      <c r="AJ38" s="4"/>
    </row>
    <row r="39" spans="2:36" ht="13.8">
      <c r="B39" s="4"/>
      <c r="C39" s="4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4"/>
      <c r="Q39" s="4"/>
      <c r="R39" s="4"/>
      <c r="S39" s="4"/>
      <c r="T39" s="4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4"/>
      <c r="AH39" s="4"/>
      <c r="AI39" s="4"/>
      <c r="AJ39" s="4"/>
    </row>
    <row r="40" spans="2:36" ht="13.8">
      <c r="B40" s="4"/>
      <c r="C40" s="4"/>
      <c r="D40" s="4"/>
      <c r="E40" s="4"/>
      <c r="F40" s="4"/>
      <c r="G40" s="13"/>
      <c r="H40" s="4"/>
      <c r="I40" s="4"/>
      <c r="J40" s="4"/>
      <c r="K40" s="15"/>
      <c r="L40" s="14"/>
      <c r="M40" s="14"/>
      <c r="N40" s="14"/>
      <c r="O40" s="14"/>
      <c r="P40" s="4"/>
      <c r="Q40" s="4"/>
      <c r="R40" s="4"/>
      <c r="S40" s="4"/>
      <c r="T40" s="4"/>
      <c r="U40" s="4"/>
      <c r="V40" s="4"/>
      <c r="W40" s="4"/>
      <c r="X40" s="13"/>
      <c r="Y40" s="4"/>
      <c r="Z40" s="4"/>
      <c r="AA40" s="4"/>
      <c r="AB40" s="15"/>
      <c r="AC40" s="14"/>
      <c r="AD40" s="14"/>
      <c r="AE40" s="14"/>
      <c r="AF40" s="14"/>
      <c r="AG40" s="4"/>
      <c r="AH40" s="4"/>
      <c r="AI40" s="4"/>
      <c r="AJ40" s="4"/>
    </row>
    <row r="41" spans="2:36" s="239" customFormat="1" ht="19.2" customHeight="1">
      <c r="B41" s="234" t="s">
        <v>28</v>
      </c>
      <c r="C41" s="234"/>
      <c r="D41" s="235">
        <f>D9/D35</f>
        <v>49.455399061032864</v>
      </c>
      <c r="E41" s="235">
        <f t="shared" ref="E41:O41" si="27">E9/E35</f>
        <v>26.9478390461997</v>
      </c>
      <c r="F41" s="235">
        <f t="shared" si="27"/>
        <v>87.024691358024697</v>
      </c>
      <c r="G41" s="235">
        <f t="shared" si="27"/>
        <v>154.36267605633802</v>
      </c>
      <c r="H41" s="235">
        <f t="shared" si="27"/>
        <v>200.99041533546327</v>
      </c>
      <c r="I41" s="235">
        <f t="shared" si="27"/>
        <v>135.77946768060838</v>
      </c>
      <c r="J41" s="235">
        <f t="shared" si="27"/>
        <v>106.88582677165354</v>
      </c>
      <c r="K41" s="235"/>
      <c r="L41" s="235">
        <f t="shared" si="27"/>
        <v>75.817100271002715</v>
      </c>
      <c r="M41" s="235">
        <f t="shared" si="27"/>
        <v>182.70935064935065</v>
      </c>
      <c r="N41" s="235">
        <f t="shared" si="27"/>
        <v>140.6714367816092</v>
      </c>
      <c r="O41" s="235">
        <f t="shared" si="27"/>
        <v>210.27317991631796</v>
      </c>
      <c r="P41" s="236"/>
      <c r="Q41" s="235">
        <f>Q9/Q30</f>
        <v>114.45689559525131</v>
      </c>
      <c r="R41" s="237">
        <f>R9/R30</f>
        <v>149.23045172979147</v>
      </c>
      <c r="S41" s="238">
        <f>S9/S30</f>
        <v>130.63092818377928</v>
      </c>
      <c r="T41" s="234"/>
      <c r="U41" s="76">
        <f>U9/U30</f>
        <v>194.27582544957528</v>
      </c>
      <c r="V41" s="76">
        <f t="shared" ref="V41:AF41" si="28">V9/V30</f>
        <v>239.26848446622222</v>
      </c>
      <c r="W41" s="76">
        <f t="shared" si="28"/>
        <v>233.08943715586315</v>
      </c>
      <c r="X41" s="76">
        <f t="shared" si="28"/>
        <v>211.31877816975958</v>
      </c>
      <c r="Y41" s="76">
        <f t="shared" si="28"/>
        <v>201.98812508444692</v>
      </c>
      <c r="Z41" s="76">
        <f t="shared" si="28"/>
        <v>186.06800846781681</v>
      </c>
      <c r="AA41" s="76">
        <f t="shared" si="28"/>
        <v>192.085189389085</v>
      </c>
      <c r="AB41" s="76">
        <f t="shared" si="28"/>
        <v>128.2051282051282</v>
      </c>
      <c r="AC41" s="76">
        <f t="shared" si="28"/>
        <v>137.2140875083665</v>
      </c>
      <c r="AD41" s="76">
        <f t="shared" si="28"/>
        <v>136.35862502362994</v>
      </c>
      <c r="AE41" s="76">
        <f t="shared" si="28"/>
        <v>75.011549530061345</v>
      </c>
      <c r="AF41" s="76">
        <f t="shared" si="28"/>
        <v>142.23886403423464</v>
      </c>
      <c r="AG41" s="236"/>
      <c r="AH41" s="235">
        <f>AH9/AH30</f>
        <v>208.25404826469901</v>
      </c>
      <c r="AI41" s="237">
        <f>AI9/AI30</f>
        <v>117.260070883159</v>
      </c>
      <c r="AJ41" s="238">
        <f>AJ9/AJ30</f>
        <v>148.50718467932944</v>
      </c>
    </row>
    <row r="42" spans="2:36" ht="13.8">
      <c r="B42" s="4" t="s">
        <v>110</v>
      </c>
      <c r="C42" s="4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4"/>
      <c r="Q42" s="19"/>
      <c r="R42" s="20"/>
      <c r="S42" s="21"/>
      <c r="T42" s="4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4"/>
      <c r="AH42" s="19"/>
      <c r="AI42" s="20"/>
      <c r="AJ42" s="21"/>
    </row>
    <row r="43" spans="2:36" ht="13.8">
      <c r="B43" s="4" t="s">
        <v>53</v>
      </c>
      <c r="C43" s="4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4"/>
      <c r="Q43" s="19"/>
      <c r="R43" s="20"/>
      <c r="S43" s="21"/>
      <c r="T43" s="4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4"/>
      <c r="AH43" s="19"/>
      <c r="AI43" s="20"/>
      <c r="AJ43" s="21"/>
    </row>
    <row r="44" spans="2:36" ht="13.8">
      <c r="B44" s="4" t="s">
        <v>52</v>
      </c>
      <c r="C44" s="4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46"/>
      <c r="Q44" s="19"/>
      <c r="R44" s="20"/>
      <c r="S44" s="21"/>
      <c r="T44" s="4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46"/>
      <c r="AH44" s="19"/>
      <c r="AI44" s="20"/>
      <c r="AJ44" s="21"/>
    </row>
    <row r="45" spans="2:36" ht="13.8">
      <c r="B45" s="5" t="s">
        <v>31</v>
      </c>
      <c r="C45" s="5"/>
      <c r="D45" s="47"/>
      <c r="E45" s="47"/>
      <c r="F45" s="47"/>
      <c r="G45" s="47"/>
      <c r="H45" s="47"/>
      <c r="I45" s="48">
        <v>65</v>
      </c>
      <c r="J45" s="48">
        <v>54</v>
      </c>
      <c r="K45" s="48">
        <v>24</v>
      </c>
      <c r="L45" s="48">
        <v>67</v>
      </c>
      <c r="M45" s="48">
        <v>90</v>
      </c>
      <c r="N45" s="48">
        <v>146</v>
      </c>
      <c r="O45" s="48">
        <v>113</v>
      </c>
      <c r="P45" s="48">
        <v>494</v>
      </c>
      <c r="Q45" s="47"/>
      <c r="R45" s="4"/>
      <c r="S45" s="4"/>
      <c r="T45" s="5"/>
      <c r="U45" s="47"/>
      <c r="V45" s="47"/>
      <c r="W45" s="47"/>
      <c r="X45" s="47"/>
      <c r="Y45" s="47"/>
      <c r="Z45" s="48">
        <v>65</v>
      </c>
      <c r="AA45" s="48">
        <v>54</v>
      </c>
      <c r="AB45" s="48">
        <v>24</v>
      </c>
      <c r="AC45" s="48">
        <v>67</v>
      </c>
      <c r="AD45" s="48">
        <v>90</v>
      </c>
      <c r="AE45" s="48">
        <v>146</v>
      </c>
      <c r="AF45" s="48">
        <v>113</v>
      </c>
      <c r="AG45" s="48">
        <v>494</v>
      </c>
      <c r="AH45" s="47"/>
      <c r="AI45" s="4"/>
      <c r="AJ45" s="4"/>
    </row>
    <row r="46" spans="2:36" ht="13.8">
      <c r="B46" s="5" t="s">
        <v>32</v>
      </c>
      <c r="C46" s="5"/>
      <c r="D46" s="47"/>
      <c r="E46" s="47"/>
      <c r="F46" s="47"/>
      <c r="G46" s="47"/>
      <c r="H46" s="47"/>
      <c r="I46" s="49">
        <v>226800</v>
      </c>
      <c r="J46" s="49">
        <v>189268</v>
      </c>
      <c r="K46" s="49">
        <v>84425</v>
      </c>
      <c r="L46" s="49">
        <v>236195</v>
      </c>
      <c r="M46" s="49">
        <v>314934</v>
      </c>
      <c r="N46" s="49">
        <v>509464</v>
      </c>
      <c r="O46" s="49">
        <v>393808</v>
      </c>
      <c r="P46" s="49">
        <v>1728095</v>
      </c>
      <c r="Q46" s="47"/>
      <c r="R46" s="4"/>
      <c r="S46" s="4"/>
      <c r="T46" s="5"/>
      <c r="U46" s="47"/>
      <c r="V46" s="47"/>
      <c r="W46" s="47"/>
      <c r="X46" s="47"/>
      <c r="Y46" s="47"/>
      <c r="Z46" s="49">
        <v>226800</v>
      </c>
      <c r="AA46" s="49">
        <v>189268</v>
      </c>
      <c r="AB46" s="49">
        <v>84425</v>
      </c>
      <c r="AC46" s="49">
        <v>236195</v>
      </c>
      <c r="AD46" s="49">
        <v>314934</v>
      </c>
      <c r="AE46" s="49">
        <v>509464</v>
      </c>
      <c r="AF46" s="49">
        <v>393808</v>
      </c>
      <c r="AG46" s="49">
        <v>1728095</v>
      </c>
      <c r="AH46" s="47"/>
      <c r="AI46" s="4"/>
      <c r="AJ46" s="4"/>
    </row>
    <row r="47" spans="2:36" ht="13.8">
      <c r="B47" s="5" t="s">
        <v>33</v>
      </c>
      <c r="C47" s="5"/>
      <c r="D47" s="47"/>
      <c r="E47" s="47"/>
      <c r="F47" s="47"/>
      <c r="G47" s="47"/>
      <c r="H47" s="47"/>
      <c r="I47" s="5"/>
      <c r="J47" s="48">
        <v>54</v>
      </c>
      <c r="K47" s="48">
        <v>24</v>
      </c>
      <c r="L47" s="48">
        <v>68</v>
      </c>
      <c r="M47" s="48">
        <v>90</v>
      </c>
      <c r="N47" s="48">
        <v>146</v>
      </c>
      <c r="O47" s="48">
        <v>113</v>
      </c>
      <c r="P47" s="5"/>
      <c r="Q47" s="47"/>
      <c r="R47" s="4"/>
      <c r="S47" s="4"/>
      <c r="T47" s="5"/>
      <c r="U47" s="47"/>
      <c r="V47" s="47"/>
      <c r="W47" s="47"/>
      <c r="X47" s="47"/>
      <c r="Y47" s="47"/>
      <c r="Z47" s="5"/>
      <c r="AA47" s="48">
        <v>54</v>
      </c>
      <c r="AB47" s="48">
        <v>24</v>
      </c>
      <c r="AC47" s="48">
        <v>68</v>
      </c>
      <c r="AD47" s="48">
        <v>90</v>
      </c>
      <c r="AE47" s="48">
        <v>146</v>
      </c>
      <c r="AF47" s="48">
        <v>113</v>
      </c>
      <c r="AG47" s="5"/>
      <c r="AH47" s="47"/>
      <c r="AI47" s="4"/>
      <c r="AJ47" s="4"/>
    </row>
    <row r="48" spans="2:36" ht="13.8">
      <c r="B48" s="5" t="s">
        <v>34</v>
      </c>
      <c r="C48" s="5"/>
      <c r="D48" s="47"/>
      <c r="E48" s="47"/>
      <c r="F48" s="47"/>
      <c r="G48" s="47"/>
      <c r="H48" s="47"/>
      <c r="I48" s="5"/>
      <c r="J48" s="48">
        <v>541</v>
      </c>
      <c r="K48" s="48">
        <v>241</v>
      </c>
      <c r="L48" s="48">
        <v>675</v>
      </c>
      <c r="M48" s="48">
        <v>900</v>
      </c>
      <c r="N48" s="49">
        <v>1456</v>
      </c>
      <c r="O48" s="49">
        <v>1125</v>
      </c>
      <c r="P48" s="5"/>
      <c r="Q48" s="47"/>
      <c r="R48" s="4"/>
      <c r="S48" s="4"/>
      <c r="T48" s="5"/>
      <c r="U48" s="47"/>
      <c r="V48" s="47"/>
      <c r="W48" s="47"/>
      <c r="X48" s="47"/>
      <c r="Y48" s="47"/>
      <c r="Z48" s="5"/>
      <c r="AA48" s="48">
        <v>541</v>
      </c>
      <c r="AB48" s="48">
        <v>241</v>
      </c>
      <c r="AC48" s="48">
        <v>675</v>
      </c>
      <c r="AD48" s="48">
        <v>900</v>
      </c>
      <c r="AE48" s="49">
        <v>1456</v>
      </c>
      <c r="AF48" s="49">
        <v>1125</v>
      </c>
      <c r="AG48" s="5"/>
      <c r="AH48" s="47"/>
      <c r="AI48" s="4"/>
      <c r="AJ48" s="4"/>
    </row>
    <row r="49" spans="2:36" ht="13.8">
      <c r="B49" s="50"/>
      <c r="C49" s="50"/>
      <c r="D49" s="50"/>
      <c r="E49" s="50"/>
      <c r="F49" s="50"/>
      <c r="G49" s="50"/>
      <c r="H49" s="50"/>
      <c r="I49" s="51"/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/>
      <c r="Q49" s="47"/>
      <c r="R49" s="4"/>
      <c r="S49" s="4"/>
      <c r="T49" s="50"/>
      <c r="U49" s="50"/>
      <c r="V49" s="50"/>
      <c r="W49" s="50"/>
      <c r="X49" s="50"/>
      <c r="Y49" s="50"/>
      <c r="Z49" s="51"/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/>
      <c r="AH49" s="47"/>
      <c r="AI49" s="4"/>
      <c r="AJ49" s="4"/>
    </row>
    <row r="50" spans="2:36" ht="14.4" thickBot="1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4"/>
      <c r="R50" s="4"/>
      <c r="S50" s="4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4"/>
      <c r="AI50" s="4"/>
      <c r="AJ50" s="4"/>
    </row>
    <row r="51" spans="2:36" ht="13.8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2:36" ht="13.8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2:36" ht="13.8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2:36" ht="13.8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2:36" ht="13.8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2:36" ht="13.8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2:36" ht="13.8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2:36" ht="13.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2:36" ht="13.8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2:36" ht="13.8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2:36" ht="13.8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2:36" ht="13.8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2:36" ht="13.8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2:36" ht="13.8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2:36" ht="13.8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2:36" ht="13.8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2:36" ht="13.8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2:36" ht="13.8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2:36" ht="13.8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2:36" ht="13.8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2:36" ht="13.8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2:36" ht="13.8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2:36" ht="13.8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2:36" ht="13.8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2:36" ht="13.8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2:36" ht="13.8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2:36" ht="13.8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2:36" ht="13.8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2:36" ht="13.8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2:36" ht="13.8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2:36" ht="13.8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2:36" ht="13.8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2:36" ht="13.8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2:36" ht="13.8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2:36" ht="13.8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2:36" ht="13.8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2:36" ht="13.8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2:36" ht="13.8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2:36" ht="13.8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2:36" ht="13.8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2:36" ht="13.8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2:36" ht="13.8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2:36" ht="13.8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2:36" ht="13.8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2:36" ht="13.8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2:36" ht="13.8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2:36" ht="13.8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2:36" ht="13.8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2:36" ht="13.8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2:36" ht="13.8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2:36" ht="13.8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2:36" ht="13.8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2:36" ht="13.8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2:36" ht="13.8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2:36" ht="13.8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2:36" ht="13.8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2:36" ht="13.8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2:36" ht="13.8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2:36" ht="13.8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2:36" ht="13.8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2:36" ht="13.8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2:36" ht="13.8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2:36" ht="13.8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2:36" ht="13.8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2:36" ht="13.8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2:36" ht="13.8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2:36" ht="13.8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2:36" ht="13.8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2:36" ht="13.8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2:36" ht="13.8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2:36" ht="13.8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2:36" ht="13.8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2:36" ht="13.8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2:36" ht="13.8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2:36" ht="13.8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2:36" ht="13.8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2:36" ht="13.8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2:36" ht="13.8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2:36" ht="13.8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2:36" ht="13.8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2:36" ht="13.8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2:36" ht="13.8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2:36" ht="13.8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2:36" ht="13.8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2:36" ht="13.8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2:36" ht="13.8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2:36" ht="13.8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2:36" ht="13.8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2:36" ht="13.8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2:36" ht="13.8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2:36" ht="13.8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2:36" ht="13.8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2:36" ht="13.8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2:36" ht="13.8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2:36" ht="13.8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2:36" ht="13.8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2:36" ht="13.8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2:36" ht="13.8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2:36" ht="13.8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2:36" ht="13.8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2:36" ht="13.8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2:36" ht="13.8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2:36" ht="13.8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2:36" ht="13.8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2:36" ht="13.8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2:36" ht="13.8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2:36" ht="13.8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2:36" ht="13.8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2:36" ht="13.8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2:36" ht="13.8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2:36" ht="13.8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2:36" ht="13.8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2:36" ht="13.8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2:36" ht="13.8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2:36" ht="13.8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2:36" ht="13.8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2:36" ht="13.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2:36" ht="13.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2:36" ht="13.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2:36" ht="13.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2:36" ht="13.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2:36" ht="13.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2:36" ht="13.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2:36" ht="13.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2:36" ht="13.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2:36" ht="13.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2:36" ht="13.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2:36" ht="13.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2:36" ht="13.8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2:36" ht="13.8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2:36" ht="13.8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2:36" ht="13.8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2:36" ht="13.8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2:36" ht="13.8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2:36" ht="13.8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2:36" ht="13.8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2:36" ht="13.8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2:36" ht="13.8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2:36" ht="13.8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2:36" ht="13.8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2:36" ht="13.8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2:36" ht="13.8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2:36" ht="13.8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2:36" ht="13.8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2:36" ht="13.8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2:36" ht="13.8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2:36" ht="13.8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2:36" ht="13.8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2:36" ht="13.8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2:36" ht="13.8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2:36" ht="13.8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2:36" ht="13.8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2:36" ht="13.8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2:36" ht="13.8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2:36" ht="13.8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2:36" ht="13.8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2:36" ht="13.8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2:36" ht="13.8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2:36" ht="13.8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2:36" ht="13.8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2:36" ht="13.8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2:36" ht="13.8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2:36" ht="13.8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2:36" ht="13.8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2:36" ht="13.8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2:36" ht="13.8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2:36" ht="13.8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2:36" ht="13.8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2:36" ht="13.8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2:36" ht="13.8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2:36" ht="13.8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2:36" ht="13.8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2:36" ht="13.8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2:36" ht="13.8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2:36" ht="13.8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2:36" ht="13.8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2:36" ht="13.8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2:36" ht="13.8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2:36" ht="13.8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2:36" ht="13.8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2:36" ht="13.8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2:36" ht="13.8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2:36" ht="13.8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2:36" ht="13.8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2:36" ht="13.8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2:36" ht="13.8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2:36" ht="13.8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2:36" ht="13.8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2:36" ht="13.8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2:36" ht="13.8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2:36" ht="13.8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2:36" ht="13.8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2:36" ht="13.8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2:36" ht="13.8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2:36" ht="13.8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2:36" ht="13.8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2:36" ht="13.8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2:36" ht="13.8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2:36" ht="13.8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2:36" ht="13.8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2:36" ht="13.8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2:36" ht="13.8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2:36" ht="13.8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2:36" ht="13.8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2:36" ht="13.8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2:36" ht="13.8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2:36" ht="13.8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2:36" ht="13.8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2:36" ht="13.8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2:36" ht="13.8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2:36" ht="13.8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2:36" ht="13.8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2:36" ht="13.8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2:36" ht="13.8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2:36" ht="13.8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2:36" ht="13.8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2:36" ht="13.8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2:36" ht="13.8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2:36" ht="13.8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2:36" ht="13.8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2:36" ht="13.8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2:36" ht="13.8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2:36" ht="13.8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2:36" ht="13.8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2:36" ht="13.8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2:36" ht="13.8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2:36" ht="13.8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2:36" ht="13.8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2:36" ht="13.8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2:36" ht="13.8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2:36" ht="13.8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2:36" ht="13.8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2:36" ht="13.8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2:36" ht="13.8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2:36" ht="13.8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2:36" ht="13.8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2:36" ht="13.8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2:36" ht="13.8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2:36" ht="13.8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2:36" ht="13.8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2:36" ht="13.8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2:36" ht="13.8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2:36" ht="13.8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2:36" ht="13.8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2:36" ht="13.8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2:36" ht="13.8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2:36" ht="13.8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2:36" ht="13.8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2:36" ht="13.8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2:36" ht="13.8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2:36" ht="13.8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2:36" ht="13.8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2:36" ht="13.8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2:36" ht="13.8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2:36" ht="13.8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2:36" ht="13.8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2:36" ht="13.8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2:36" ht="13.8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2:36" ht="13.8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2:36" ht="13.8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2:36" ht="13.8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2:36" ht="13.8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2:36" ht="13.8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2:36" ht="13.8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2:36" ht="13.8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2:36" ht="13.8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2:36" ht="13.8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2:36" ht="13.8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2:36" ht="13.8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2:36" ht="13.8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2:36" ht="13.8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2:36" ht="13.8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2:36" ht="13.8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2:36" ht="13.8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2:36" ht="13.8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2:36" ht="13.8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2:36" ht="13.8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2:36" ht="13.8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2:36" ht="13.8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2:36" ht="13.8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2:36" ht="13.8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2:36" ht="13.8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2:36" ht="13.8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2:36" ht="13.8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2:36" ht="13.8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2:36" ht="13.8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2:36" ht="13.8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2:36" ht="13.8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2:36" ht="13.8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2:36" ht="13.8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2:36" ht="13.8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2:36" ht="13.8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2:36" ht="13.8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2:36" ht="13.8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2:36" ht="13.8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2:36" ht="13.8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2:36" ht="13.8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2:36" ht="13.8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2:36" ht="13.8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2:36" ht="13.8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2:36" ht="13.8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2:36" ht="13.8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2:36" ht="13.8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2:36" ht="13.8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2:36" ht="13.8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2:36" ht="13.8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2:36" ht="13.8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2:36" ht="13.8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2:36" ht="13.8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2:36" ht="13.8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2:36" ht="13.8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2:36" ht="13.8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2:36" ht="13.8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2:36" ht="13.8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2:36" ht="13.8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2:36" ht="13.8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2:36" ht="13.8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2:36" ht="13.8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2:36" ht="13.8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2:36" ht="13.8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2:36" ht="13.8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2:36" ht="13.8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2:36" ht="13.8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2:36" ht="13.8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2:36" ht="13.8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2:36" ht="13.8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2:36" ht="13.8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2:36" ht="13.8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2:36" ht="13.8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2:36" ht="13.8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2:36" ht="13.8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2:36" ht="13.8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2:36" ht="13.8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2:36" ht="13.8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2:36" ht="13.8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2:36" ht="13.8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2:36" ht="13.8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2:36" ht="13.8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2:36" ht="13.8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2:36" ht="13.8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2:36" ht="13.8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2:36" ht="13.8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2:36" ht="13.8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2:36" ht="13.8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2:36" ht="13.8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2:36" ht="13.8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2:36" ht="13.8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2:36" ht="13.8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2:36" ht="13.8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2:36" ht="13.8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2:36" ht="13.8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2:36" ht="13.8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2:36" ht="13.8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2:36" ht="13.8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2:36" ht="13.8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2:36" ht="13.8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2:36" ht="13.8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2:36" ht="13.8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2:36" ht="13.8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2:36" ht="13.8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2:36" ht="13.8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2:36" ht="13.8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2:36" ht="13.8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2:36" ht="13.8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2:36" ht="13.8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2:36" ht="13.8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2:36" ht="13.8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2:36" ht="13.8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2:36" ht="13.8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2:36" ht="13.8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2:36" ht="13.8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2:36" ht="13.8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2:36" ht="13.8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2:36" ht="13.8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2:36" ht="13.8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2:36" ht="13.8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2:36" ht="13.8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2:36" ht="13.8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2:36" ht="13.8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2:36" ht="13.8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2:36" ht="13.8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2:36" ht="13.8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2:36" ht="13.8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2:36" ht="13.8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2:36" ht="13.8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2:36" ht="13.8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2:36" ht="13.8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2:36" ht="13.8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2:36" ht="13.8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2:36" ht="13.8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2:36" ht="13.8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2:36" ht="13.8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2:36" ht="13.8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2:36" ht="13.8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2:36" ht="13.8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2:36" ht="13.8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2:36" ht="13.8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2:36" ht="13.8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2:36" ht="13.8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2:36" ht="13.8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2:36" ht="13.8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2:36" ht="13.8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2:36" ht="13.8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2:36" ht="13.8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2:36" ht="13.8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2:36" ht="13.8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2:36" ht="13.8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2:36" ht="13.8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2:36" ht="13.8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2:36" ht="13.8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2:36" ht="13.8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2:36" ht="13.8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2:36" ht="13.8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2:36" ht="13.8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2:36" ht="13.8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2:36" ht="13.8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2:36" ht="13.8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2:36" ht="13.8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2:36" ht="13.8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2:36" ht="13.8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2:36" ht="13.8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2:36" ht="13.8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2:36" ht="13.8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2:36" ht="13.8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2:36" ht="13.8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2:36" ht="13.8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2:36" ht="13.8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2:36" ht="13.8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2:36" ht="13.8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2:36" ht="13.8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2:36" ht="13.8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2:36" ht="13.8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2:36" ht="13.8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2:36" ht="13.8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2:36" ht="13.8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2:36" ht="13.8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2:36" ht="13.8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2:36" ht="13.8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2:36" ht="13.8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2:36" ht="13.8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2:36" ht="13.8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2:36" ht="13.8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2:36" ht="13.8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2:36" ht="13.8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2:36" ht="13.8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2:36" ht="13.8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2:36" ht="13.8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2:36" ht="13.8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2:36" ht="13.8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2:36" ht="13.8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2:36" ht="13.8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2:36" ht="13.8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2:36" ht="13.8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2:36" ht="13.8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2:36" ht="13.8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2:36" ht="13.8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2:36" ht="13.8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2:36" ht="13.8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2:36" ht="13.8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2:36" ht="13.8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2:36" ht="13.8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2:36" ht="13.8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2:36" ht="13.8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2:36" ht="13.8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2:36" ht="13.8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2:36" ht="13.8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2:36" ht="13.8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2:36" ht="13.8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2:36" ht="13.8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2:36" ht="13.8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2:36" ht="13.8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2:36" ht="13.8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2:36" ht="13.8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2:36" ht="13.8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2:36" ht="13.8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2:36" ht="13.8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2:36" ht="13.8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2:36" ht="13.8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2:36" ht="13.8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2:36" ht="13.8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2:36" ht="13.8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2:36" ht="13.8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2:36" ht="13.8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2:36" ht="13.8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2:36" ht="13.8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2:36" ht="13.8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2:36" ht="13.8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2:36" ht="13.8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2:36" ht="13.8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2:36" ht="13.8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2:36" ht="13.8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2:36" ht="13.8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2:36" ht="13.8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2:36" ht="13.8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2:36" ht="13.8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2:36" ht="13.8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2:36" ht="13.8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2:36" ht="13.8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2:36" ht="13.8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2:36" ht="13.8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2:36" ht="13.8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2:36" ht="13.8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2:36" ht="13.8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2:36" ht="13.8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2:36" ht="13.8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2:36" ht="13.8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2:36" ht="13.8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2:36" ht="13.8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2:36" ht="13.8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2:36" ht="13.8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2:36" ht="13.8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2:36" ht="13.8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2:36" ht="13.8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2:36" ht="13.8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2:36" ht="13.8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2:36" ht="13.8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2:36" ht="13.8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2:36" ht="13.8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2:36" ht="13.8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2:36" ht="13.8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2:36" ht="13.8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2:36" ht="13.8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2:36" ht="13.8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2:36" ht="13.8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2:36" ht="13.8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2:36" ht="13.8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2:36" ht="13.8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2:36" ht="13.8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2:36" ht="13.8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2:36" ht="13.8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2:36" ht="13.8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2:36" ht="13.8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2:36" ht="13.8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2:36" ht="13.8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2:36" ht="13.8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2:36" ht="13.8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2:36" ht="13.8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2:36" ht="13.8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2:36" ht="13.8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2:36" ht="13.8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2:36" ht="13.8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2:36" ht="13.8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2:36" ht="13.8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2:36" ht="13.8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2:36" ht="13.8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2:36" ht="13.8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2:36" ht="13.8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2:36" ht="13.8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2:36" ht="13.8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2:36" ht="13.8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2:36" ht="13.8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2:36" ht="13.8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2:36" ht="13.8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2:36" ht="13.8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2:36" ht="13.8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2:36" ht="13.8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2:36" ht="13.8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2:36" ht="13.8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2:36" ht="13.8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2:36" ht="13.8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2:36" ht="13.8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2:36" ht="13.8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2:36" ht="13.8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2:36" ht="13.8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2:36" ht="13.8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2:36" ht="13.8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2:36" ht="13.8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2:36" ht="13.8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2:36" ht="13.8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2:36" ht="13.8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2:36" ht="13.8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2:36" ht="13.8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2:36" ht="13.8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2:36" ht="13.8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2:36" ht="13.8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2:36" ht="13.8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2:36" ht="13.8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2:36" ht="13.8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2:36" ht="13.8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2:36" ht="13.8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2:36" ht="13.8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2:36" ht="13.8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2:36" ht="13.8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2:36" ht="13.8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2:36" ht="13.8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2:36" ht="13.8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2:36" ht="13.8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2:36" ht="13.8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2:36" ht="13.8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2:36" ht="13.8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2:36" ht="13.8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2:36" ht="13.8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2:36" ht="13.8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2:36" ht="13.8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2:36" ht="13.8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2:36" ht="13.8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2:36" ht="13.8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2:36" ht="13.8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2:36" ht="13.8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2:36" ht="13.8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2:36" ht="13.8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2:36" ht="13.8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2:36" ht="13.8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2:36" ht="13.8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2:36" ht="13.8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2:36" ht="13.8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2:36" ht="13.8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2:36" ht="13.8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2:36" ht="13.8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2:36" ht="13.8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2:36" ht="13.8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2:36" ht="13.8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2:36" ht="13.8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2:36" ht="13.8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2:36" ht="13.8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2:36" ht="13.8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2:36" ht="13.8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2:36" ht="13.8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2:36" ht="13.8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2:36" ht="13.8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2:36" ht="13.8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2:36" ht="13.8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2:36" ht="13.8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2:36" ht="13.8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2:36" ht="13.8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2:36" ht="13.8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2:36" ht="13.8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2:36" ht="13.8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2:36" ht="13.8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2:36" ht="13.8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2:36" ht="13.8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2:36" ht="13.8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2:36" ht="13.8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2:36" ht="13.8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2:36" ht="13.8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2:36" ht="13.8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2:36" ht="13.8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2:36" ht="13.8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2:36" ht="13.8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2:36" ht="13.8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2:36" ht="13.8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2:36" ht="13.8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2:36" ht="13.8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2:36" ht="13.8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2:36" ht="13.8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2:36" ht="13.8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2:36" ht="13.8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2:36" ht="13.8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2:36" ht="13.8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2:36" ht="13.8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2:36" ht="13.8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2:36" ht="13.8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2:36" ht="13.8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2:36" ht="13.8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2:36" ht="13.8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2:36" ht="13.8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2:36" ht="13.8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2:36" ht="13.8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2:36" ht="13.8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2:36" ht="13.8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2:36" ht="13.8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2:36" ht="13.8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2:36" ht="13.8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2:36" ht="13.8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2:36" ht="13.8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2:36" ht="13.8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2:36" ht="13.8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2:36" ht="13.8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2:36" ht="13.8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2:36" ht="13.8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2:36" ht="13.8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2:36" ht="13.8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2:36" ht="13.8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2:36" ht="13.8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2:36" ht="13.8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2:36" ht="13.8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2:36" ht="13.8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2:36" ht="13.8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2:36" ht="13.8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2:36" ht="13.8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2:36" ht="13.8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2:36" ht="13.8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2:36" ht="13.8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2:36" ht="13.8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2:36" ht="13.8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2:36" ht="13.8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2:36" ht="13.8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2:36" ht="13.8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2:36" ht="13.8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2:36" ht="13.8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2:36" ht="13.8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2:36" ht="13.8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2:36" ht="13.8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2:36" ht="13.8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2:36" ht="13.8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2:36" ht="13.8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2:36" ht="13.8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2:36" ht="13.8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2:36" ht="13.8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2:36" ht="13.8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2:36" ht="13.8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2:36" ht="13.8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2:36" ht="13.8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2:36" ht="13.8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2:36" ht="13.8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2:36" ht="13.8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2:36" ht="13.8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2:36" ht="13.8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2:36" ht="13.8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2:36" ht="13.8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2:36" ht="13.8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2:36" ht="13.8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2:36" ht="13.8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2:36" ht="13.8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2:36" ht="13.8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2:36" ht="13.8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2:36" ht="13.8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2:36" ht="13.8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2:36" ht="13.8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2:36" ht="13.8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2:36" ht="13.8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2:36" ht="13.8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2:36" ht="13.8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2:36" ht="13.8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2:36" ht="13.8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2:36" ht="13.8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2:36" ht="13.8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2:36" ht="13.8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2:36" ht="13.8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2:36" ht="13.8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2:36" ht="13.8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2:36" ht="13.8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2:36" ht="13.8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2:36" ht="13.8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2:36" ht="13.8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2:36" ht="13.8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2:36" ht="13.8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2:36" ht="13.8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2:36" ht="13.8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2:36" ht="13.8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2:36" ht="13.8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2:36" ht="13.8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2:36" ht="13.8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2:36" ht="13.8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2:36" ht="13.8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2:36" ht="13.8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2:36" ht="13.8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2:36" ht="13.8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2:36" ht="13.8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2:36" ht="13.8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2:36" ht="13.8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2:36" ht="13.8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2:36" ht="13.8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2:36" ht="13.8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2:36" ht="13.8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2:36" ht="13.8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2:36" ht="13.8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2:36" ht="13.8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2:36" ht="13.8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2:36" ht="13.8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2:36" ht="13.8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2:36" ht="13.8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2:36" ht="13.8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2:36" ht="13.8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2:36" ht="13.8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2:36" ht="13.8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2:36" ht="13.8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2:36" ht="13.8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2:36" ht="13.8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2:36" ht="13.8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2:36" ht="13.8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2:36" ht="13.8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2:36" ht="13.8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2:36" ht="13.8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2:36" ht="13.8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2:36" ht="13.8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2:36" ht="13.8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2:36" ht="13.8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2:36" ht="13.8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2:36" ht="13.8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2:36" ht="13.8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2:36" ht="13.8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2:36" ht="13.8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2:36" ht="13.8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2:36" ht="13.8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2:36" ht="13.8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2:36" ht="13.8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2:36" ht="13.8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2:36" ht="13.8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2:36" ht="13.8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2:36" ht="13.8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2:36" ht="13.8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2:36" ht="13.8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2:36" ht="13.8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2:36" ht="13.8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2:36" ht="13.8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2:36" ht="13.8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2:36" ht="13.8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2:36" ht="13.8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2:36" ht="13.8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2:36" ht="13.8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2:36" ht="13.8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2:36" ht="13.8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2:36" ht="13.8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2:36" ht="13.8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2:36" ht="13.8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2:36" ht="13.8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2:36" ht="13.8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2:36" ht="13.8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2:36" ht="13.8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2:36" ht="13.8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2:36" ht="13.8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2:36" ht="13.8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2:36" ht="13.8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2:36" ht="13.8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2:36" ht="13.8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2:36" ht="13.8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2:36" ht="13.8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2:36" ht="13.8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2:36" ht="13.8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2:36" ht="13.8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2:36" ht="13.8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2:36" ht="13.8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2:36" ht="13.8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2:36" ht="13.8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2:36" ht="13.8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2:36" ht="13.8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2:36" ht="13.8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2:36" ht="13.8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2:36" ht="13.8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2:36" ht="13.8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2:36" ht="13.8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2:36" ht="13.8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2:36" ht="13.8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2:36" ht="13.8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2:36" ht="13.8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2:36" ht="13.8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2:36" ht="13.8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2:36" ht="13.8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2:36" ht="13.8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2:36" ht="13.8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2:36" ht="13.8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2:36" ht="13.8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2:36" ht="13.8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2:36" ht="13.8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2:36" ht="13.8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2:36" ht="13.8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2:36" ht="13.8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2:36" ht="13.8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2:36" ht="13.8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2:36" ht="13.8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2:36" ht="13.8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2:36" ht="13.8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2:36" ht="13.8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2:36" ht="13.8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2:36" ht="13.8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2:36" ht="13.8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2:36" ht="13.8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2:36" ht="13.8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2:36" ht="13.8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2:36" ht="13.8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2:36" ht="13.8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2:36" ht="13.8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2:36" ht="13.8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2:36" ht="13.8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2:36" ht="13.8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2:36" ht="13.8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2:36" ht="13.8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2:36" ht="13.8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2:36" ht="13.8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2:36" ht="13.8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2:36" ht="13.8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2:36" ht="13.8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2:36" ht="13.8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2:36" ht="13.8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2:36" ht="13.8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2:36" ht="13.8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2:36" ht="13.8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2:36" ht="13.8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2:36" ht="13.8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2:36" ht="13.8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2:36" ht="13.8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2:36" ht="13.8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2:36" ht="13.8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2:36" ht="13.8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2:36" ht="13.8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2:36" ht="13.8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2:36" ht="13.8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2:36" ht="13.8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2:36" ht="13.8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2:36" ht="13.8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2:36" ht="13.8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2:36" ht="13.8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</sheetData>
  <mergeCells count="9">
    <mergeCell ref="AJ5:AJ6"/>
    <mergeCell ref="B5:B6"/>
    <mergeCell ref="AH5:AH6"/>
    <mergeCell ref="AI5:AI6"/>
    <mergeCell ref="U5:AF5"/>
    <mergeCell ref="Q5:Q6"/>
    <mergeCell ref="R5:R6"/>
    <mergeCell ref="D5:O5"/>
    <mergeCell ref="S5:S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7" sqref="E27"/>
    </sheetView>
  </sheetViews>
  <sheetFormatPr baseColWidth="10" defaultColWidth="11.5546875" defaultRowHeight="13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outlinePr summaryBelow="0" summaryRight="0"/>
  </sheetPr>
  <dimension ref="B1:AJ985"/>
  <sheetViews>
    <sheetView showGridLines="0" zoomScale="65" zoomScaleNormal="65" workbookViewId="0">
      <selection activeCell="A51" sqref="A51:XFD79"/>
    </sheetView>
  </sheetViews>
  <sheetFormatPr baseColWidth="10" defaultColWidth="12.6640625" defaultRowHeight="15.75" customHeight="1"/>
  <cols>
    <col min="2" max="2" width="45.6640625" style="58" customWidth="1"/>
    <col min="3" max="3" width="2.6640625" style="58" customWidth="1"/>
    <col min="4" max="8" width="0" style="58" hidden="1" customWidth="1"/>
    <col min="9" max="9" width="12.109375" style="58" hidden="1" customWidth="1"/>
    <col min="10" max="10" width="16.88671875" style="58" hidden="1" customWidth="1"/>
    <col min="11" max="11" width="12.6640625" style="58" hidden="1" customWidth="1"/>
    <col min="12" max="15" width="13.88671875" style="58" hidden="1" customWidth="1"/>
    <col min="16" max="19" width="0" style="58" hidden="1" customWidth="1"/>
    <col min="20" max="20" width="2.88671875" style="58" customWidth="1"/>
    <col min="21" max="25" width="12.6640625" style="58"/>
    <col min="26" max="26" width="12.109375" style="58" customWidth="1"/>
    <col min="27" max="27" width="16.88671875" style="58" bestFit="1" customWidth="1"/>
    <col min="28" max="28" width="12.6640625" style="58" bestFit="1" customWidth="1"/>
    <col min="29" max="31" width="13.88671875" style="58" bestFit="1" customWidth="1"/>
    <col min="32" max="32" width="14.88671875" style="58" bestFit="1" customWidth="1"/>
    <col min="33" max="36" width="12.6640625" style="58"/>
  </cols>
  <sheetData>
    <row r="1" spans="2:36" ht="15.75" customHeight="1">
      <c r="B1" s="4"/>
      <c r="C1" s="4"/>
      <c r="D1" s="4"/>
      <c r="E1" s="4"/>
      <c r="F1" s="4"/>
      <c r="G1" s="4"/>
      <c r="H1" s="5"/>
      <c r="I1" s="6">
        <v>44348</v>
      </c>
      <c r="J1" s="6">
        <v>44378</v>
      </c>
      <c r="K1" s="7" t="s">
        <v>0</v>
      </c>
      <c r="L1" s="6">
        <v>44440</v>
      </c>
      <c r="M1" s="6">
        <v>44470</v>
      </c>
      <c r="N1" s="6">
        <v>44501</v>
      </c>
      <c r="O1" s="7" t="s">
        <v>1</v>
      </c>
      <c r="P1" s="4"/>
      <c r="Q1" s="4"/>
      <c r="R1" s="4"/>
      <c r="S1" s="4"/>
      <c r="T1" s="4"/>
      <c r="U1" s="4"/>
      <c r="V1" s="4"/>
      <c r="W1" s="4"/>
      <c r="X1" s="4"/>
      <c r="Y1" s="5"/>
      <c r="Z1" s="6">
        <v>44348</v>
      </c>
      <c r="AA1" s="6">
        <v>44378</v>
      </c>
      <c r="AB1" s="7" t="s">
        <v>0</v>
      </c>
      <c r="AC1" s="6">
        <v>44440</v>
      </c>
      <c r="AD1" s="6">
        <v>44470</v>
      </c>
      <c r="AE1" s="6">
        <v>44501</v>
      </c>
      <c r="AF1" s="7" t="s">
        <v>1</v>
      </c>
      <c r="AG1" s="4"/>
      <c r="AH1" s="4"/>
      <c r="AI1" s="4"/>
      <c r="AJ1" s="4"/>
    </row>
    <row r="2" spans="2:36" ht="7.95" customHeight="1"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4"/>
      <c r="AH2" s="4"/>
      <c r="AI2" s="4"/>
      <c r="AJ2" s="4"/>
    </row>
    <row r="3" spans="2:36" ht="38.4" customHeight="1">
      <c r="B3" s="193" t="s">
        <v>103</v>
      </c>
      <c r="C3" s="171"/>
      <c r="D3" s="171"/>
      <c r="E3" s="171"/>
      <c r="F3" s="4"/>
      <c r="G3" s="4"/>
      <c r="H3" s="5"/>
      <c r="I3" s="9">
        <v>187</v>
      </c>
      <c r="J3" s="9">
        <v>249</v>
      </c>
      <c r="K3" s="9">
        <v>41</v>
      </c>
      <c r="L3" s="9">
        <v>171</v>
      </c>
      <c r="M3" s="9">
        <v>181</v>
      </c>
      <c r="N3" s="9">
        <v>419</v>
      </c>
      <c r="O3" s="9">
        <v>291</v>
      </c>
      <c r="P3" s="4"/>
      <c r="Q3" s="4"/>
      <c r="R3" s="4"/>
      <c r="S3" s="4"/>
      <c r="T3" s="171"/>
      <c r="U3" s="193"/>
      <c r="V3" s="193"/>
      <c r="W3" s="4"/>
      <c r="X3" s="4"/>
      <c r="Y3" s="5"/>
      <c r="Z3" s="9">
        <v>187</v>
      </c>
      <c r="AA3" s="9">
        <v>249</v>
      </c>
      <c r="AB3" s="9">
        <v>41</v>
      </c>
      <c r="AC3" s="9">
        <v>171</v>
      </c>
      <c r="AD3" s="9">
        <v>181</v>
      </c>
      <c r="AE3" s="9">
        <v>419</v>
      </c>
      <c r="AF3" s="9">
        <v>291</v>
      </c>
      <c r="AG3" s="4"/>
      <c r="AH3" s="4"/>
      <c r="AI3" s="4"/>
      <c r="AJ3" s="4"/>
    </row>
    <row r="4" spans="2:36" ht="33.75" customHeight="1">
      <c r="B4" s="171"/>
      <c r="C4" s="171"/>
      <c r="D4" s="182"/>
      <c r="E4" s="183"/>
      <c r="F4" s="183"/>
      <c r="G4" s="183"/>
      <c r="H4" s="183"/>
      <c r="I4" s="183"/>
      <c r="J4" s="183">
        <v>2022</v>
      </c>
      <c r="K4" s="183"/>
      <c r="L4" s="183"/>
      <c r="M4" s="183"/>
      <c r="N4" s="183"/>
      <c r="O4" s="184"/>
      <c r="P4" s="4"/>
      <c r="Q4" s="4"/>
      <c r="R4" s="4"/>
      <c r="S4" s="4"/>
      <c r="T4" s="171"/>
      <c r="U4" s="182"/>
      <c r="V4" s="183"/>
      <c r="W4" s="183"/>
      <c r="X4" s="183"/>
      <c r="Y4" s="183"/>
      <c r="Z4" s="183"/>
      <c r="AA4" s="183">
        <v>2023</v>
      </c>
      <c r="AB4" s="183"/>
      <c r="AC4" s="183"/>
      <c r="AD4" s="183"/>
      <c r="AE4" s="183"/>
      <c r="AF4" s="184"/>
      <c r="AG4" s="4"/>
      <c r="AH4" s="4"/>
      <c r="AI4" s="4"/>
      <c r="AJ4" s="4"/>
    </row>
    <row r="5" spans="2:36" ht="15.75" customHeight="1">
      <c r="B5" s="306" t="s">
        <v>2</v>
      </c>
      <c r="C5" s="171"/>
      <c r="D5" s="307" t="s">
        <v>3</v>
      </c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4"/>
      <c r="Q5" s="305" t="s">
        <v>5</v>
      </c>
      <c r="R5" s="305" t="s">
        <v>6</v>
      </c>
      <c r="S5" s="305" t="s">
        <v>7</v>
      </c>
      <c r="T5" s="171"/>
      <c r="U5" s="307" t="s">
        <v>4</v>
      </c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4"/>
      <c r="AH5" s="305" t="s">
        <v>5</v>
      </c>
      <c r="AI5" s="305" t="s">
        <v>6</v>
      </c>
      <c r="AJ5" s="305" t="s">
        <v>115</v>
      </c>
    </row>
    <row r="6" spans="2:36" ht="15.75" customHeight="1">
      <c r="B6" s="306"/>
      <c r="C6" s="171"/>
      <c r="D6" s="10" t="s">
        <v>8</v>
      </c>
      <c r="E6" s="11">
        <v>44593</v>
      </c>
      <c r="F6" s="11">
        <v>44621</v>
      </c>
      <c r="G6" s="10" t="s">
        <v>9</v>
      </c>
      <c r="H6" s="11">
        <v>44682</v>
      </c>
      <c r="I6" s="11">
        <v>44713</v>
      </c>
      <c r="J6" s="11">
        <v>44743</v>
      </c>
      <c r="K6" s="11" t="s">
        <v>10</v>
      </c>
      <c r="L6" s="11">
        <v>44805</v>
      </c>
      <c r="M6" s="11">
        <v>44835</v>
      </c>
      <c r="N6" s="11">
        <v>44866</v>
      </c>
      <c r="O6" s="11" t="s">
        <v>12</v>
      </c>
      <c r="P6" s="4"/>
      <c r="Q6" s="305"/>
      <c r="R6" s="305"/>
      <c r="S6" s="305"/>
      <c r="T6" s="171"/>
      <c r="U6" s="10" t="s">
        <v>111</v>
      </c>
      <c r="V6" s="11">
        <v>44958</v>
      </c>
      <c r="W6" s="11">
        <v>44986</v>
      </c>
      <c r="X6" s="10" t="s">
        <v>112</v>
      </c>
      <c r="Y6" s="11">
        <v>45047</v>
      </c>
      <c r="Z6" s="11">
        <v>45078</v>
      </c>
      <c r="AA6" s="11">
        <v>45108</v>
      </c>
      <c r="AB6" s="11" t="s">
        <v>113</v>
      </c>
      <c r="AC6" s="11">
        <v>45170</v>
      </c>
      <c r="AD6" s="11">
        <v>45200</v>
      </c>
      <c r="AE6" s="11">
        <v>45231</v>
      </c>
      <c r="AF6" s="11" t="s">
        <v>114</v>
      </c>
      <c r="AG6" s="4"/>
      <c r="AH6" s="305"/>
      <c r="AI6" s="305"/>
      <c r="AJ6" s="305"/>
    </row>
    <row r="7" spans="2:36" ht="15.75" customHeight="1">
      <c r="B7" s="4"/>
      <c r="C7" s="171"/>
      <c r="D7" s="46"/>
      <c r="E7" s="46"/>
      <c r="F7" s="46"/>
      <c r="G7" s="126">
        <v>103514</v>
      </c>
      <c r="H7" s="46"/>
      <c r="I7" s="128">
        <v>0.3</v>
      </c>
      <c r="J7" s="128">
        <v>0.7</v>
      </c>
      <c r="K7" s="131">
        <v>19950.150000000001</v>
      </c>
      <c r="L7" s="132">
        <v>47154.9</v>
      </c>
      <c r="M7" s="132">
        <v>54409.5</v>
      </c>
      <c r="N7" s="132">
        <v>72546</v>
      </c>
      <c r="O7" s="132">
        <v>58036.800000000003</v>
      </c>
      <c r="P7" s="4"/>
      <c r="Q7" s="4"/>
      <c r="R7" s="4"/>
      <c r="S7" s="4"/>
      <c r="T7" s="171"/>
      <c r="U7" s="203"/>
      <c r="V7" s="203"/>
      <c r="W7" s="203"/>
      <c r="X7" s="204"/>
      <c r="Y7" s="203"/>
      <c r="Z7" s="205"/>
      <c r="AA7" s="205"/>
      <c r="AB7" s="206"/>
      <c r="AC7" s="207"/>
      <c r="AD7" s="207"/>
      <c r="AE7" s="207"/>
      <c r="AF7" s="207"/>
      <c r="AG7" s="4"/>
      <c r="AH7" s="4"/>
      <c r="AI7" s="4"/>
      <c r="AJ7" s="4"/>
    </row>
    <row r="8" spans="2:36" ht="15.75" customHeight="1">
      <c r="B8" s="4"/>
      <c r="C8" s="171"/>
      <c r="D8" s="130">
        <f>D11/D9</f>
        <v>0.47867444001227372</v>
      </c>
      <c r="E8" s="130">
        <f t="shared" ref="E8:J8" si="0">E11/E9</f>
        <v>0.69290446797666916</v>
      </c>
      <c r="F8" s="130">
        <f t="shared" si="0"/>
        <v>0.67732527996681879</v>
      </c>
      <c r="G8" s="130">
        <f t="shared" si="0"/>
        <v>0.65789520222116116</v>
      </c>
      <c r="H8" s="130">
        <f t="shared" si="0"/>
        <v>0.72806134232528064</v>
      </c>
      <c r="I8" s="130">
        <f t="shared" si="0"/>
        <v>0.59931722119865616</v>
      </c>
      <c r="J8" s="130">
        <f t="shared" si="0"/>
        <v>0.45547217425952979</v>
      </c>
      <c r="K8" s="131">
        <v>19950.150000000001</v>
      </c>
      <c r="L8" s="132">
        <v>36701.192000000003</v>
      </c>
      <c r="M8" s="132">
        <v>55051.787999999993</v>
      </c>
      <c r="N8" s="132">
        <v>68814.735000000001</v>
      </c>
      <c r="O8" s="132">
        <v>41288.841</v>
      </c>
      <c r="P8" s="4"/>
      <c r="Q8" s="4"/>
      <c r="R8" s="4"/>
      <c r="S8" s="4"/>
      <c r="T8" s="171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4"/>
      <c r="AH8" s="4"/>
      <c r="AI8" s="4"/>
      <c r="AJ8" s="4"/>
    </row>
    <row r="9" spans="2:36" ht="15.75" customHeight="1">
      <c r="B9" s="16" t="s">
        <v>13</v>
      </c>
      <c r="C9" s="171"/>
      <c r="D9" s="59">
        <f t="shared" ref="D9:I9" si="1">SUM(D10:D11)</f>
        <v>26072</v>
      </c>
      <c r="E9" s="59">
        <f t="shared" si="1"/>
        <v>52977</v>
      </c>
      <c r="F9" s="59">
        <f t="shared" si="1"/>
        <v>77152</v>
      </c>
      <c r="G9" s="59">
        <f t="shared" si="1"/>
        <v>56547</v>
      </c>
      <c r="H9" s="59">
        <f t="shared" si="1"/>
        <v>108245</v>
      </c>
      <c r="I9" s="59">
        <f t="shared" si="1"/>
        <v>92270</v>
      </c>
      <c r="J9" s="59">
        <f>SUM(J10:J11)</f>
        <v>30116</v>
      </c>
      <c r="K9" s="59">
        <f>SUM(K10:K12)</f>
        <v>18129.940000000002</v>
      </c>
      <c r="L9" s="59">
        <f t="shared" ref="L9:O9" si="2">SUM(L10:L12)</f>
        <v>36802.340000000004</v>
      </c>
      <c r="M9" s="59">
        <f t="shared" si="2"/>
        <v>54056.85</v>
      </c>
      <c r="N9" s="59">
        <f t="shared" si="2"/>
        <v>78036.490000000005</v>
      </c>
      <c r="O9" s="59">
        <f t="shared" si="2"/>
        <v>44149.69</v>
      </c>
      <c r="P9" s="4"/>
      <c r="Q9" s="59">
        <f>SUM(D9:I9)</f>
        <v>413263</v>
      </c>
      <c r="R9" s="123">
        <f>SUM(J9:O9)</f>
        <v>261291.31</v>
      </c>
      <c r="S9" s="181">
        <f>SUM(Q9+R9)</f>
        <v>674554.31</v>
      </c>
      <c r="T9" s="171"/>
      <c r="U9" s="76">
        <f>SUM(U10:U12)</f>
        <v>43765.377500000002</v>
      </c>
      <c r="V9" s="76">
        <f t="shared" ref="V9:X9" si="3">SUM(V10:V12)</f>
        <v>40760.990999999995</v>
      </c>
      <c r="W9" s="76">
        <f t="shared" si="3"/>
        <v>43196.690999999992</v>
      </c>
      <c r="X9" s="76">
        <f t="shared" si="3"/>
        <v>46922.690999999992</v>
      </c>
      <c r="Y9" s="76">
        <f>SUM(Y10:Y12)</f>
        <v>52649.690999999992</v>
      </c>
      <c r="Z9" s="76">
        <f t="shared" ref="Z9:AE9" si="4">SUM(Z10:Z12)</f>
        <v>51522.690999999992</v>
      </c>
      <c r="AA9" s="76">
        <f t="shared" si="4"/>
        <v>46922.690999999992</v>
      </c>
      <c r="AB9" s="76">
        <f t="shared" si="4"/>
        <v>20849.431</v>
      </c>
      <c r="AC9" s="76">
        <f t="shared" si="4"/>
        <v>46922.690999999992</v>
      </c>
      <c r="AD9" s="76">
        <f t="shared" si="4"/>
        <v>63345.632849999995</v>
      </c>
      <c r="AE9" s="76">
        <f t="shared" si="4"/>
        <v>85516.604347500004</v>
      </c>
      <c r="AF9" s="76">
        <f>SUM(AF10:AF12)</f>
        <v>71263</v>
      </c>
      <c r="AG9" s="4"/>
      <c r="AH9" s="59">
        <f>SUM(U9:Z9)</f>
        <v>278818.13249999995</v>
      </c>
      <c r="AI9" s="123">
        <f>SUM(AA9:AF9)</f>
        <v>334820.05019749998</v>
      </c>
      <c r="AJ9" s="181">
        <f>SUM(AH9+AI9)</f>
        <v>613638.18269749987</v>
      </c>
    </row>
    <row r="10" spans="2:36" ht="15.75" customHeight="1">
      <c r="B10" s="4" t="s">
        <v>152</v>
      </c>
      <c r="C10" s="171"/>
      <c r="D10" s="19">
        <v>13592</v>
      </c>
      <c r="E10" s="19">
        <v>16269</v>
      </c>
      <c r="F10" s="19">
        <v>24895</v>
      </c>
      <c r="G10" s="19">
        <v>19345</v>
      </c>
      <c r="H10" s="19">
        <v>29436</v>
      </c>
      <c r="I10" s="19">
        <v>36971</v>
      </c>
      <c r="J10" s="19">
        <v>16399</v>
      </c>
      <c r="K10" s="19">
        <v>2238.42</v>
      </c>
      <c r="L10" s="19">
        <v>3553.33</v>
      </c>
      <c r="M10" s="19">
        <v>1914.09</v>
      </c>
      <c r="N10" s="19">
        <v>903.02</v>
      </c>
      <c r="O10" s="19"/>
      <c r="P10" s="4"/>
      <c r="Q10" s="19">
        <f>SUM(D10:I10)</f>
        <v>140508</v>
      </c>
      <c r="R10" s="20">
        <f>SUM(J10:O10)</f>
        <v>25007.86</v>
      </c>
      <c r="S10" s="21">
        <f t="shared" ref="S10" si="5">SUM(Q10+R10)</f>
        <v>165515.85999999999</v>
      </c>
      <c r="T10" s="171"/>
      <c r="U10" s="81"/>
      <c r="V10" s="81">
        <v>2238.42</v>
      </c>
      <c r="W10" s="81">
        <v>2238.42</v>
      </c>
      <c r="X10" s="81">
        <v>2238.42</v>
      </c>
      <c r="Y10" s="81">
        <v>2238.42</v>
      </c>
      <c r="Z10" s="81">
        <v>2238.42</v>
      </c>
      <c r="AA10" s="81">
        <v>2238.42</v>
      </c>
      <c r="AB10" s="81"/>
      <c r="AC10" s="81">
        <v>2238.42</v>
      </c>
      <c r="AD10" s="81">
        <v>2238.42</v>
      </c>
      <c r="AE10" s="81">
        <v>2238.42</v>
      </c>
      <c r="AF10" s="20"/>
      <c r="AG10" s="4"/>
      <c r="AH10" s="19"/>
      <c r="AI10" s="20"/>
      <c r="AJ10" s="21"/>
    </row>
    <row r="11" spans="2:36" ht="15.75" customHeight="1">
      <c r="B11" s="4" t="s">
        <v>36</v>
      </c>
      <c r="C11" s="171"/>
      <c r="D11" s="19">
        <v>12480</v>
      </c>
      <c r="E11" s="19">
        <v>36708</v>
      </c>
      <c r="F11" s="19">
        <v>52257</v>
      </c>
      <c r="G11" s="19">
        <v>37202</v>
      </c>
      <c r="H11" s="19">
        <v>78809</v>
      </c>
      <c r="I11" s="19">
        <v>55299</v>
      </c>
      <c r="J11" s="19">
        <v>13717</v>
      </c>
      <c r="K11" s="19">
        <v>15891.52</v>
      </c>
      <c r="L11" s="19">
        <v>33249.01</v>
      </c>
      <c r="M11" s="19">
        <v>52142.76</v>
      </c>
      <c r="N11" s="19">
        <v>77133.47</v>
      </c>
      <c r="O11" s="19">
        <v>44149.69</v>
      </c>
      <c r="P11" s="4"/>
      <c r="Q11" s="19">
        <f>SUM(D11:I11)</f>
        <v>272755</v>
      </c>
      <c r="R11" s="20">
        <f>SUM(J11:O11)</f>
        <v>236283.45</v>
      </c>
      <c r="S11" s="21">
        <f>SUM(Q11+R11)</f>
        <v>509038.45</v>
      </c>
      <c r="T11" s="171"/>
      <c r="U11" s="81">
        <v>43765.377500000002</v>
      </c>
      <c r="V11" s="81">
        <v>38522.570999999996</v>
      </c>
      <c r="W11" s="81">
        <v>40958.270999999993</v>
      </c>
      <c r="X11" s="81">
        <v>44684.270999999993</v>
      </c>
      <c r="Y11" s="81">
        <v>50411.270999999993</v>
      </c>
      <c r="Z11" s="81">
        <v>49284.270999999993</v>
      </c>
      <c r="AA11" s="81">
        <v>44684.270999999993</v>
      </c>
      <c r="AB11" s="81">
        <v>20849.431</v>
      </c>
      <c r="AC11" s="81">
        <v>44684.270999999993</v>
      </c>
      <c r="AD11" s="81">
        <v>61107.212849999996</v>
      </c>
      <c r="AE11" s="81">
        <v>83278.184347500006</v>
      </c>
      <c r="AF11" s="81">
        <v>71263</v>
      </c>
      <c r="AG11" s="4"/>
      <c r="AH11" s="19"/>
      <c r="AI11" s="20"/>
      <c r="AJ11" s="21"/>
    </row>
    <row r="12" spans="2:36" ht="15.75" customHeight="1">
      <c r="B12" s="4" t="s">
        <v>47</v>
      </c>
      <c r="C12" s="171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2"/>
      <c r="Q12" s="19">
        <f>SUM(D12:I12)</f>
        <v>0</v>
      </c>
      <c r="R12" s="20">
        <f>SUM(J12:O12)</f>
        <v>0</v>
      </c>
      <c r="S12" s="21">
        <f t="shared" ref="S12" si="6">SUM(Q12+R12)</f>
        <v>0</v>
      </c>
      <c r="T12" s="171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20"/>
      <c r="AG12" s="22"/>
      <c r="AH12" s="19"/>
      <c r="AI12" s="20"/>
      <c r="AJ12" s="21"/>
    </row>
    <row r="13" spans="2:36" ht="15.75" customHeight="1">
      <c r="B13" s="4"/>
      <c r="C13" s="171"/>
      <c r="D13" s="137"/>
      <c r="E13" s="137"/>
      <c r="F13" s="137"/>
      <c r="G13" s="138"/>
      <c r="H13" s="137"/>
      <c r="I13" s="128"/>
      <c r="J13" s="128"/>
      <c r="K13" s="165"/>
      <c r="L13" s="166"/>
      <c r="M13" s="166"/>
      <c r="N13" s="166"/>
      <c r="O13" s="166"/>
      <c r="P13" s="22"/>
      <c r="Q13" s="22"/>
      <c r="R13" s="22"/>
      <c r="S13" s="22"/>
      <c r="T13" s="171"/>
      <c r="U13" s="166"/>
      <c r="V13" s="166"/>
      <c r="W13" s="128"/>
      <c r="X13" s="84"/>
      <c r="Y13" s="84"/>
      <c r="Z13" s="84"/>
      <c r="AA13" s="84"/>
      <c r="AB13" s="84"/>
      <c r="AC13" s="84"/>
      <c r="AD13" s="84"/>
      <c r="AE13" s="84"/>
      <c r="AF13" s="166"/>
      <c r="AG13" s="22"/>
      <c r="AH13" s="22"/>
      <c r="AI13" s="22"/>
      <c r="AJ13" s="22"/>
    </row>
    <row r="14" spans="2:36" ht="15.75" customHeight="1">
      <c r="B14" s="16" t="s">
        <v>35</v>
      </c>
      <c r="C14" s="171"/>
      <c r="D14" s="10">
        <f>SUM(D15:D16)</f>
        <v>470</v>
      </c>
      <c r="E14" s="10">
        <f t="shared" ref="E14:I14" si="7">SUM(E15:E16)</f>
        <v>919</v>
      </c>
      <c r="F14" s="10">
        <f t="shared" si="7"/>
        <v>1102</v>
      </c>
      <c r="G14" s="10">
        <f t="shared" si="7"/>
        <v>546</v>
      </c>
      <c r="H14" s="10">
        <f t="shared" si="7"/>
        <v>744</v>
      </c>
      <c r="I14" s="10">
        <f t="shared" si="7"/>
        <v>720</v>
      </c>
      <c r="J14" s="10">
        <f>SUM(J15:J16)</f>
        <v>428</v>
      </c>
      <c r="K14" s="10">
        <f>SUM(K15:K17)</f>
        <v>288</v>
      </c>
      <c r="L14" s="10">
        <f t="shared" ref="L14:M14" si="8">SUM(L15:L17)</f>
        <v>476</v>
      </c>
      <c r="M14" s="10">
        <f t="shared" si="8"/>
        <v>671</v>
      </c>
      <c r="N14" s="10">
        <f>SUM(N15:N17)</f>
        <v>1718</v>
      </c>
      <c r="O14" s="10">
        <f>SUM(O15:O17)</f>
        <v>410</v>
      </c>
      <c r="P14" s="4"/>
      <c r="Q14" s="25">
        <f>SUM(D14:I14)</f>
        <v>4501</v>
      </c>
      <c r="R14" s="26">
        <f>SUM(J14:O14)</f>
        <v>3991</v>
      </c>
      <c r="S14" s="27">
        <f>SUM(Q14+R14)</f>
        <v>8492</v>
      </c>
      <c r="T14" s="171"/>
      <c r="U14" s="89">
        <f t="shared" ref="U14:AE14" si="9">SUM(U15:U17)</f>
        <v>547.06721875000005</v>
      </c>
      <c r="V14" s="89">
        <f t="shared" si="9"/>
        <v>453.20671764705878</v>
      </c>
      <c r="W14" s="89">
        <f t="shared" si="9"/>
        <v>481.86201176470581</v>
      </c>
      <c r="X14" s="89">
        <f t="shared" si="9"/>
        <v>496.49189999999993</v>
      </c>
      <c r="Y14" s="89">
        <f t="shared" si="9"/>
        <v>560.12523333333331</v>
      </c>
      <c r="Z14" s="89">
        <f t="shared" si="9"/>
        <v>579.81495294117644</v>
      </c>
      <c r="AA14" s="89">
        <f t="shared" si="9"/>
        <v>525.69730588235291</v>
      </c>
      <c r="AB14" s="89">
        <f t="shared" si="9"/>
        <v>347.49051666666668</v>
      </c>
      <c r="AC14" s="89">
        <f t="shared" si="9"/>
        <v>638.34672857142846</v>
      </c>
      <c r="AD14" s="89">
        <f t="shared" si="9"/>
        <v>763.84016062499995</v>
      </c>
      <c r="AE14" s="89">
        <f t="shared" si="9"/>
        <v>1665.5636869500001</v>
      </c>
      <c r="AF14" s="89">
        <v>750</v>
      </c>
      <c r="AG14" s="4"/>
      <c r="AH14" s="25">
        <f>SUM(U14:Z14)</f>
        <v>3118.5680344362745</v>
      </c>
      <c r="AI14" s="26">
        <f>SUM(AA14:AF14)</f>
        <v>4690.9383986954481</v>
      </c>
      <c r="AJ14" s="27">
        <f>SUM(AH14+AI14)</f>
        <v>7809.5064331317226</v>
      </c>
    </row>
    <row r="15" spans="2:36" ht="15.75" customHeight="1">
      <c r="B15" s="4" t="s">
        <v>116</v>
      </c>
      <c r="C15" s="171"/>
      <c r="D15" s="45">
        <v>205</v>
      </c>
      <c r="E15" s="45">
        <v>334</v>
      </c>
      <c r="F15" s="45">
        <v>436</v>
      </c>
      <c r="G15" s="45">
        <v>250</v>
      </c>
      <c r="H15" s="45">
        <v>246</v>
      </c>
      <c r="I15" s="45">
        <v>311</v>
      </c>
      <c r="J15" s="45">
        <v>165</v>
      </c>
      <c r="K15" s="45">
        <v>14</v>
      </c>
      <c r="L15" s="45">
        <v>32</v>
      </c>
      <c r="M15" s="45">
        <v>21</v>
      </c>
      <c r="N15" s="45">
        <v>26</v>
      </c>
      <c r="O15" s="45"/>
      <c r="P15" s="4"/>
      <c r="Q15" s="29">
        <f>SUM(D15:I15)</f>
        <v>1782</v>
      </c>
      <c r="R15" s="31">
        <f>SUM(J15:O15)</f>
        <v>258</v>
      </c>
      <c r="S15" s="32">
        <f>SUM(Q15+R15)</f>
        <v>2040</v>
      </c>
      <c r="T15" s="171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136"/>
      <c r="AG15" s="4"/>
      <c r="AH15" s="29"/>
      <c r="AI15" s="31"/>
      <c r="AJ15" s="32"/>
    </row>
    <row r="16" spans="2:36" ht="15.75" customHeight="1">
      <c r="B16" s="4" t="s">
        <v>38</v>
      </c>
      <c r="C16" s="4"/>
      <c r="D16" s="45">
        <v>265</v>
      </c>
      <c r="E16" s="45">
        <v>585</v>
      </c>
      <c r="F16" s="45">
        <v>666</v>
      </c>
      <c r="G16" s="45">
        <v>296</v>
      </c>
      <c r="H16" s="45">
        <v>498</v>
      </c>
      <c r="I16" s="45">
        <v>409</v>
      </c>
      <c r="J16" s="45">
        <v>263</v>
      </c>
      <c r="K16" s="45">
        <v>274</v>
      </c>
      <c r="L16" s="45">
        <v>444</v>
      </c>
      <c r="M16" s="45">
        <v>650</v>
      </c>
      <c r="N16" s="45">
        <v>1692</v>
      </c>
      <c r="O16" s="45">
        <v>410</v>
      </c>
      <c r="P16" s="4"/>
      <c r="Q16" s="29">
        <f>SUM(D16:I16)</f>
        <v>2719</v>
      </c>
      <c r="R16" s="31">
        <f>SUM(J16:O16)</f>
        <v>3733</v>
      </c>
      <c r="S16" s="32">
        <f>SUM(Q16+R16)</f>
        <v>6452</v>
      </c>
      <c r="T16" s="4"/>
      <c r="U16" s="92">
        <f>U11/U21</f>
        <v>547.06721875000005</v>
      </c>
      <c r="V16" s="92">
        <f>V11/V21</f>
        <v>453.20671764705878</v>
      </c>
      <c r="W16" s="92">
        <f t="shared" ref="W16:AE16" si="10">W11/W21</f>
        <v>481.86201176470581</v>
      </c>
      <c r="X16" s="92">
        <f t="shared" si="10"/>
        <v>496.49189999999993</v>
      </c>
      <c r="Y16" s="92">
        <f t="shared" si="10"/>
        <v>560.12523333333331</v>
      </c>
      <c r="Z16" s="92">
        <f t="shared" si="10"/>
        <v>579.81495294117644</v>
      </c>
      <c r="AA16" s="92">
        <f t="shared" si="10"/>
        <v>525.69730588235291</v>
      </c>
      <c r="AB16" s="92">
        <f>AB11/AB21</f>
        <v>347.49051666666668</v>
      </c>
      <c r="AC16" s="92">
        <f t="shared" si="10"/>
        <v>638.34672857142846</v>
      </c>
      <c r="AD16" s="92">
        <f t="shared" si="10"/>
        <v>763.84016062499995</v>
      </c>
      <c r="AE16" s="92">
        <f t="shared" si="10"/>
        <v>1665.5636869500001</v>
      </c>
      <c r="AF16" s="92">
        <v>750</v>
      </c>
      <c r="AG16" s="4"/>
      <c r="AH16" s="29"/>
      <c r="AI16" s="31"/>
      <c r="AJ16" s="32"/>
    </row>
    <row r="17" spans="2:36" ht="15.75" customHeight="1">
      <c r="B17" s="4" t="s">
        <v>48</v>
      </c>
      <c r="C17" s="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Q17" s="29">
        <f>SUM(D17:I17)</f>
        <v>0</v>
      </c>
      <c r="R17" s="31">
        <f>SUM(J17:O17)</f>
        <v>0</v>
      </c>
      <c r="S17" s="32">
        <f t="shared" ref="S17" si="11">SUM(Q17+R17)</f>
        <v>0</v>
      </c>
      <c r="T17" s="4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20"/>
      <c r="AH17" s="29"/>
      <c r="AI17" s="31"/>
      <c r="AJ17" s="32"/>
    </row>
    <row r="18" spans="2:36" ht="15.75" customHeight="1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Q18" s="16"/>
      <c r="R18" s="16"/>
      <c r="S18" s="16"/>
      <c r="T18" s="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16"/>
      <c r="AH18" s="16"/>
      <c r="AI18" s="16"/>
      <c r="AJ18" s="16"/>
    </row>
    <row r="19" spans="2:36" ht="15.75" customHeight="1">
      <c r="B19" s="16" t="s">
        <v>19</v>
      </c>
      <c r="C19" s="16"/>
      <c r="D19" s="59">
        <f t="shared" ref="D19:I21" si="12">D9/D14</f>
        <v>55.472340425531918</v>
      </c>
      <c r="E19" s="59">
        <f t="shared" si="12"/>
        <v>57.646354733405879</v>
      </c>
      <c r="F19" s="59">
        <f t="shared" si="12"/>
        <v>70.010889292196012</v>
      </c>
      <c r="G19" s="59">
        <f t="shared" si="12"/>
        <v>103.56593406593407</v>
      </c>
      <c r="H19" s="59">
        <f t="shared" si="12"/>
        <v>145.49059139784947</v>
      </c>
      <c r="I19" s="59">
        <f t="shared" si="12"/>
        <v>128.15277777777777</v>
      </c>
      <c r="J19" s="59">
        <v>85</v>
      </c>
      <c r="K19" s="59">
        <f t="shared" ref="K19:O21" si="13">K9/K14</f>
        <v>62.951180555555567</v>
      </c>
      <c r="L19" s="59">
        <f t="shared" si="13"/>
        <v>77.315840336134457</v>
      </c>
      <c r="M19" s="59">
        <f t="shared" si="13"/>
        <v>80.561624441132636</v>
      </c>
      <c r="N19" s="59">
        <f t="shared" si="13"/>
        <v>45.422869615832369</v>
      </c>
      <c r="O19" s="59">
        <f t="shared" si="13"/>
        <v>107.68217073170732</v>
      </c>
      <c r="P19" s="4"/>
      <c r="Q19" s="17">
        <f t="shared" ref="Q19:S21" si="14">Q9/Q14</f>
        <v>91.815818706954005</v>
      </c>
      <c r="R19" s="8">
        <f t="shared" si="14"/>
        <v>65.470135304434976</v>
      </c>
      <c r="S19" s="34">
        <f t="shared" si="14"/>
        <v>79.434092086669807</v>
      </c>
      <c r="T19" s="16"/>
      <c r="U19" s="76">
        <f>U9/U14</f>
        <v>80</v>
      </c>
      <c r="V19" s="76">
        <f>V9/V14</f>
        <v>89.939070655486617</v>
      </c>
      <c r="W19" s="76">
        <f t="shared" ref="W19:AA19" si="15">W9/W14</f>
        <v>89.645354780723039</v>
      </c>
      <c r="X19" s="76">
        <f t="shared" si="15"/>
        <v>94.508472343657573</v>
      </c>
      <c r="Y19" s="76">
        <f t="shared" si="15"/>
        <v>93.996284878435205</v>
      </c>
      <c r="Z19" s="76">
        <f t="shared" si="15"/>
        <v>88.860576531607819</v>
      </c>
      <c r="AA19" s="76">
        <f t="shared" si="15"/>
        <v>89.258001657898802</v>
      </c>
      <c r="AB19" s="76">
        <v>70</v>
      </c>
      <c r="AC19" s="76">
        <v>70</v>
      </c>
      <c r="AD19" s="76">
        <v>70</v>
      </c>
      <c r="AE19" s="76">
        <v>70</v>
      </c>
      <c r="AF19" s="76">
        <v>70</v>
      </c>
      <c r="AG19" s="4"/>
      <c r="AH19" s="17">
        <f>AH9/AH14</f>
        <v>89.405820049842291</v>
      </c>
      <c r="AI19" s="8">
        <f>AI9/AI14</f>
        <v>71.375921348831525</v>
      </c>
      <c r="AJ19" s="34">
        <f>AJ9/AJ14</f>
        <v>78.575795788341807</v>
      </c>
    </row>
    <row r="20" spans="2:36" ht="15.75" customHeight="1">
      <c r="B20" s="4" t="s">
        <v>106</v>
      </c>
      <c r="C20" s="4"/>
      <c r="D20" s="19">
        <f t="shared" si="12"/>
        <v>66.302439024390239</v>
      </c>
      <c r="E20" s="19">
        <f t="shared" si="12"/>
        <v>48.709580838323355</v>
      </c>
      <c r="F20" s="19">
        <f t="shared" si="12"/>
        <v>57.098623853211009</v>
      </c>
      <c r="G20" s="19">
        <f t="shared" si="12"/>
        <v>77.38</v>
      </c>
      <c r="H20" s="19">
        <f t="shared" si="12"/>
        <v>119.65853658536585</v>
      </c>
      <c r="I20" s="19">
        <f t="shared" si="12"/>
        <v>118.87781350482315</v>
      </c>
      <c r="J20" s="19">
        <v>85</v>
      </c>
      <c r="K20" s="19">
        <f t="shared" si="13"/>
        <v>159.88714285714286</v>
      </c>
      <c r="L20" s="19">
        <f t="shared" si="13"/>
        <v>111.0415625</v>
      </c>
      <c r="M20" s="19">
        <f t="shared" si="13"/>
        <v>91.147142857142853</v>
      </c>
      <c r="N20" s="19">
        <f t="shared" si="13"/>
        <v>34.731538461538463</v>
      </c>
      <c r="O20" s="19"/>
      <c r="P20" s="4"/>
      <c r="Q20" s="19">
        <f t="shared" si="14"/>
        <v>78.848484848484844</v>
      </c>
      <c r="R20" s="20">
        <f t="shared" si="14"/>
        <v>96.92968992248062</v>
      </c>
      <c r="S20" s="21">
        <f t="shared" si="14"/>
        <v>81.135225490196078</v>
      </c>
      <c r="T20" s="4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20"/>
      <c r="AG20" s="4"/>
      <c r="AH20" s="19"/>
      <c r="AI20" s="20"/>
      <c r="AJ20" s="21"/>
    </row>
    <row r="21" spans="2:36" ht="15.75" customHeight="1">
      <c r="B21" s="4" t="s">
        <v>37</v>
      </c>
      <c r="C21" s="4"/>
      <c r="D21" s="19">
        <f t="shared" si="12"/>
        <v>47.094339622641506</v>
      </c>
      <c r="E21" s="19">
        <f t="shared" si="12"/>
        <v>62.748717948717946</v>
      </c>
      <c r="F21" s="19">
        <f t="shared" si="12"/>
        <v>78.463963963963963</v>
      </c>
      <c r="G21" s="19">
        <f t="shared" si="12"/>
        <v>125.68243243243244</v>
      </c>
      <c r="H21" s="19">
        <f t="shared" si="12"/>
        <v>158.25100401606426</v>
      </c>
      <c r="I21" s="19">
        <f t="shared" si="12"/>
        <v>135.20537897310513</v>
      </c>
      <c r="J21" s="19">
        <v>84</v>
      </c>
      <c r="K21" s="19">
        <f t="shared" si="13"/>
        <v>57.998248175182482</v>
      </c>
      <c r="L21" s="19">
        <f t="shared" si="13"/>
        <v>74.885157657657658</v>
      </c>
      <c r="M21" s="19">
        <f t="shared" si="13"/>
        <v>80.219630769230776</v>
      </c>
      <c r="N21" s="19">
        <f t="shared" si="13"/>
        <v>45.587157210401891</v>
      </c>
      <c r="O21" s="19">
        <f t="shared" si="13"/>
        <v>107.68217073170732</v>
      </c>
      <c r="P21" s="4"/>
      <c r="Q21" s="19">
        <f t="shared" si="14"/>
        <v>100.31445384332476</v>
      </c>
      <c r="R21" s="20">
        <f t="shared" si="14"/>
        <v>63.295861237610502</v>
      </c>
      <c r="S21" s="21">
        <f t="shared" si="14"/>
        <v>78.896225976441414</v>
      </c>
      <c r="T21" s="4"/>
      <c r="U21" s="81">
        <v>80</v>
      </c>
      <c r="V21" s="81">
        <v>85</v>
      </c>
      <c r="W21" s="81">
        <v>85</v>
      </c>
      <c r="X21" s="81">
        <v>90</v>
      </c>
      <c r="Y21" s="81">
        <v>90</v>
      </c>
      <c r="Z21" s="81">
        <v>85</v>
      </c>
      <c r="AA21" s="81">
        <v>85</v>
      </c>
      <c r="AB21" s="81">
        <v>60</v>
      </c>
      <c r="AC21" s="81">
        <v>70</v>
      </c>
      <c r="AD21" s="81">
        <v>80</v>
      </c>
      <c r="AE21" s="81">
        <v>50</v>
      </c>
      <c r="AF21" s="81">
        <v>95</v>
      </c>
      <c r="AG21" s="4"/>
      <c r="AH21" s="19"/>
      <c r="AI21" s="20"/>
      <c r="AJ21" s="21"/>
    </row>
    <row r="22" spans="2:36" ht="15.75" customHeight="1">
      <c r="B22" s="4" t="s">
        <v>49</v>
      </c>
      <c r="C22" s="4"/>
      <c r="D22" s="19"/>
      <c r="E22" s="19"/>
      <c r="F22" s="19"/>
      <c r="G22" s="19">
        <v>0.45379999999999998</v>
      </c>
      <c r="H22" s="19"/>
      <c r="I22" s="19"/>
      <c r="J22" s="19"/>
      <c r="K22" s="19"/>
      <c r="L22" s="19"/>
      <c r="M22" s="19"/>
      <c r="N22" s="19"/>
      <c r="O22" s="19"/>
      <c r="P22" s="4"/>
      <c r="Q22" s="19"/>
      <c r="R22" s="20"/>
      <c r="S22" s="21"/>
      <c r="T22" s="4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20"/>
      <c r="AG22" s="4"/>
      <c r="AH22" s="19"/>
      <c r="AI22" s="20"/>
      <c r="AJ22" s="21"/>
    </row>
    <row r="23" spans="2:36" ht="15.75" customHeight="1">
      <c r="B23" s="4"/>
      <c r="C23" s="4"/>
      <c r="D23" s="4"/>
      <c r="E23" s="4"/>
      <c r="F23" s="4"/>
      <c r="G23" s="35"/>
      <c r="H23" s="22"/>
      <c r="I23" s="22"/>
      <c r="J23" s="22"/>
      <c r="K23" s="23"/>
      <c r="L23" s="22"/>
      <c r="M23" s="22"/>
      <c r="N23" s="22"/>
      <c r="O23" s="22"/>
      <c r="P23" s="4"/>
      <c r="Q23" s="4"/>
      <c r="R23" s="4"/>
      <c r="S23" s="4"/>
      <c r="T23" s="4"/>
      <c r="U23" s="212"/>
      <c r="V23" s="212"/>
      <c r="W23" s="212"/>
      <c r="X23" s="212"/>
      <c r="Y23" s="212"/>
      <c r="Z23" s="212"/>
      <c r="AA23" s="212"/>
      <c r="AB23" s="212"/>
      <c r="AC23" s="71"/>
      <c r="AD23" s="71"/>
      <c r="AE23" s="71"/>
      <c r="AF23" s="22"/>
      <c r="AG23" s="4"/>
      <c r="AH23" s="4"/>
      <c r="AI23" s="4"/>
      <c r="AJ23" s="4"/>
    </row>
    <row r="24" spans="2:36" ht="15.75" customHeight="1">
      <c r="B24" s="16" t="s">
        <v>22</v>
      </c>
      <c r="C24" s="16"/>
      <c r="D24" s="36">
        <f t="shared" ref="D24:O24" si="16">D29/D14</f>
        <v>0.37021276595744679</v>
      </c>
      <c r="E24" s="36">
        <f t="shared" si="16"/>
        <v>0.36670293797606096</v>
      </c>
      <c r="F24" s="36">
        <f t="shared" si="16"/>
        <v>0.40562613430127042</v>
      </c>
      <c r="G24" s="36">
        <f t="shared" si="16"/>
        <v>0.65384615384615385</v>
      </c>
      <c r="H24" s="36">
        <f t="shared" si="16"/>
        <v>0.59946236559139787</v>
      </c>
      <c r="I24" s="36">
        <f t="shared" si="16"/>
        <v>0.53611111111111109</v>
      </c>
      <c r="J24" s="36">
        <f t="shared" si="16"/>
        <v>0.61915887850467288</v>
      </c>
      <c r="K24" s="36">
        <f t="shared" si="16"/>
        <v>0.39930555555555558</v>
      </c>
      <c r="L24" s="36">
        <f t="shared" si="16"/>
        <v>0.61554621848739499</v>
      </c>
      <c r="M24" s="36">
        <f t="shared" si="16"/>
        <v>0.43964232488822652</v>
      </c>
      <c r="N24" s="36">
        <f t="shared" si="16"/>
        <v>0.38358556461001159</v>
      </c>
      <c r="O24" s="36">
        <f t="shared" si="16"/>
        <v>0.71951219512195119</v>
      </c>
      <c r="P24" s="4"/>
      <c r="Q24" s="38">
        <f>Q29/Q14</f>
        <v>0.477005109975561</v>
      </c>
      <c r="R24" s="37">
        <f>R29/R14</f>
        <v>0.48158356301678779</v>
      </c>
      <c r="S24" s="39">
        <f>S29/S14</f>
        <v>0.47915685350918513</v>
      </c>
      <c r="T24" s="16"/>
      <c r="U24" s="107">
        <f>U26</f>
        <v>0.45247152467190999</v>
      </c>
      <c r="V24" s="107">
        <f t="shared" ref="V24:AF24" si="17">V26</f>
        <v>0.47649911719150001</v>
      </c>
      <c r="W24" s="107">
        <f t="shared" si="17"/>
        <v>0.48499117191500002</v>
      </c>
      <c r="X24" s="107">
        <f t="shared" si="17"/>
        <v>0.55884991171914999</v>
      </c>
      <c r="Y24" s="107">
        <f t="shared" si="17"/>
        <v>0.57884991171915001</v>
      </c>
      <c r="Z24" s="107">
        <f t="shared" si="17"/>
        <v>0.59884991171915003</v>
      </c>
      <c r="AA24" s="107">
        <f t="shared" si="17"/>
        <v>0.53384991171914997</v>
      </c>
      <c r="AB24" s="107">
        <f t="shared" si="17"/>
        <v>0.39</v>
      </c>
      <c r="AC24" s="107">
        <f t="shared" si="17"/>
        <v>0.59</v>
      </c>
      <c r="AD24" s="107">
        <f t="shared" si="17"/>
        <v>0.62565217391304295</v>
      </c>
      <c r="AE24" s="107">
        <f t="shared" si="17"/>
        <v>0.70454545454545503</v>
      </c>
      <c r="AF24" s="107">
        <f t="shared" si="17"/>
        <v>0.65230769230769203</v>
      </c>
      <c r="AG24" s="4"/>
      <c r="AH24" s="38">
        <f>AH29/AH14</f>
        <v>0.52783802462329887</v>
      </c>
      <c r="AI24" s="37">
        <f>AI29/AI14</f>
        <v>0.66024165110939481</v>
      </c>
      <c r="AJ24" s="39">
        <f>AJ29/AJ14</f>
        <v>0.6073689477268589</v>
      </c>
    </row>
    <row r="25" spans="2:36" ht="15.75" customHeight="1">
      <c r="B25" s="4" t="s">
        <v>117</v>
      </c>
      <c r="C25" s="4"/>
      <c r="D25" s="40">
        <f t="shared" ref="D25:N25" si="18">D30/D15</f>
        <v>0.15317073170731707</v>
      </c>
      <c r="E25" s="40">
        <f t="shared" si="18"/>
        <v>0.14035928143712575</v>
      </c>
      <c r="F25" s="40">
        <f t="shared" si="18"/>
        <v>0.13871559633027525</v>
      </c>
      <c r="G25" s="40">
        <f t="shared" si="18"/>
        <v>0.26048000000000004</v>
      </c>
      <c r="H25" s="40">
        <f t="shared" si="18"/>
        <v>0.33691056910569112</v>
      </c>
      <c r="I25" s="40">
        <f t="shared" si="18"/>
        <v>0.23717041800643088</v>
      </c>
      <c r="J25" s="40">
        <f t="shared" si="18"/>
        <v>0.25696969696969701</v>
      </c>
      <c r="K25" s="40">
        <f t="shared" si="18"/>
        <v>0.4107142857142857</v>
      </c>
      <c r="L25" s="40">
        <f t="shared" si="18"/>
        <v>0.64093750000000005</v>
      </c>
      <c r="M25" s="40">
        <f t="shared" si="18"/>
        <v>0.42142857142857143</v>
      </c>
      <c r="N25" s="40">
        <f t="shared" si="18"/>
        <v>0.50692307692307692</v>
      </c>
      <c r="O25" s="40"/>
      <c r="P25" s="4"/>
      <c r="Q25" s="40">
        <f>Q30/Q15</f>
        <v>0.20231200897867566</v>
      </c>
      <c r="R25" s="41">
        <v>0.46779999999999999</v>
      </c>
      <c r="S25" s="43">
        <v>0.4294</v>
      </c>
      <c r="T25" s="4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4"/>
      <c r="AH25" s="40"/>
      <c r="AI25" s="41"/>
      <c r="AJ25" s="43"/>
    </row>
    <row r="26" spans="2:36" ht="15.75" customHeight="1">
      <c r="B26" s="4" t="s">
        <v>39</v>
      </c>
      <c r="C26" s="4"/>
      <c r="D26" s="40">
        <f t="shared" ref="D26:O26" si="19">D31/D16</f>
        <v>0.47396226415094345</v>
      </c>
      <c r="E26" s="40">
        <f t="shared" si="19"/>
        <v>0.32054700854700857</v>
      </c>
      <c r="F26" s="40">
        <f t="shared" si="19"/>
        <v>0.36324324324324331</v>
      </c>
      <c r="G26" s="40">
        <f t="shared" si="19"/>
        <v>0.88000000000000012</v>
      </c>
      <c r="H26" s="40">
        <f t="shared" si="19"/>
        <v>0.66570281124497999</v>
      </c>
      <c r="I26" s="40">
        <f t="shared" si="19"/>
        <v>0.72136919315403425</v>
      </c>
      <c r="J26" s="40">
        <f t="shared" si="19"/>
        <v>0.64486692015209135</v>
      </c>
      <c r="K26" s="40">
        <f t="shared" si="19"/>
        <v>0.39872262773722628</v>
      </c>
      <c r="L26" s="40">
        <f t="shared" si="19"/>
        <v>0.61371621621621619</v>
      </c>
      <c r="M26" s="40">
        <f t="shared" si="19"/>
        <v>0.4402307692307692</v>
      </c>
      <c r="N26" s="40">
        <f t="shared" si="19"/>
        <v>0.38169030732860515</v>
      </c>
      <c r="O26" s="40">
        <f t="shared" si="19"/>
        <v>0.71951219512195119</v>
      </c>
      <c r="P26" s="4"/>
      <c r="Q26" s="40">
        <f>Q31/Q16</f>
        <v>0.53037146009562341</v>
      </c>
      <c r="R26" s="41">
        <v>0.44469999999999998</v>
      </c>
      <c r="S26" s="43">
        <v>0.69289999999999996</v>
      </c>
      <c r="T26" s="4"/>
      <c r="U26" s="112">
        <v>0.45247152467190999</v>
      </c>
      <c r="V26" s="112">
        <v>0.47649911719150001</v>
      </c>
      <c r="W26" s="112">
        <v>0.48499117191500002</v>
      </c>
      <c r="X26" s="112">
        <v>0.55884991171914999</v>
      </c>
      <c r="Y26" s="112">
        <v>0.57884991171915001</v>
      </c>
      <c r="Z26" s="112">
        <v>0.59884991171915003</v>
      </c>
      <c r="AA26" s="112">
        <v>0.53384991171914997</v>
      </c>
      <c r="AB26" s="112">
        <v>0.39</v>
      </c>
      <c r="AC26" s="112">
        <v>0.59</v>
      </c>
      <c r="AD26" s="112">
        <v>0.62565217391304295</v>
      </c>
      <c r="AE26" s="112">
        <v>0.70454545454545503</v>
      </c>
      <c r="AF26" s="112">
        <v>0.65230769230769203</v>
      </c>
      <c r="AG26" s="4"/>
      <c r="AH26" s="40"/>
      <c r="AI26" s="41"/>
      <c r="AJ26" s="43"/>
    </row>
    <row r="27" spans="2:36" ht="15.75" customHeight="1">
      <c r="B27" s="4" t="s">
        <v>50</v>
      </c>
      <c r="C27" s="4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"/>
      <c r="Q27" s="42"/>
      <c r="R27" s="41"/>
      <c r="S27" s="43"/>
      <c r="T27" s="4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20"/>
      <c r="AG27" s="4"/>
      <c r="AH27" s="42"/>
      <c r="AI27" s="41"/>
      <c r="AJ27" s="43"/>
    </row>
    <row r="28" spans="2:36" ht="15.75" customHeight="1">
      <c r="B28" s="4"/>
      <c r="C28" s="4"/>
      <c r="D28" s="4"/>
      <c r="E28" s="4"/>
      <c r="F28" s="4"/>
      <c r="G28" s="44"/>
      <c r="H28" s="4"/>
      <c r="I28" s="4"/>
      <c r="J28" s="4"/>
      <c r="K28" s="46"/>
      <c r="L28" s="46"/>
      <c r="M28" s="46"/>
      <c r="N28" s="46"/>
      <c r="O28" s="4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6" ht="13.8">
      <c r="B29" s="16" t="s">
        <v>54</v>
      </c>
      <c r="C29" s="16"/>
      <c r="D29" s="10">
        <v>174</v>
      </c>
      <c r="E29" s="139">
        <v>337</v>
      </c>
      <c r="F29" s="139">
        <v>447</v>
      </c>
      <c r="G29" s="139">
        <v>357</v>
      </c>
      <c r="H29" s="139">
        <v>446</v>
      </c>
      <c r="I29" s="139">
        <v>386</v>
      </c>
      <c r="J29" s="139">
        <v>265</v>
      </c>
      <c r="K29" s="139">
        <f>SUM(K30:K32)</f>
        <v>115</v>
      </c>
      <c r="L29" s="139">
        <f t="shared" ref="L29:O29" si="20">SUM(L30:L32)</f>
        <v>293</v>
      </c>
      <c r="M29" s="139">
        <f t="shared" si="20"/>
        <v>295</v>
      </c>
      <c r="N29" s="139">
        <f t="shared" si="20"/>
        <v>658.99999999999989</v>
      </c>
      <c r="O29" s="139">
        <f t="shared" si="20"/>
        <v>295</v>
      </c>
      <c r="P29" s="4"/>
      <c r="Q29" s="25">
        <f>SUM(D29:I29)</f>
        <v>2147</v>
      </c>
      <c r="R29" s="26">
        <f>SUM(J29:O29)</f>
        <v>1922</v>
      </c>
      <c r="S29" s="27">
        <f>SUM(Q29+R29)</f>
        <v>4069</v>
      </c>
      <c r="T29" s="16"/>
      <c r="U29" s="89">
        <f>U31</f>
        <v>247.53233856583384</v>
      </c>
      <c r="V29" s="89">
        <f t="shared" ref="V29:AE29" si="21">V31</f>
        <v>215.95260086408092</v>
      </c>
      <c r="W29" s="89">
        <f t="shared" si="21"/>
        <v>233.6988217870842</v>
      </c>
      <c r="X29" s="89">
        <f t="shared" si="21"/>
        <v>277.46445448427301</v>
      </c>
      <c r="Y29" s="89">
        <f t="shared" si="21"/>
        <v>324.22844186666828</v>
      </c>
      <c r="Z29" s="89">
        <f t="shared" si="21"/>
        <v>347.22213338226663</v>
      </c>
      <c r="AA29" s="89">
        <f t="shared" si="21"/>
        <v>280.64346033628908</v>
      </c>
      <c r="AB29" s="89">
        <f t="shared" si="21"/>
        <v>135.52130150000002</v>
      </c>
      <c r="AC29" s="89">
        <f t="shared" si="21"/>
        <v>376.62456985714277</v>
      </c>
      <c r="AD29" s="89">
        <f t="shared" si="21"/>
        <v>477.89825701711914</v>
      </c>
      <c r="AE29" s="89">
        <f t="shared" si="21"/>
        <v>1173.4653248965917</v>
      </c>
      <c r="AF29" s="229">
        <v>653</v>
      </c>
      <c r="AG29" s="4"/>
      <c r="AH29" s="25">
        <f>SUM(U29:Z29)</f>
        <v>1646.0987909502069</v>
      </c>
      <c r="AI29" s="26">
        <f>SUM(AA29:AF29)</f>
        <v>3097.1529136071431</v>
      </c>
      <c r="AJ29" s="27">
        <f>SUM(AH29+AI29)</f>
        <v>4743.2517045573495</v>
      </c>
    </row>
    <row r="30" spans="2:36" ht="13.8">
      <c r="B30" s="4" t="s">
        <v>118</v>
      </c>
      <c r="C30" s="4"/>
      <c r="D30" s="140">
        <v>31.400000000000002</v>
      </c>
      <c r="E30" s="140">
        <v>46.88</v>
      </c>
      <c r="F30" s="140">
        <v>60.480000000000011</v>
      </c>
      <c r="G30" s="140">
        <v>65.12</v>
      </c>
      <c r="H30" s="140">
        <v>82.88000000000001</v>
      </c>
      <c r="I30" s="140">
        <v>73.760000000000005</v>
      </c>
      <c r="J30" s="140">
        <v>42.400000000000006</v>
      </c>
      <c r="K30" s="140">
        <v>5.75</v>
      </c>
      <c r="L30" s="140">
        <v>20.51</v>
      </c>
      <c r="M30" s="140">
        <v>8.85</v>
      </c>
      <c r="N30" s="140">
        <v>13.18</v>
      </c>
      <c r="O30" s="140"/>
      <c r="P30" s="4"/>
      <c r="Q30" s="29">
        <f>SUM(D30:I30)</f>
        <v>360.52000000000004</v>
      </c>
      <c r="R30" s="31">
        <f>SUM(E30:J30)</f>
        <v>371.52</v>
      </c>
      <c r="S30" s="32">
        <f t="shared" ref="S30:S32" si="22">SUM(Q30+R30)</f>
        <v>732.04</v>
      </c>
      <c r="T30" s="4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230"/>
      <c r="AG30" s="4"/>
      <c r="AH30" s="29"/>
      <c r="AI30" s="31"/>
      <c r="AJ30" s="32"/>
    </row>
    <row r="31" spans="2:36" ht="13.8">
      <c r="B31" s="4" t="s">
        <v>40</v>
      </c>
      <c r="C31" s="4"/>
      <c r="D31" s="140">
        <v>125.60000000000001</v>
      </c>
      <c r="E31" s="140">
        <v>187.52</v>
      </c>
      <c r="F31" s="140">
        <v>241.92000000000004</v>
      </c>
      <c r="G31" s="140">
        <v>260.48</v>
      </c>
      <c r="H31" s="140">
        <v>331.52000000000004</v>
      </c>
      <c r="I31" s="140">
        <v>295.04000000000002</v>
      </c>
      <c r="J31" s="140">
        <v>169.60000000000002</v>
      </c>
      <c r="K31" s="140">
        <v>109.25</v>
      </c>
      <c r="L31" s="140">
        <v>272.49</v>
      </c>
      <c r="M31" s="140">
        <v>286.14999999999998</v>
      </c>
      <c r="N31" s="140">
        <v>645.81999999999994</v>
      </c>
      <c r="O31" s="140">
        <v>295</v>
      </c>
      <c r="P31" s="4"/>
      <c r="Q31" s="29">
        <f>SUM(D31:I31)</f>
        <v>1442.0800000000002</v>
      </c>
      <c r="R31" s="31">
        <f>SUM(E31:J31)</f>
        <v>1486.08</v>
      </c>
      <c r="S31" s="32">
        <f t="shared" si="22"/>
        <v>2928.16</v>
      </c>
      <c r="T31" s="4"/>
      <c r="U31" s="92">
        <f>U14*U24</f>
        <v>247.53233856583384</v>
      </c>
      <c r="V31" s="92">
        <f t="shared" ref="V31:AF31" si="23">V14*V24</f>
        <v>215.95260086408092</v>
      </c>
      <c r="W31" s="92">
        <f t="shared" si="23"/>
        <v>233.6988217870842</v>
      </c>
      <c r="X31" s="92">
        <f t="shared" si="23"/>
        <v>277.46445448427301</v>
      </c>
      <c r="Y31" s="92">
        <f t="shared" si="23"/>
        <v>324.22844186666828</v>
      </c>
      <c r="Z31" s="92">
        <f t="shared" si="23"/>
        <v>347.22213338226663</v>
      </c>
      <c r="AA31" s="92">
        <f t="shared" si="23"/>
        <v>280.64346033628908</v>
      </c>
      <c r="AB31" s="92">
        <f>AB14*AB24</f>
        <v>135.52130150000002</v>
      </c>
      <c r="AC31" s="92">
        <f t="shared" si="23"/>
        <v>376.62456985714277</v>
      </c>
      <c r="AD31" s="92">
        <f t="shared" si="23"/>
        <v>477.89825701711914</v>
      </c>
      <c r="AE31" s="92">
        <f t="shared" si="23"/>
        <v>1173.4653248965917</v>
      </c>
      <c r="AF31" s="92">
        <f t="shared" si="23"/>
        <v>489.230769230769</v>
      </c>
      <c r="AG31" s="4"/>
      <c r="AH31" s="29"/>
      <c r="AI31" s="31"/>
      <c r="AJ31" s="32"/>
    </row>
    <row r="32" spans="2:36" ht="13.8">
      <c r="B32" s="4" t="s">
        <v>51</v>
      </c>
      <c r="C32" s="4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4"/>
      <c r="Q32" s="29">
        <f>SUM(D32:I32)</f>
        <v>0</v>
      </c>
      <c r="R32" s="31">
        <f>SUM(E32:J32)</f>
        <v>0</v>
      </c>
      <c r="S32" s="32">
        <f t="shared" si="22"/>
        <v>0</v>
      </c>
      <c r="T32" s="4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230"/>
      <c r="AG32" s="4"/>
      <c r="AH32" s="29"/>
      <c r="AI32" s="31"/>
      <c r="AJ32" s="32"/>
    </row>
    <row r="33" spans="2:36" ht="13.8">
      <c r="B33" s="4"/>
      <c r="C33" s="4"/>
      <c r="D33" s="4"/>
      <c r="E33" s="4"/>
      <c r="F33" s="4"/>
      <c r="G33" s="13">
        <v>181</v>
      </c>
      <c r="H33" s="4"/>
      <c r="I33" s="4"/>
      <c r="J33" s="4"/>
      <c r="K33" s="15">
        <v>0.3</v>
      </c>
      <c r="L33" s="14">
        <v>0.8</v>
      </c>
      <c r="M33" s="14">
        <v>1</v>
      </c>
      <c r="N33" s="14">
        <v>1.4</v>
      </c>
      <c r="O33" s="14"/>
      <c r="P33" s="4"/>
      <c r="Q33" s="4"/>
      <c r="R33" s="4"/>
      <c r="S33" s="4"/>
      <c r="T33" s="4"/>
      <c r="U33" s="4"/>
      <c r="V33" s="4"/>
      <c r="W33" s="4"/>
      <c r="X33" s="13"/>
      <c r="Y33" s="4"/>
      <c r="Z33" s="4"/>
      <c r="AA33" s="4"/>
      <c r="AB33" s="15"/>
      <c r="AC33" s="14"/>
      <c r="AD33" s="14"/>
      <c r="AE33" s="14"/>
      <c r="AF33" s="231"/>
      <c r="AG33" s="4"/>
      <c r="AH33" s="4"/>
      <c r="AI33" s="4"/>
      <c r="AJ33" s="4"/>
    </row>
    <row r="34" spans="2:36" ht="13.8">
      <c r="B34" s="4"/>
      <c r="C34" s="4"/>
      <c r="D34" s="4"/>
      <c r="E34" s="4"/>
      <c r="F34" s="4"/>
      <c r="G34" s="13"/>
      <c r="H34" s="4"/>
      <c r="I34" s="4"/>
      <c r="J34" s="4"/>
      <c r="K34" s="15"/>
      <c r="L34" s="14"/>
      <c r="M34" s="14"/>
      <c r="N34" s="14"/>
      <c r="O34" s="14"/>
      <c r="P34" s="4"/>
      <c r="Q34" s="4"/>
      <c r="R34" s="4"/>
      <c r="S34" s="4"/>
      <c r="T34" s="4"/>
      <c r="U34" s="214"/>
      <c r="V34" s="214"/>
      <c r="W34" s="214"/>
      <c r="X34" s="214"/>
      <c r="Y34" s="214"/>
      <c r="Z34" s="214"/>
      <c r="AA34" s="214"/>
      <c r="AB34" s="214"/>
      <c r="AC34" s="14"/>
      <c r="AD34" s="14"/>
      <c r="AE34" s="14"/>
      <c r="AF34" s="231"/>
      <c r="AG34" s="4"/>
      <c r="AH34" s="4"/>
      <c r="AI34" s="4"/>
      <c r="AJ34" s="4"/>
    </row>
    <row r="35" spans="2:36" ht="13.8">
      <c r="B35" s="16" t="s">
        <v>55</v>
      </c>
      <c r="C35" s="16"/>
      <c r="D35" s="10">
        <v>252</v>
      </c>
      <c r="E35" s="139">
        <v>405</v>
      </c>
      <c r="F35" s="139">
        <v>570</v>
      </c>
      <c r="G35" s="139">
        <v>530</v>
      </c>
      <c r="H35" s="139">
        <v>652</v>
      </c>
      <c r="I35" s="139">
        <v>691</v>
      </c>
      <c r="J35" s="139">
        <v>513</v>
      </c>
      <c r="K35" s="139">
        <v>0</v>
      </c>
      <c r="L35" s="139">
        <v>591</v>
      </c>
      <c r="M35" s="139">
        <v>288</v>
      </c>
      <c r="N35" s="139">
        <v>663</v>
      </c>
      <c r="O35" s="139">
        <v>357</v>
      </c>
      <c r="P35" s="4"/>
      <c r="Q35" s="25">
        <f>SUM(D35:I35)</f>
        <v>3100</v>
      </c>
      <c r="R35" s="26">
        <f>SUM(J35:O35)</f>
        <v>2412</v>
      </c>
      <c r="S35" s="27">
        <f>SUM(Q35+R35)</f>
        <v>5512</v>
      </c>
      <c r="T35" s="16"/>
      <c r="U35" s="211">
        <f>+(T29*0.25)+(U29*0.75)</f>
        <v>185.64925392437539</v>
      </c>
      <c r="V35" s="211">
        <f>+(U29*0.25)+(V29*0.75)</f>
        <v>223.84753528951913</v>
      </c>
      <c r="W35" s="211">
        <f t="shared" ref="W35:AF35" si="24">+(V29*0.25)+(W29*0.75)</f>
        <v>229.26226655633337</v>
      </c>
      <c r="X35" s="211">
        <f t="shared" si="24"/>
        <v>266.52304630997583</v>
      </c>
      <c r="Y35" s="211">
        <f t="shared" si="24"/>
        <v>312.53744502106946</v>
      </c>
      <c r="Z35" s="211">
        <f t="shared" si="24"/>
        <v>341.47371050336699</v>
      </c>
      <c r="AA35" s="211">
        <f t="shared" si="24"/>
        <v>297.2881285977835</v>
      </c>
      <c r="AB35" s="211">
        <v>0</v>
      </c>
      <c r="AC35" s="211">
        <f t="shared" si="24"/>
        <v>316.34875276785704</v>
      </c>
      <c r="AD35" s="211">
        <f t="shared" si="24"/>
        <v>452.57983522712505</v>
      </c>
      <c r="AE35" s="211">
        <f t="shared" si="24"/>
        <v>999.57355792672365</v>
      </c>
      <c r="AF35" s="211">
        <f t="shared" si="24"/>
        <v>783.11633122414787</v>
      </c>
      <c r="AG35" s="4"/>
      <c r="AH35" s="25">
        <f>SUM(U35:Z35)</f>
        <v>1559.2932576046401</v>
      </c>
      <c r="AI35" s="26">
        <f>SUM(AA35:AF35)</f>
        <v>2848.9066057436371</v>
      </c>
      <c r="AJ35" s="27">
        <f>SUM(AH35+AI35)</f>
        <v>4408.1998633482772</v>
      </c>
    </row>
    <row r="36" spans="2:36" ht="13.8">
      <c r="B36" s="4" t="s">
        <v>118</v>
      </c>
      <c r="C36" s="4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4"/>
      <c r="Q36" s="29">
        <f>SUM(D36:I36)</f>
        <v>0</v>
      </c>
      <c r="R36" s="31">
        <f>SUM(E36:J36)</f>
        <v>0</v>
      </c>
      <c r="S36" s="32">
        <f t="shared" ref="S36:S38" si="25">SUM(Q36+R36)</f>
        <v>0</v>
      </c>
      <c r="T36" s="4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4"/>
      <c r="AH36" s="29"/>
      <c r="AI36" s="31"/>
      <c r="AJ36" s="32"/>
    </row>
    <row r="37" spans="2:36" ht="13.8">
      <c r="B37" s="4" t="s">
        <v>40</v>
      </c>
      <c r="C37" s="4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4"/>
      <c r="Q37" s="29">
        <f>SUM(D37:I37)</f>
        <v>0</v>
      </c>
      <c r="R37" s="31">
        <f>SUM(E37:J37)</f>
        <v>0</v>
      </c>
      <c r="S37" s="32">
        <f t="shared" si="25"/>
        <v>0</v>
      </c>
      <c r="T37" s="4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4"/>
      <c r="AH37" s="29"/>
      <c r="AI37" s="31"/>
      <c r="AJ37" s="32"/>
    </row>
    <row r="38" spans="2:36" ht="13.8">
      <c r="B38" s="4" t="s">
        <v>51</v>
      </c>
      <c r="C38" s="4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4"/>
      <c r="Q38" s="29">
        <f>SUM(D38:I38)</f>
        <v>0</v>
      </c>
      <c r="R38" s="31">
        <f>SUM(E38:J38)</f>
        <v>0</v>
      </c>
      <c r="S38" s="32">
        <f t="shared" si="25"/>
        <v>0</v>
      </c>
      <c r="T38" s="4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4"/>
      <c r="AH38" s="29"/>
      <c r="AI38" s="31"/>
      <c r="AJ38" s="32"/>
    </row>
    <row r="39" spans="2:36" ht="13.8">
      <c r="B39" s="4"/>
      <c r="C39" s="4"/>
      <c r="D39" s="4"/>
      <c r="E39" s="4"/>
      <c r="F39" s="4"/>
      <c r="G39" s="13"/>
      <c r="H39" s="4"/>
      <c r="I39" s="4"/>
      <c r="J39" s="4"/>
      <c r="K39" s="15"/>
      <c r="L39" s="14"/>
      <c r="M39" s="14"/>
      <c r="N39" s="14"/>
      <c r="O39" s="14"/>
      <c r="P39" s="4"/>
      <c r="Q39" s="4"/>
      <c r="R39" s="4"/>
      <c r="S39" s="4"/>
      <c r="T39" s="4"/>
      <c r="U39" s="4"/>
      <c r="V39" s="4"/>
      <c r="W39" s="4"/>
      <c r="X39" s="13"/>
      <c r="Y39" s="4"/>
      <c r="Z39" s="4"/>
      <c r="AA39" s="4"/>
      <c r="AB39" s="15"/>
      <c r="AC39" s="14"/>
      <c r="AD39" s="14"/>
      <c r="AE39" s="14"/>
      <c r="AF39" s="14"/>
      <c r="AG39" s="4"/>
      <c r="AH39" s="4"/>
      <c r="AI39" s="4"/>
      <c r="AJ39" s="4"/>
    </row>
    <row r="40" spans="2:36" ht="13.8">
      <c r="B40" s="4"/>
      <c r="C40" s="4"/>
      <c r="D40" s="4"/>
      <c r="E40" s="4"/>
      <c r="F40" s="4"/>
      <c r="G40" s="13"/>
      <c r="H40" s="4"/>
      <c r="I40" s="4"/>
      <c r="J40" s="4"/>
      <c r="K40" s="15"/>
      <c r="L40" s="14"/>
      <c r="M40" s="14"/>
      <c r="N40" s="14"/>
      <c r="O40" s="14"/>
      <c r="P40" s="4"/>
      <c r="Q40" s="4"/>
      <c r="R40" s="4"/>
      <c r="S40" s="4"/>
      <c r="T40" s="4"/>
      <c r="U40" s="4"/>
      <c r="V40" s="4"/>
      <c r="W40" s="4"/>
      <c r="X40" s="13"/>
      <c r="Y40" s="4"/>
      <c r="Z40" s="4"/>
      <c r="AA40" s="4"/>
      <c r="AB40" s="15"/>
      <c r="AC40" s="14"/>
      <c r="AD40" s="14"/>
      <c r="AE40" s="14"/>
      <c r="AF40" s="14"/>
      <c r="AG40" s="4"/>
      <c r="AH40" s="4"/>
      <c r="AI40" s="4"/>
      <c r="AJ40" s="4"/>
    </row>
    <row r="41" spans="2:36" ht="19.2" customHeight="1">
      <c r="B41" s="16" t="s">
        <v>28</v>
      </c>
      <c r="C41" s="16"/>
      <c r="D41" s="33">
        <f t="shared" ref="D41:O41" si="26">D9/D35</f>
        <v>103.46031746031746</v>
      </c>
      <c r="E41" s="33">
        <f t="shared" si="26"/>
        <v>130.8074074074074</v>
      </c>
      <c r="F41" s="33">
        <f t="shared" si="26"/>
        <v>135.35438596491227</v>
      </c>
      <c r="G41" s="33">
        <f t="shared" si="26"/>
        <v>106.69245283018869</v>
      </c>
      <c r="H41" s="33">
        <f t="shared" si="26"/>
        <v>166.01993865030676</v>
      </c>
      <c r="I41" s="33">
        <f t="shared" si="26"/>
        <v>133.53111432706223</v>
      </c>
      <c r="J41" s="33">
        <f t="shared" si="26"/>
        <v>58.705653021442494</v>
      </c>
      <c r="K41" s="33">
        <v>0</v>
      </c>
      <c r="L41" s="33">
        <f t="shared" si="26"/>
        <v>62.271302876480547</v>
      </c>
      <c r="M41" s="33">
        <f t="shared" si="26"/>
        <v>187.69739583333333</v>
      </c>
      <c r="N41" s="33">
        <f t="shared" si="26"/>
        <v>117.70209653092007</v>
      </c>
      <c r="O41" s="33">
        <f t="shared" si="26"/>
        <v>123.66859943977592</v>
      </c>
      <c r="P41" s="4"/>
      <c r="Q41" s="4"/>
      <c r="R41" s="4"/>
      <c r="S41" s="4"/>
      <c r="T41" s="16"/>
      <c r="U41" s="76">
        <f>U9/U29</f>
        <v>176.80670636236945</v>
      </c>
      <c r="V41" s="76">
        <f t="shared" ref="V41:AF41" si="27">V9/V29</f>
        <v>188.74971098706368</v>
      </c>
      <c r="W41" s="76">
        <f t="shared" si="27"/>
        <v>184.83914753902854</v>
      </c>
      <c r="X41" s="76">
        <f t="shared" si="27"/>
        <v>169.1124403203857</v>
      </c>
      <c r="Y41" s="76">
        <f t="shared" si="27"/>
        <v>162.38455422627914</v>
      </c>
      <c r="Z41" s="76">
        <f t="shared" si="27"/>
        <v>148.38538804574767</v>
      </c>
      <c r="AA41" s="76">
        <f t="shared" si="27"/>
        <v>167.1968088754804</v>
      </c>
      <c r="AB41" s="76">
        <f t="shared" si="27"/>
        <v>153.84615384615384</v>
      </c>
      <c r="AC41" s="76">
        <f t="shared" si="27"/>
        <v>124.58744000105519</v>
      </c>
      <c r="AD41" s="76">
        <f t="shared" si="27"/>
        <v>132.55045801041882</v>
      </c>
      <c r="AE41" s="76">
        <f t="shared" si="27"/>
        <v>72.875271670286395</v>
      </c>
      <c r="AF41" s="76">
        <f t="shared" si="27"/>
        <v>109.13169984686064</v>
      </c>
      <c r="AG41" s="4"/>
      <c r="AH41" s="17">
        <f>AH9/AH29</f>
        <v>169.38116596213086</v>
      </c>
      <c r="AI41" s="8">
        <f>AI9/AI29</f>
        <v>108.105753747737</v>
      </c>
      <c r="AJ41" s="18">
        <f>AJ9/AJ29</f>
        <v>129.37078209615399</v>
      </c>
    </row>
    <row r="42" spans="2:36" ht="13.8">
      <c r="B42" s="4" t="s">
        <v>41</v>
      </c>
      <c r="C42" s="4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4"/>
      <c r="S42" s="4"/>
      <c r="T42" s="4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4"/>
      <c r="AH42" s="19"/>
      <c r="AI42" s="20"/>
      <c r="AJ42" s="21"/>
    </row>
    <row r="43" spans="2:36" ht="13.8">
      <c r="B43" s="4" t="s">
        <v>53</v>
      </c>
      <c r="C43" s="4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17">
        <f>Q9/Q29</f>
        <v>192.48393106660455</v>
      </c>
      <c r="R43" s="8">
        <f>R9/R29</f>
        <v>135.94761186264307</v>
      </c>
      <c r="S43" s="18">
        <f>S9/S29</f>
        <v>165.77889161956256</v>
      </c>
      <c r="T43" s="4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4"/>
      <c r="AH43" s="19"/>
      <c r="AI43" s="20"/>
      <c r="AJ43" s="21"/>
    </row>
    <row r="44" spans="2:36" ht="13.8">
      <c r="B44" s="4" t="s">
        <v>52</v>
      </c>
      <c r="C44" s="4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19"/>
      <c r="R44" s="20"/>
      <c r="S44" s="21"/>
      <c r="T44" s="4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46"/>
      <c r="AH44" s="19"/>
      <c r="AI44" s="20"/>
      <c r="AJ44" s="21"/>
    </row>
    <row r="45" spans="2:36" ht="13.8">
      <c r="B45" s="5" t="s">
        <v>31</v>
      </c>
      <c r="C45" s="5"/>
      <c r="P45" s="4"/>
      <c r="Q45" s="19"/>
      <c r="R45" s="20"/>
      <c r="S45" s="21"/>
      <c r="T45" s="5"/>
      <c r="U45" s="47"/>
      <c r="V45" s="47"/>
      <c r="W45" s="47"/>
      <c r="X45" s="47"/>
      <c r="Y45" s="47"/>
      <c r="Z45" s="48">
        <v>65</v>
      </c>
      <c r="AA45" s="48">
        <v>54</v>
      </c>
      <c r="AB45" s="48">
        <v>24</v>
      </c>
      <c r="AC45" s="48">
        <v>67</v>
      </c>
      <c r="AD45" s="48">
        <v>90</v>
      </c>
      <c r="AE45" s="48">
        <v>146</v>
      </c>
      <c r="AF45" s="48">
        <v>113</v>
      </c>
      <c r="AG45" s="48">
        <v>494</v>
      </c>
      <c r="AH45" s="47"/>
      <c r="AI45" s="4"/>
      <c r="AJ45" s="4"/>
    </row>
    <row r="46" spans="2:36" ht="13.8">
      <c r="B46" s="5" t="s">
        <v>32</v>
      </c>
      <c r="C46" s="5"/>
      <c r="P46" s="46"/>
      <c r="Q46" s="19"/>
      <c r="R46" s="20"/>
      <c r="S46" s="21"/>
      <c r="T46" s="5"/>
      <c r="U46" s="47"/>
      <c r="V46" s="47"/>
      <c r="W46" s="47"/>
      <c r="X46" s="47"/>
      <c r="Y46" s="47"/>
      <c r="Z46" s="49">
        <v>226800</v>
      </c>
      <c r="AA46" s="49">
        <v>189268</v>
      </c>
      <c r="AB46" s="49">
        <v>84425</v>
      </c>
      <c r="AC46" s="49">
        <v>236195</v>
      </c>
      <c r="AD46" s="49">
        <v>314934</v>
      </c>
      <c r="AE46" s="49">
        <v>509464</v>
      </c>
      <c r="AF46" s="49">
        <v>393808</v>
      </c>
      <c r="AG46" s="49">
        <v>1728095</v>
      </c>
      <c r="AH46" s="47"/>
      <c r="AI46" s="4"/>
      <c r="AJ46" s="4"/>
    </row>
    <row r="47" spans="2:36" ht="13.8">
      <c r="B47" s="5" t="s">
        <v>33</v>
      </c>
      <c r="C47" s="5"/>
      <c r="D47" s="47"/>
      <c r="E47" s="47"/>
      <c r="F47" s="47"/>
      <c r="G47" s="47"/>
      <c r="H47" s="47"/>
      <c r="I47" s="48">
        <v>65</v>
      </c>
      <c r="J47" s="48">
        <v>54</v>
      </c>
      <c r="K47" s="48">
        <v>24</v>
      </c>
      <c r="L47" s="48">
        <v>67</v>
      </c>
      <c r="M47" s="48">
        <v>90</v>
      </c>
      <c r="N47" s="48">
        <v>146</v>
      </c>
      <c r="O47" s="48">
        <v>113</v>
      </c>
      <c r="P47" s="48">
        <v>494</v>
      </c>
      <c r="Q47" s="47"/>
      <c r="R47" s="4"/>
      <c r="S47" s="4"/>
      <c r="T47" s="5"/>
      <c r="U47" s="47"/>
      <c r="V47" s="47"/>
      <c r="W47" s="47"/>
      <c r="X47" s="47"/>
      <c r="Y47" s="47"/>
      <c r="Z47" s="5"/>
      <c r="AA47" s="48">
        <v>54</v>
      </c>
      <c r="AB47" s="48">
        <v>24</v>
      </c>
      <c r="AC47" s="48">
        <v>68</v>
      </c>
      <c r="AD47" s="48">
        <v>90</v>
      </c>
      <c r="AE47" s="48">
        <v>146</v>
      </c>
      <c r="AF47" s="48">
        <v>113</v>
      </c>
      <c r="AG47" s="5"/>
      <c r="AH47" s="47"/>
      <c r="AI47" s="4"/>
      <c r="AJ47" s="4"/>
    </row>
    <row r="48" spans="2:36" ht="13.8">
      <c r="B48" s="5" t="s">
        <v>34</v>
      </c>
      <c r="C48" s="5"/>
      <c r="D48" s="47"/>
      <c r="E48" s="47"/>
      <c r="F48" s="47"/>
      <c r="G48" s="47"/>
      <c r="H48" s="47"/>
      <c r="I48" s="49">
        <v>226800</v>
      </c>
      <c r="J48" s="49">
        <v>189268</v>
      </c>
      <c r="K48" s="49">
        <v>84425</v>
      </c>
      <c r="L48" s="49">
        <v>236195</v>
      </c>
      <c r="M48" s="49">
        <v>314934</v>
      </c>
      <c r="N48" s="49">
        <v>509464</v>
      </c>
      <c r="O48" s="49">
        <v>393808</v>
      </c>
      <c r="P48" s="49">
        <v>1728095</v>
      </c>
      <c r="Q48" s="47"/>
      <c r="R48" s="4"/>
      <c r="S48" s="4"/>
      <c r="T48" s="5"/>
      <c r="U48" s="47"/>
      <c r="V48" s="47"/>
      <c r="W48" s="47"/>
      <c r="X48" s="47"/>
      <c r="Y48" s="47"/>
      <c r="Z48" s="5"/>
      <c r="AA48" s="48">
        <v>541</v>
      </c>
      <c r="AB48" s="48">
        <v>241</v>
      </c>
      <c r="AC48" s="48">
        <v>675</v>
      </c>
      <c r="AD48" s="48">
        <v>900</v>
      </c>
      <c r="AE48" s="49">
        <v>1456</v>
      </c>
      <c r="AF48" s="49">
        <v>1125</v>
      </c>
      <c r="AG48" s="5"/>
      <c r="AH48" s="47"/>
      <c r="AI48" s="4"/>
      <c r="AJ48" s="4"/>
    </row>
    <row r="49" spans="2:36" ht="13.8">
      <c r="B49" s="50"/>
      <c r="C49" s="50"/>
      <c r="D49" s="47"/>
      <c r="E49" s="47"/>
      <c r="F49" s="47"/>
      <c r="G49" s="47"/>
      <c r="H49" s="47"/>
      <c r="I49" s="5"/>
      <c r="J49" s="48">
        <v>54</v>
      </c>
      <c r="K49" s="48">
        <v>24</v>
      </c>
      <c r="L49" s="48">
        <v>68</v>
      </c>
      <c r="M49" s="48">
        <v>90</v>
      </c>
      <c r="N49" s="48">
        <v>146</v>
      </c>
      <c r="O49" s="48">
        <v>113</v>
      </c>
      <c r="P49" s="5"/>
      <c r="Q49" s="47"/>
      <c r="R49" s="4"/>
      <c r="S49" s="4"/>
      <c r="T49" s="50"/>
      <c r="U49" s="50"/>
      <c r="V49" s="50"/>
      <c r="W49" s="50"/>
      <c r="X49" s="50"/>
      <c r="Y49" s="50"/>
      <c r="Z49" s="51"/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/>
      <c r="AH49" s="47"/>
      <c r="AI49" s="4"/>
      <c r="AJ49" s="4"/>
    </row>
    <row r="50" spans="2:36" ht="14.4" thickBot="1">
      <c r="B50" s="52"/>
      <c r="C50" s="52"/>
      <c r="D50" s="47"/>
      <c r="E50" s="47"/>
      <c r="F50" s="47"/>
      <c r="G50" s="47"/>
      <c r="H50" s="47"/>
      <c r="I50" s="5"/>
      <c r="J50" s="48">
        <v>541</v>
      </c>
      <c r="K50" s="48">
        <v>241</v>
      </c>
      <c r="L50" s="48">
        <v>675</v>
      </c>
      <c r="M50" s="48">
        <v>900</v>
      </c>
      <c r="N50" s="49">
        <v>1456</v>
      </c>
      <c r="O50" s="49">
        <v>1125</v>
      </c>
      <c r="P50" s="5"/>
      <c r="Q50" s="47"/>
      <c r="R50" s="4"/>
      <c r="S50" s="4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4"/>
      <c r="AI50" s="4"/>
      <c r="AJ50" s="4"/>
    </row>
    <row r="51" spans="2:36" ht="14.4" thickBot="1">
      <c r="B51" s="4"/>
      <c r="C51" s="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7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2:36" ht="14.4" thickBot="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2:36" ht="13.8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2:36" ht="13.8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2:36" ht="13.8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2:36" ht="13.8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2:36" ht="13.8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2:36" ht="13.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2:36" ht="13.8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2:36" ht="13.8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2:36" ht="13.8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2:36" ht="13.8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2:36" ht="13.8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2:36" ht="13.8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2:36" ht="13.8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2:36" ht="13.8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2:36" ht="13.8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2:36" ht="13.8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2:36" ht="13.8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2:36" ht="13.8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2:36" ht="13.8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2:36" ht="13.8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2:36" ht="13.8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2:36" ht="13.8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2:36" ht="13.8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2:36" ht="13.8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2:36" ht="13.8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2:36" ht="13.8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2:36" ht="13.8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2:36" ht="13.8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2:36" ht="13.8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2:36" ht="13.8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2:36" ht="13.8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2:36" ht="13.8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2:36" ht="13.8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2:36" ht="13.8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2:36" ht="13.8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2:36" ht="13.8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2:36" ht="13.8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2:36" ht="13.8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2:36" ht="13.8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2:36" ht="13.8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2:36" ht="13.8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2:36" ht="13.8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2:36" ht="13.8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2:36" ht="13.8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2:36" ht="13.8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2:36" ht="13.8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2:36" ht="13.8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2:36" ht="13.8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2:36" ht="13.8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2:36" ht="13.8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2:36" ht="13.8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2:36" ht="13.8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2:36" ht="13.8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2:36" ht="13.8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2:36" ht="13.8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2:36" ht="13.8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2:36" ht="13.8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2:36" ht="13.8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2:36" ht="13.8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2:36" ht="13.8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2:36" ht="13.8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2:36" ht="13.8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2:36" ht="13.8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2:36" ht="13.8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2:36" ht="13.8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2:36" ht="13.8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2:36" ht="13.8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2:36" ht="13.8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2:36" ht="13.8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2:36" ht="13.8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2:36" ht="13.8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2:36" ht="13.8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2:36" ht="13.8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2:36" ht="13.8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2:36" ht="13.8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2:36" ht="13.8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2:36" ht="13.8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2:36" ht="13.8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2:36" ht="13.8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2:36" ht="13.8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2:36" ht="13.8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2:36" ht="13.8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2:36" ht="13.8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2:36" ht="13.8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2:36" ht="13.8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2:36" ht="13.8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2:36" ht="13.8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2:36" ht="13.8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2:36" ht="13.8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2:36" ht="13.8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2:36" ht="13.8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2:36" ht="13.8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2:36" ht="13.8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2:36" ht="13.8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2:36" ht="13.8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2:36" ht="13.8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2:36" ht="13.8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2:36" ht="13.8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2:36" ht="13.8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2:36" ht="13.8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2:36" ht="13.8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2:36" ht="13.8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2:36" ht="13.8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2:36" ht="13.8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2:36" ht="13.8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2:36" ht="13.8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2:36" ht="13.8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2:36" ht="13.8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2:36" ht="13.8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2:36" ht="13.8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2:36" ht="13.8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2:36" ht="13.8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2:36" ht="13.8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2:36" ht="13.8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2:36" ht="13.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2:36" ht="13.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2:36" ht="13.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2:36" ht="13.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2:36" ht="13.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2:36" ht="13.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2:36" ht="13.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2:36" ht="13.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2:36" ht="13.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2:36" ht="13.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2:36" ht="13.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2:36" ht="13.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2:36" ht="13.8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2:36" ht="13.8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2:36" ht="13.8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2:36" ht="13.8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2:36" ht="13.8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2:36" ht="13.8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2:36" ht="13.8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2:36" ht="13.8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2:36" ht="13.8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2:36" ht="13.8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2:36" ht="13.8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2:36" ht="13.8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2:36" ht="13.8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2:36" ht="13.8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2:36" ht="13.8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2:36" ht="13.8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2:36" ht="13.8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2:36" ht="13.8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2:36" ht="13.8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2:36" ht="13.8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2:36" ht="13.8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2:36" ht="13.8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2:36" ht="13.8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2:36" ht="13.8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2:36" ht="13.8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2:36" ht="13.8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2:36" ht="13.8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2:36" ht="13.8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2:36" ht="13.8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2:36" ht="13.8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2:36" ht="13.8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2:36" ht="13.8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2:36" ht="13.8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2:36" ht="13.8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2:36" ht="13.8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2:36" ht="13.8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2:36" ht="13.8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2:36" ht="13.8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2:36" ht="13.8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2:36" ht="13.8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2:36" ht="13.8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2:36" ht="13.8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2:36" ht="13.8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2:36" ht="13.8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2:36" ht="13.8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2:36" ht="13.8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2:36" ht="13.8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2:36" ht="13.8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2:36" ht="13.8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2:36" ht="13.8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2:36" ht="13.8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2:36" ht="13.8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2:36" ht="13.8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2:36" ht="13.8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2:36" ht="13.8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2:36" ht="13.8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2:36" ht="13.8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2:36" ht="13.8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2:36" ht="13.8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2:36" ht="13.8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2:36" ht="13.8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2:36" ht="13.8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2:36" ht="13.8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2:36" ht="13.8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2:36" ht="13.8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2:36" ht="13.8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2:36" ht="13.8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2:36" ht="13.8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2:36" ht="13.8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2:36" ht="13.8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2:36" ht="13.8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2:36" ht="13.8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2:36" ht="13.8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2:36" ht="13.8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2:36" ht="13.8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2:36" ht="13.8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2:36" ht="13.8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2:36" ht="13.8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2:36" ht="13.8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2:36" ht="13.8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2:36" ht="13.8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2:36" ht="13.8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2:36" ht="13.8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2:36" ht="13.8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2:36" ht="13.8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2:36" ht="13.8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2:36" ht="13.8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2:36" ht="13.8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2:36" ht="13.8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2:36" ht="13.8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2:36" ht="13.8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2:36" ht="13.8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2:36" ht="13.8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2:36" ht="13.8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2:36" ht="13.8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2:36" ht="13.8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2:36" ht="13.8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2:36" ht="13.8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2:36" ht="13.8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2:36" ht="13.8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2:36" ht="13.8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2:36" ht="13.8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2:36" ht="13.8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2:36" ht="13.8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2:36" ht="13.8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2:36" ht="13.8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2:36" ht="13.8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2:36" ht="13.8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2:36" ht="13.8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2:36" ht="13.8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2:36" ht="13.8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2:36" ht="13.8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2:36" ht="13.8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2:36" ht="13.8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2:36" ht="13.8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2:36" ht="13.8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2:36" ht="13.8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2:36" ht="13.8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2:36" ht="13.8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2:36" ht="13.8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2:36" ht="13.8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2:36" ht="13.8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2:36" ht="13.8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2:36" ht="13.8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2:36" ht="13.8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2:36" ht="13.8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2:36" ht="13.8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2:36" ht="13.8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2:36" ht="13.8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2:36" ht="13.8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2:36" ht="13.8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2:36" ht="13.8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2:36" ht="13.8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2:36" ht="13.8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2:36" ht="13.8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2:36" ht="13.8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2:36" ht="13.8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2:36" ht="13.8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2:36" ht="13.8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2:36" ht="13.8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2:36" ht="13.8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2:36" ht="13.8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2:36" ht="13.8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2:36" ht="13.8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2:36" ht="13.8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2:36" ht="13.8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2:36" ht="13.8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2:36" ht="13.8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2:36" ht="13.8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2:36" ht="13.8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2:36" ht="13.8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2:36" ht="13.8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2:36" ht="13.8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2:36" ht="13.8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2:36" ht="13.8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2:36" ht="13.8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2:36" ht="13.8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2:36" ht="13.8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2:36" ht="13.8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2:36" ht="13.8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2:36" ht="13.8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2:36" ht="13.8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2:36" ht="13.8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2:36" ht="13.8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2:36" ht="13.8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2:36" ht="13.8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2:36" ht="13.8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2:36" ht="13.8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2:36" ht="13.8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2:36" ht="13.8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2:36" ht="13.8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2:36" ht="13.8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2:36" ht="13.8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2:36" ht="13.8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2:36" ht="13.8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2:36" ht="13.8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2:36" ht="13.8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2:36" ht="13.8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2:36" ht="13.8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2:36" ht="13.8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2:36" ht="13.8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2:36" ht="13.8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2:36" ht="13.8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2:36" ht="13.8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2:36" ht="13.8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2:36" ht="13.8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2:36" ht="13.8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2:36" ht="13.8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2:36" ht="13.8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2:36" ht="13.8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2:36" ht="13.8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2:36" ht="13.8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2:36" ht="13.8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2:36" ht="13.8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2:36" ht="13.8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2:36" ht="13.8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2:36" ht="13.8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2:36" ht="13.8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2:36" ht="13.8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2:36" ht="13.8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2:36" ht="13.8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2:36" ht="13.8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2:36" ht="13.8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2:36" ht="13.8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2:36" ht="13.8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2:36" ht="13.8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2:36" ht="13.8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2:36" ht="13.8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2:36" ht="13.8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2:36" ht="13.8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2:36" ht="13.8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2:36" ht="13.8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2:36" ht="13.8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2:36" ht="13.8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2:36" ht="13.8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2:36" ht="13.8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2:36" ht="13.8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2:36" ht="13.8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2:36" ht="13.8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2:36" ht="13.8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2:36" ht="13.8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2:36" ht="13.8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2:36" ht="13.8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2:36" ht="13.8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2:36" ht="13.8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2:36" ht="13.8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2:36" ht="13.8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2:36" ht="13.8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2:36" ht="13.8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2:36" ht="13.8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2:36" ht="13.8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2:36" ht="13.8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2:36" ht="13.8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2:36" ht="13.8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2:36" ht="13.8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2:36" ht="13.8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2:36" ht="13.8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2:36" ht="13.8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2:36" ht="13.8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2:36" ht="13.8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2:36" ht="13.8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2:36" ht="13.8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2:36" ht="13.8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2:36" ht="13.8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2:36" ht="13.8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2:36" ht="13.8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2:36" ht="13.8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2:36" ht="13.8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2:36" ht="13.8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2:36" ht="13.8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2:36" ht="13.8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2:36" ht="13.8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2:36" ht="13.8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2:36" ht="13.8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2:36" ht="13.8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2:36" ht="13.8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2:36" ht="13.8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2:36" ht="13.8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2:36" ht="13.8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2:36" ht="13.8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2:36" ht="13.8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2:36" ht="13.8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2:36" ht="13.8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2:36" ht="13.8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2:36" ht="13.8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2:36" ht="13.8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2:36" ht="13.8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2:36" ht="13.8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2:36" ht="13.8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2:36" ht="13.8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2:36" ht="13.8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2:36" ht="13.8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2:36" ht="13.8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2:36" ht="13.8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2:36" ht="13.8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2:36" ht="13.8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2:36" ht="13.8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2:36" ht="13.8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2:36" ht="13.8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2:36" ht="13.8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2:36" ht="13.8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2:36" ht="13.8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2:36" ht="13.8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2:36" ht="13.8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2:36" ht="13.8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2:36" ht="13.8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2:36" ht="13.8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2:36" ht="13.8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2:36" ht="13.8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2:36" ht="13.8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2:36" ht="13.8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2:36" ht="13.8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2:36" ht="13.8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2:36" ht="13.8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2:36" ht="13.8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2:36" ht="13.8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2:36" ht="13.8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2:36" ht="13.8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2:36" ht="13.8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2:36" ht="13.8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2:36" ht="13.8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2:36" ht="13.8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2:36" ht="13.8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2:36" ht="13.8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2:36" ht="13.8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2:36" ht="13.8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2:36" ht="13.8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2:36" ht="13.8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2:36" ht="13.8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2:36" ht="13.8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2:36" ht="13.8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2:36" ht="13.8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2:36" ht="13.8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2:36" ht="13.8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2:36" ht="13.8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2:36" ht="13.8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2:36" ht="13.8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2:36" ht="13.8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2:36" ht="13.8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2:36" ht="13.8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2:36" ht="13.8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2:36" ht="13.8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2:36" ht="13.8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2:36" ht="13.8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2:36" ht="13.8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2:36" ht="13.8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2:36" ht="13.8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2:36" ht="13.8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2:36" ht="13.8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2:36" ht="13.8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2:36" ht="13.8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2:36" ht="13.8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2:36" ht="13.8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2:36" ht="13.8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2:36" ht="13.8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2:36" ht="13.8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2:36" ht="13.8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2:36" ht="13.8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2:36" ht="13.8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2:36" ht="13.8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2:36" ht="13.8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2:36" ht="13.8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2:36" ht="13.8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2:36" ht="13.8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2:36" ht="13.8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2:36" ht="13.8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2:36" ht="13.8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2:36" ht="13.8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2:36" ht="13.8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2:36" ht="13.8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2:36" ht="13.8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2:36" ht="13.8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2:36" ht="13.8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2:36" ht="13.8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2:36" ht="13.8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2:36" ht="13.8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2:36" ht="13.8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2:36" ht="13.8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2:36" ht="13.8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2:36" ht="13.8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2:36" ht="13.8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2:36" ht="13.8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2:36" ht="13.8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2:36" ht="13.8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2:36" ht="13.8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2:36" ht="13.8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2:36" ht="13.8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2:36" ht="13.8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2:36" ht="13.8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2:36" ht="13.8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2:36" ht="13.8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2:36" ht="13.8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2:36" ht="13.8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2:36" ht="13.8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2:36" ht="13.8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2:36" ht="13.8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2:36" ht="13.8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2:36" ht="13.8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2:36" ht="13.8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2:36" ht="13.8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2:36" ht="13.8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2:36" ht="13.8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2:36" ht="13.8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2:36" ht="13.8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2:36" ht="13.8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2:36" ht="13.8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2:36" ht="13.8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2:36" ht="13.8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2:36" ht="13.8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2:36" ht="13.8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2:36" ht="13.8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2:36" ht="13.8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2:36" ht="13.8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2:36" ht="13.8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2:36" ht="13.8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2:36" ht="13.8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2:36" ht="13.8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2:36" ht="13.8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2:36" ht="13.8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2:36" ht="13.8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2:36" ht="13.8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2:36" ht="13.8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2:36" ht="13.8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2:36" ht="13.8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2:36" ht="13.8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2:36" ht="13.8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2:36" ht="13.8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2:36" ht="13.8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2:36" ht="13.8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2:36" ht="13.8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2:36" ht="13.8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2:36" ht="13.8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2:36" ht="13.8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2:36" ht="13.8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2:36" ht="13.8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2:36" ht="13.8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2:36" ht="13.8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2:36" ht="13.8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2:36" ht="13.8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2:36" ht="13.8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2:36" ht="13.8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2:36" ht="13.8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2:36" ht="13.8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2:36" ht="13.8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2:36" ht="13.8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2:36" ht="13.8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2:36" ht="13.8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2:36" ht="13.8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2:36" ht="13.8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2:36" ht="13.8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2:36" ht="13.8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2:36" ht="13.8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2:36" ht="13.8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2:36" ht="13.8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2:36" ht="13.8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2:36" ht="13.8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2:36" ht="13.8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2:36" ht="13.8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2:36" ht="13.8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2:36" ht="13.8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2:36" ht="13.8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2:36" ht="13.8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2:36" ht="13.8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2:36" ht="13.8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2:36" ht="13.8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2:36" ht="13.8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2:36" ht="13.8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2:36" ht="13.8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2:36" ht="13.8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2:36" ht="13.8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2:36" ht="13.8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2:36" ht="13.8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2:36" ht="13.8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2:36" ht="13.8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2:36" ht="13.8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2:36" ht="13.8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2:36" ht="13.8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2:36" ht="13.8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2:36" ht="13.8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2:36" ht="13.8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2:36" ht="13.8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2:36" ht="13.8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2:36" ht="13.8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2:36" ht="13.8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2:36" ht="13.8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2:36" ht="13.8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2:36" ht="13.8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2:36" ht="13.8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2:36" ht="13.8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2:36" ht="13.8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2:36" ht="13.8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2:36" ht="13.8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2:36" ht="13.8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2:36" ht="13.8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2:36" ht="13.8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2:36" ht="13.8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2:36" ht="13.8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2:36" ht="13.8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2:36" ht="13.8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2:36" ht="13.8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2:36" ht="13.8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2:36" ht="13.8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2:36" ht="13.8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2:36" ht="13.8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2:36" ht="13.8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2:36" ht="13.8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2:36" ht="13.8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2:36" ht="13.8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2:36" ht="13.8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2:36" ht="13.8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2:36" ht="13.8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2:36" ht="13.8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2:36" ht="13.8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2:36" ht="13.8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2:36" ht="13.8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2:36" ht="13.8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2:36" ht="13.8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2:36" ht="13.8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2:36" ht="13.8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2:36" ht="13.8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2:36" ht="13.8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2:36" ht="13.8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2:36" ht="13.8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2:36" ht="13.8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2:36" ht="13.8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2:36" ht="13.8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2:36" ht="13.8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2:36" ht="13.8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2:36" ht="13.8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2:36" ht="13.8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2:36" ht="13.8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2:36" ht="13.8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2:36" ht="13.8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2:36" ht="13.8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2:36" ht="13.8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2:36" ht="13.8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2:36" ht="13.8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2:36" ht="13.8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2:36" ht="13.8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2:36" ht="13.8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2:36" ht="13.8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2:36" ht="13.8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2:36" ht="13.8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2:36" ht="13.8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2:36" ht="13.8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2:36" ht="13.8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2:36" ht="13.8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2:36" ht="13.8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2:36" ht="13.8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2:36" ht="13.8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2:36" ht="13.8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2:36" ht="13.8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2:36" ht="13.8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2:36" ht="13.8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2:36" ht="13.8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2:36" ht="13.8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2:36" ht="13.8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2:36" ht="13.8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2:36" ht="13.8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2:36" ht="13.8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2:36" ht="13.8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2:36" ht="13.8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2:36" ht="13.8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2:36" ht="13.8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2:36" ht="13.8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2:36" ht="13.8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2:36" ht="13.8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2:36" ht="13.8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2:36" ht="13.8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2:36" ht="13.8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2:36" ht="13.8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2:36" ht="13.8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2:36" ht="13.8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2:36" ht="13.8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2:36" ht="13.8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2:36" ht="13.8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2:36" ht="13.8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2:36" ht="13.8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2:36" ht="13.8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2:36" ht="13.8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2:36" ht="13.8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2:36" ht="13.8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2:36" ht="13.8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2:36" ht="13.8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2:36" ht="13.8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2:36" ht="13.8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2:36" ht="13.8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2:36" ht="13.8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2:36" ht="13.8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2:36" ht="13.8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2:36" ht="13.8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2:36" ht="13.8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2:36" ht="13.8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2:36" ht="13.8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2:36" ht="13.8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2:36" ht="13.8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2:36" ht="13.8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2:36" ht="13.8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2:36" ht="13.8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2:36" ht="13.8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2:36" ht="13.8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2:36" ht="13.8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2:36" ht="13.8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2:36" ht="13.8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2:36" ht="13.8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2:36" ht="13.8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2:36" ht="13.8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2:36" ht="13.8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2:36" ht="13.8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2:36" ht="13.8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2:36" ht="13.8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2:36" ht="13.8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2:36" ht="13.8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2:36" ht="13.8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2:36" ht="13.8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2:36" ht="13.8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2:36" ht="13.8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2:36" ht="13.8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2:36" ht="13.8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2:36" ht="13.8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2:36" ht="13.8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2:36" ht="13.8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2:36" ht="13.8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2:36" ht="13.8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2:36" ht="13.8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2:36" ht="13.8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2:36" ht="13.8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2:36" ht="13.8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2:36" ht="13.8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2:36" ht="13.8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2:36" ht="13.8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2:36" ht="13.8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2:36" ht="13.8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2:36" ht="13.8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2:36" ht="13.8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2:36" ht="13.8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2:36" ht="13.8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2:36" ht="13.8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2:36" ht="13.8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2:36" ht="13.8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2:36" ht="13.8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2:36" ht="13.8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2:36" ht="13.8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2:36" ht="13.8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2:36" ht="13.8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2:36" ht="13.8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2:36" ht="13.8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2:36" ht="13.8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2:36" ht="13.8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2:36" ht="13.8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2:36" ht="13.8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2:36" ht="13.8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2:36" ht="13.8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2:36" ht="13.8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2:36" ht="13.8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2:36" ht="13.8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2:36" ht="13.8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2:36" ht="13.8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2:36" ht="13.8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2:36" ht="13.8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2:36" ht="13.8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2:36" ht="13.8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2:36" ht="13.8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2:36" ht="13.8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2:36" ht="13.8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2:36" ht="13.8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2:36" ht="13.8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2:36" ht="13.8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2:36" ht="13.8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2:36" ht="13.8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2:36" ht="13.8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2:36" ht="13.8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2:36" ht="13.8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2:36" ht="13.8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2:36" ht="13.8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2:36" ht="13.8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2:36" ht="13.8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2:36" ht="13.8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2:36" ht="13.8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2:36" ht="13.8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2:36" ht="13.8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2:36" ht="13.8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2:36" ht="13.8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2:36" ht="13.8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2:36" ht="13.8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2:36" ht="13.8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2:36" ht="13.8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2:36" ht="13.8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2:36" ht="13.8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2:36" ht="13.8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2:36" ht="13.8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2:36" ht="13.8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2:36" ht="13.8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2:36" ht="13.8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2:36" ht="13.8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2:36" ht="13.8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2:36" ht="13.8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2:36" ht="13.8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2:36" ht="13.8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2:36" ht="13.8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2:36" ht="13.8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2:36" ht="13.8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2:36" ht="13.8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2:36" ht="13.8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2:36" ht="13.8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2:36" ht="13.8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2:36" ht="13.8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2:36" ht="13.8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2:36" ht="13.8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2:36" ht="13.8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2:36" ht="13.8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2:36" ht="13.8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2:36" ht="13.8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2:36" ht="13.8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2:36" ht="13.8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2:36" ht="13.8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2:36" ht="13.8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2:36" ht="13.8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2:36" ht="13.8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2:36" ht="13.8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2:36" ht="13.8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2:36" ht="13.8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2:36" ht="13.8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2:36" ht="13.8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2:36" ht="13.8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2:36" ht="13.8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2:36" ht="13.8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2:36" ht="13.8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2:36" ht="13.8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2:36" ht="13.8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2:36" ht="13.8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2:36" ht="13.8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2:36" ht="13.8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2:36" ht="13.8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2:36" ht="13.8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2:36" ht="13.8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2:36" ht="13.8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2:36" ht="13.8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2:36" ht="13.8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2:36" ht="13.8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2:36" ht="13.8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2:36" ht="13.8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2:36" ht="13.8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2:36" ht="13.8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2:36" ht="13.8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2:36" ht="13.8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2:36" ht="13.8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2:36" ht="13.8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2:36" ht="13.8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2:36" ht="13.8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2:36" ht="13.8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2:36" ht="13.8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2:36" ht="13.8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2:36" ht="13.8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2:36" ht="13.8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2:36" ht="13.8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2:36" ht="13.8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2:36" ht="13.8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2:36" ht="13.8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2:36" ht="13.8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2:36" ht="13.8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2:36" ht="13.8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2:36" ht="13.8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2:36" ht="13.8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2:36" ht="13.8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2:36" ht="13.8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2:36" ht="13.8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2:36" ht="13.8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2:36" ht="13.8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2:36" ht="13.8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2:36" ht="13.8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2:36" ht="13.8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2:36" ht="13.8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2:36" ht="13.8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2:36" ht="13.8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2:36" ht="13.8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2:36" ht="13.8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2:36" ht="13.8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2:36" ht="13.8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2:36" ht="13.8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2:36" ht="13.8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2:36" ht="13.8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2:36" ht="13.8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2:36" ht="13.8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2:36" ht="13.8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2:36" ht="13.8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2:36" ht="13.8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2:36" ht="13.8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2:36" ht="13.8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2:36" ht="13.8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2:36" ht="13.8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2:36" ht="13.8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2:36" ht="13.8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2:36" ht="13.8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2:36" ht="13.8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2:36" ht="13.8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2:36" ht="13.8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2:36" ht="13.8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2:36" ht="13.8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2:36" ht="13.8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2:36" ht="13.8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2:36" ht="13.8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2:36" ht="13.8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2:36" ht="13.8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2:36" ht="13.8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spans="2:36" ht="13.8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spans="2:36" ht="13.8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spans="2:36" ht="13.8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spans="2:36" ht="13.8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spans="2:36" ht="13.8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spans="2:36" ht="13.8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spans="2:36" ht="13.8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spans="2:36" ht="13.8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spans="2:36" ht="13.8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spans="2:36" ht="13.8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spans="2:36" ht="13.8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spans="2:36" ht="13.8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spans="2:36" ht="13.8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spans="2:36" ht="13.8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spans="2:36" ht="13.8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spans="2:36" ht="13.8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spans="2:36" ht="13.8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spans="2:36" ht="13.8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spans="2:36" ht="13.8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spans="2:36" ht="13.8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spans="2:36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spans="2:36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</sheetData>
  <mergeCells count="9">
    <mergeCell ref="AJ5:AJ6"/>
    <mergeCell ref="B5:B6"/>
    <mergeCell ref="AH5:AH6"/>
    <mergeCell ref="AI5:AI6"/>
    <mergeCell ref="U5:AF5"/>
    <mergeCell ref="D5:O5"/>
    <mergeCell ref="Q5:Q6"/>
    <mergeCell ref="R5:R6"/>
    <mergeCell ref="S5:S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9CB9C"/>
    <outlinePr summaryBelow="0" summaryRight="0"/>
  </sheetPr>
  <dimension ref="A1:AJ997"/>
  <sheetViews>
    <sheetView showGridLines="0" topLeftCell="A8" zoomScale="86" zoomScaleNormal="86" workbookViewId="0">
      <pane xSplit="2" topLeftCell="D1" activePane="topRight" state="frozen"/>
      <selection pane="topRight" activeCell="N23" sqref="N23"/>
    </sheetView>
  </sheetViews>
  <sheetFormatPr baseColWidth="10" defaultColWidth="12.5546875" defaultRowHeight="15" customHeight="1"/>
  <cols>
    <col min="1" max="1" width="8.44140625" style="62" customWidth="1"/>
    <col min="2" max="3" width="38.109375" style="62" customWidth="1"/>
    <col min="4" max="4" width="15.44140625" style="62" customWidth="1"/>
    <col min="5" max="5" width="14.44140625" style="62" customWidth="1"/>
    <col min="6" max="6" width="15.33203125" style="62" customWidth="1"/>
    <col min="7" max="7" width="13.88671875" style="62" customWidth="1"/>
    <col min="8" max="8" width="14.33203125" style="62" customWidth="1"/>
    <col min="9" max="9" width="14.6640625" style="62" customWidth="1"/>
    <col min="10" max="10" width="12.5546875" style="62"/>
    <col min="11" max="11" width="10.5546875" style="62" customWidth="1"/>
    <col min="12" max="12" width="9.88671875" style="62" customWidth="1"/>
    <col min="13" max="13" width="10.88671875" style="62" customWidth="1"/>
    <col min="14" max="15" width="12.5546875" style="62"/>
    <col min="16" max="16" width="4.5546875" style="62" customWidth="1"/>
    <col min="17" max="19" width="12.5546875" style="62"/>
    <col min="20" max="20" width="3.88671875" style="62" customWidth="1"/>
    <col min="21" max="21" width="15.44140625" style="62" customWidth="1"/>
    <col min="22" max="22" width="14.44140625" style="62" customWidth="1"/>
    <col min="23" max="23" width="15.33203125" style="62" customWidth="1"/>
    <col min="24" max="24" width="13.88671875" style="62" customWidth="1"/>
    <col min="25" max="25" width="14.33203125" style="62" customWidth="1"/>
    <col min="26" max="26" width="14.6640625" style="62" customWidth="1"/>
    <col min="27" max="27" width="12.5546875" style="62"/>
    <col min="28" max="28" width="10.5546875" style="62" customWidth="1"/>
    <col min="29" max="29" width="9.88671875" style="62" customWidth="1"/>
    <col min="30" max="30" width="10.88671875" style="62" customWidth="1"/>
    <col min="31" max="16384" width="12.5546875" style="62"/>
  </cols>
  <sheetData>
    <row r="1" spans="1:36" ht="15.75" customHeight="1">
      <c r="A1" s="60"/>
      <c r="B1" s="60"/>
      <c r="C1" s="60"/>
      <c r="D1" s="60"/>
      <c r="E1" s="60"/>
      <c r="F1" s="60"/>
      <c r="G1" s="60"/>
      <c r="H1" s="60"/>
      <c r="I1" s="60"/>
      <c r="T1" s="60"/>
      <c r="U1" s="60"/>
      <c r="V1" s="60"/>
      <c r="W1" s="60"/>
      <c r="X1" s="60"/>
      <c r="Y1" s="60"/>
      <c r="Z1" s="60"/>
    </row>
    <row r="2" spans="1:36" ht="15.75" customHeight="1">
      <c r="A2" s="60"/>
      <c r="B2" s="60"/>
      <c r="C2" s="60"/>
      <c r="D2" s="60"/>
      <c r="E2" s="60"/>
      <c r="F2" s="60"/>
      <c r="G2" s="60"/>
      <c r="H2" s="60"/>
      <c r="I2" s="60"/>
      <c r="T2" s="60"/>
      <c r="U2" s="60"/>
      <c r="V2" s="60"/>
      <c r="W2" s="60"/>
      <c r="X2" s="60"/>
      <c r="Y2" s="60"/>
      <c r="Z2" s="60"/>
    </row>
    <row r="3" spans="1:36" ht="25.5" customHeight="1">
      <c r="A3" s="172"/>
      <c r="B3" s="172" t="s">
        <v>56</v>
      </c>
      <c r="C3" s="172"/>
      <c r="D3" s="309">
        <v>2022</v>
      </c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T3" s="172"/>
      <c r="U3" s="309">
        <v>2023</v>
      </c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</row>
    <row r="4" spans="1:36" ht="15.75" customHeight="1">
      <c r="A4" s="170"/>
      <c r="B4" s="297" t="s">
        <v>2</v>
      </c>
      <c r="C4" s="4"/>
      <c r="D4" s="311" t="s">
        <v>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Q4" s="303" t="s">
        <v>5</v>
      </c>
      <c r="R4" s="303" t="s">
        <v>6</v>
      </c>
      <c r="S4" s="303" t="s">
        <v>7</v>
      </c>
      <c r="T4" s="4"/>
      <c r="U4" s="311" t="s">
        <v>3</v>
      </c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H4" s="303" t="s">
        <v>5</v>
      </c>
      <c r="AI4" s="303" t="s">
        <v>6</v>
      </c>
      <c r="AJ4" s="303" t="s">
        <v>115</v>
      </c>
    </row>
    <row r="5" spans="1:36" ht="15.75" customHeight="1">
      <c r="A5" s="170"/>
      <c r="B5" s="310"/>
      <c r="D5" s="66" t="s">
        <v>8</v>
      </c>
      <c r="E5" s="67">
        <v>44614</v>
      </c>
      <c r="F5" s="67">
        <v>44642</v>
      </c>
      <c r="G5" s="67" t="s">
        <v>9</v>
      </c>
      <c r="H5" s="67">
        <v>44703</v>
      </c>
      <c r="I5" s="173">
        <v>44734</v>
      </c>
      <c r="J5" s="173">
        <v>44764</v>
      </c>
      <c r="K5" s="11" t="s">
        <v>10</v>
      </c>
      <c r="L5" s="11">
        <v>44805</v>
      </c>
      <c r="M5" s="11">
        <v>44835</v>
      </c>
      <c r="N5" s="11">
        <v>44866</v>
      </c>
      <c r="O5" s="12" t="s">
        <v>12</v>
      </c>
      <c r="Q5" s="298"/>
      <c r="R5" s="298"/>
      <c r="S5" s="298"/>
      <c r="U5" s="66" t="s">
        <v>111</v>
      </c>
      <c r="V5" s="67">
        <v>44980</v>
      </c>
      <c r="W5" s="67">
        <v>45008</v>
      </c>
      <c r="X5" s="67" t="s">
        <v>112</v>
      </c>
      <c r="Y5" s="67">
        <v>45069</v>
      </c>
      <c r="Z5" s="173">
        <v>45100</v>
      </c>
      <c r="AA5" s="173">
        <v>45130</v>
      </c>
      <c r="AB5" s="11" t="s">
        <v>113</v>
      </c>
      <c r="AC5" s="11">
        <v>45170</v>
      </c>
      <c r="AD5" s="11">
        <v>45200</v>
      </c>
      <c r="AE5" s="11">
        <v>45231</v>
      </c>
      <c r="AF5" s="12" t="s">
        <v>114</v>
      </c>
      <c r="AH5" s="298"/>
      <c r="AI5" s="298"/>
      <c r="AJ5" s="298"/>
    </row>
    <row r="6" spans="1:36" ht="15.75" customHeight="1">
      <c r="A6" s="68"/>
      <c r="B6" s="68"/>
      <c r="C6" s="68"/>
      <c r="D6" s="202"/>
      <c r="E6" s="174"/>
      <c r="F6" s="174"/>
      <c r="G6" s="174"/>
      <c r="H6" s="174"/>
      <c r="I6" s="174"/>
      <c r="T6" s="68"/>
      <c r="U6" s="174"/>
      <c r="V6" s="174"/>
      <c r="W6" s="174"/>
      <c r="X6" s="174"/>
      <c r="Y6" s="174"/>
      <c r="Z6" s="174"/>
    </row>
    <row r="7" spans="1:36" ht="15.75" customHeight="1">
      <c r="A7" s="79"/>
      <c r="B7" s="16" t="s">
        <v>13</v>
      </c>
      <c r="C7" s="16"/>
      <c r="D7" s="59">
        <v>37252.79</v>
      </c>
      <c r="E7" s="59">
        <v>77860.639999999999</v>
      </c>
      <c r="F7" s="59">
        <v>146069.24</v>
      </c>
      <c r="G7" s="59">
        <v>129270.25</v>
      </c>
      <c r="H7" s="59">
        <v>177945.28999999998</v>
      </c>
      <c r="I7" s="59">
        <v>141042.94</v>
      </c>
      <c r="J7" s="59">
        <f t="shared" ref="J7:N7" si="0">SUM(J8:J15)</f>
        <v>62497.060000000005</v>
      </c>
      <c r="K7" s="59">
        <f t="shared" si="0"/>
        <v>30533.279999999999</v>
      </c>
      <c r="L7" s="59">
        <f t="shared" si="0"/>
        <v>64233.96</v>
      </c>
      <c r="M7" s="59">
        <f t="shared" si="0"/>
        <v>95714.01999999999</v>
      </c>
      <c r="N7" s="59">
        <f t="shared" si="0"/>
        <v>150930.71</v>
      </c>
      <c r="O7" s="8"/>
      <c r="Q7" s="59">
        <f>SUM(D7:I7)</f>
        <v>709441.14999999991</v>
      </c>
      <c r="R7" s="123">
        <f>SUM(J7:O7)</f>
        <v>403909.02999999997</v>
      </c>
      <c r="S7" s="181">
        <f>SUM(D7:O7)</f>
        <v>1113350.18</v>
      </c>
      <c r="T7" s="16"/>
      <c r="U7" s="59">
        <f>SUM(U8:U15)</f>
        <v>37252.79</v>
      </c>
      <c r="V7" s="59">
        <f t="shared" ref="V7:AE7" si="1">SUM(V8:V15)</f>
        <v>77860.639999999999</v>
      </c>
      <c r="W7" s="59">
        <f t="shared" si="1"/>
        <v>146069.24</v>
      </c>
      <c r="X7" s="59">
        <f t="shared" si="1"/>
        <v>129270.25</v>
      </c>
      <c r="Y7" s="59">
        <f t="shared" si="1"/>
        <v>177945.28999999998</v>
      </c>
      <c r="Z7" s="59">
        <f t="shared" si="1"/>
        <v>141042.94</v>
      </c>
      <c r="AA7" s="59">
        <f t="shared" si="1"/>
        <v>62497.060000000005</v>
      </c>
      <c r="AB7" s="59">
        <f t="shared" si="1"/>
        <v>30533.279999999999</v>
      </c>
      <c r="AC7" s="59">
        <f t="shared" si="1"/>
        <v>62515.78</v>
      </c>
      <c r="AD7" s="59">
        <f t="shared" si="1"/>
        <v>90932.2</v>
      </c>
      <c r="AE7" s="59">
        <f t="shared" si="1"/>
        <v>144229.88</v>
      </c>
      <c r="AF7" s="8"/>
      <c r="AH7" s="59">
        <f>SUM(U7:Z7)</f>
        <v>709441.14999999991</v>
      </c>
      <c r="AI7" s="123">
        <f>SUM(AA7:AF7)</f>
        <v>390708.2</v>
      </c>
      <c r="AJ7" s="181">
        <f>SUM(U7:AF7)</f>
        <v>1100149.3500000001</v>
      </c>
    </row>
    <row r="8" spans="1:36" ht="15.75" customHeight="1">
      <c r="A8" s="308" t="s">
        <v>57</v>
      </c>
      <c r="B8" s="4" t="s">
        <v>58</v>
      </c>
      <c r="C8" s="4"/>
      <c r="D8" s="19">
        <v>8111.51</v>
      </c>
      <c r="E8" s="19">
        <v>19930.55</v>
      </c>
      <c r="F8" s="19">
        <v>29586.2</v>
      </c>
      <c r="G8" s="19">
        <v>23489.85</v>
      </c>
      <c r="H8" s="19">
        <v>32869.770000000004</v>
      </c>
      <c r="I8" s="19">
        <v>32926.07</v>
      </c>
      <c r="J8" s="19">
        <v>10631.9</v>
      </c>
      <c r="K8" s="19">
        <f>780.09+6916.52</f>
        <v>7696.6100000000006</v>
      </c>
      <c r="L8" s="19">
        <f>1838.2+1.04+17226.98+73.88</f>
        <v>19140.100000000002</v>
      </c>
      <c r="M8" s="19">
        <f>819.69+23873.56+57.52</f>
        <v>24750.77</v>
      </c>
      <c r="N8" s="19">
        <f>544.29+34948.48</f>
        <v>35492.770000000004</v>
      </c>
      <c r="O8" s="20"/>
      <c r="Q8" s="19">
        <f t="shared" ref="Q8:Q15" si="2">SUM(D8:I8)</f>
        <v>146913.94999999998</v>
      </c>
      <c r="R8" s="20">
        <f t="shared" ref="R8:R15" si="3">SUM(J8:O8)</f>
        <v>97712.150000000009</v>
      </c>
      <c r="S8" s="21">
        <f t="shared" ref="S8:S15" si="4">SUM(D8:O8)</f>
        <v>244626.09999999998</v>
      </c>
      <c r="T8" s="4"/>
      <c r="U8" s="19">
        <f>'[1]Facebook-Total-Clínica'!C9+'[1]Google-Total-Clínica'!B9</f>
        <v>8111.51</v>
      </c>
      <c r="V8" s="19">
        <f>'[1]Facebook-Total-Clínica'!D9+'[1]Google-Total-Clínica'!C9</f>
        <v>19930.55</v>
      </c>
      <c r="W8" s="19">
        <f>'[1]Facebook-Total-Clínica'!E9+'[1]Google-Total-Clínica'!D9</f>
        <v>29586.2</v>
      </c>
      <c r="X8" s="19">
        <f>'[1]Facebook-Total-Clínica'!F9+'[1]Google-Total-Clínica'!E9</f>
        <v>23489.85</v>
      </c>
      <c r="Y8" s="19">
        <f>'[1]Facebook-Total-Clínica'!G9+'[1]Google-Total-Clínica'!F9</f>
        <v>32869.770000000004</v>
      </c>
      <c r="Z8" s="19">
        <f>'[1]Facebook-Total-Clínica'!H9+'[1]Google-Total-Clínica'!G9</f>
        <v>32926.07</v>
      </c>
      <c r="AA8" s="19">
        <v>10631.9</v>
      </c>
      <c r="AB8" s="19">
        <f>780.09+6916.52</f>
        <v>7696.6100000000006</v>
      </c>
      <c r="AC8" s="19">
        <f>1838.2+1.04+17226.98+73.88</f>
        <v>19140.100000000002</v>
      </c>
      <c r="AD8" s="19">
        <f>819.69+23873.56+57.52</f>
        <v>24750.77</v>
      </c>
      <c r="AE8" s="19">
        <f>544.29+34948.48</f>
        <v>35492.770000000004</v>
      </c>
      <c r="AF8" s="20"/>
      <c r="AH8" s="19">
        <f t="shared" ref="AH8:AH15" si="5">SUM(U8:Z8)</f>
        <v>146913.94999999998</v>
      </c>
      <c r="AI8" s="20">
        <f t="shared" ref="AI8:AI15" si="6">SUM(AA8:AF8)</f>
        <v>97712.150000000009</v>
      </c>
      <c r="AJ8" s="21">
        <f t="shared" ref="AJ8:AJ15" si="7">SUM(U8:AF8)</f>
        <v>244626.09999999998</v>
      </c>
    </row>
    <row r="9" spans="1:36" ht="15.75" customHeight="1">
      <c r="A9" s="308"/>
      <c r="B9" s="4" t="s">
        <v>59</v>
      </c>
      <c r="C9" s="4"/>
      <c r="D9" s="19"/>
      <c r="E9" s="19">
        <v>22470.77</v>
      </c>
      <c r="F9" s="19">
        <v>53409.41</v>
      </c>
      <c r="G9" s="19">
        <v>35580.300000000003</v>
      </c>
      <c r="H9" s="19">
        <v>34088.53</v>
      </c>
      <c r="I9" s="19">
        <v>37802.400000000001</v>
      </c>
      <c r="J9" s="19">
        <v>11782.77</v>
      </c>
      <c r="K9" s="19">
        <f>454.54+7651.71</f>
        <v>8106.25</v>
      </c>
      <c r="L9" s="19">
        <f>1039.7+12837.39</f>
        <v>13877.09</v>
      </c>
      <c r="M9" s="19">
        <f>777.11+21281.96</f>
        <v>22059.07</v>
      </c>
      <c r="N9" s="19">
        <f>329.34+31091.2</f>
        <v>31420.54</v>
      </c>
      <c r="O9" s="20"/>
      <c r="Q9" s="19">
        <f t="shared" si="2"/>
        <v>183351.41</v>
      </c>
      <c r="R9" s="20">
        <f t="shared" si="3"/>
        <v>87245.72</v>
      </c>
      <c r="S9" s="21">
        <f t="shared" si="4"/>
        <v>270597.13</v>
      </c>
      <c r="T9" s="4"/>
      <c r="U9" s="19">
        <f>'[1]Facebook-Total-Clínica'!C10+'[1]Google-Total-Clínica'!B10</f>
        <v>7392.7300000000005</v>
      </c>
      <c r="V9" s="19">
        <f>'[1]Facebook-Total-Clínica'!D10+'[1]Google-Total-Clínica'!C10</f>
        <v>22470.77</v>
      </c>
      <c r="W9" s="19">
        <f>'[1]Facebook-Total-Clínica'!E10+'[1]Google-Total-Clínica'!D10</f>
        <v>53409.41</v>
      </c>
      <c r="X9" s="19">
        <f>'[1]Facebook-Total-Clínica'!F10+'[1]Google-Total-Clínica'!E10</f>
        <v>35580.300000000003</v>
      </c>
      <c r="Y9" s="19">
        <f>'[1]Facebook-Total-Clínica'!G10+'[1]Google-Total-Clínica'!F10</f>
        <v>34088.53</v>
      </c>
      <c r="Z9" s="19">
        <f>'[1]Facebook-Total-Clínica'!H10+'[1]Google-Total-Clínica'!G10</f>
        <v>37802.400000000001</v>
      </c>
      <c r="AA9" s="19">
        <v>11782.77</v>
      </c>
      <c r="AB9" s="19">
        <f>454.54+7651.71</f>
        <v>8106.25</v>
      </c>
      <c r="AC9" s="19">
        <f>1039.7+12837.39</f>
        <v>13877.09</v>
      </c>
      <c r="AD9" s="19">
        <f>777.11+21281.96</f>
        <v>22059.07</v>
      </c>
      <c r="AE9" s="19">
        <f>329.34+31091.2</f>
        <v>31420.54</v>
      </c>
      <c r="AF9" s="20"/>
      <c r="AH9" s="19">
        <f t="shared" si="5"/>
        <v>190744.13999999998</v>
      </c>
      <c r="AI9" s="20">
        <f t="shared" si="6"/>
        <v>87245.72</v>
      </c>
      <c r="AJ9" s="21">
        <f t="shared" si="7"/>
        <v>277989.86</v>
      </c>
    </row>
    <row r="10" spans="1:36" ht="15.75" customHeight="1">
      <c r="A10" s="308"/>
      <c r="B10" s="4" t="s">
        <v>60</v>
      </c>
      <c r="C10" s="4"/>
      <c r="D10" s="19">
        <v>67.680000000000007</v>
      </c>
      <c r="E10" s="19">
        <v>79.259999999999991</v>
      </c>
      <c r="F10" s="19">
        <v>3467.18</v>
      </c>
      <c r="G10" s="19">
        <v>7792.77</v>
      </c>
      <c r="H10" s="19">
        <v>20134.599999999999</v>
      </c>
      <c r="I10" s="19">
        <v>14904.259999999998</v>
      </c>
      <c r="J10" s="19">
        <v>4891.68</v>
      </c>
      <c r="K10" s="19">
        <f>669.95+1141.5</f>
        <v>1811.45</v>
      </c>
      <c r="L10" s="19">
        <f>1.6+2855.2+509.25+20</f>
        <v>3386.0499999999997</v>
      </c>
      <c r="M10" s="19">
        <f>0.04+6194.62+183.86+16.99</f>
        <v>6395.5099999999993</v>
      </c>
      <c r="N10" s="19">
        <f>29.39+10531.07</f>
        <v>10560.46</v>
      </c>
      <c r="O10" s="20"/>
      <c r="Q10" s="19">
        <f t="shared" si="2"/>
        <v>46445.75</v>
      </c>
      <c r="R10" s="20">
        <f t="shared" si="3"/>
        <v>27045.149999999998</v>
      </c>
      <c r="S10" s="21">
        <f t="shared" si="4"/>
        <v>73490.899999999994</v>
      </c>
      <c r="T10" s="4"/>
      <c r="U10" s="19">
        <f>'[1]Facebook-Total-Clínica'!C11+'[1]Google-Total-Clínica'!B11</f>
        <v>67.680000000000007</v>
      </c>
      <c r="V10" s="19">
        <f>'[1]Facebook-Total-Clínica'!D11+'[1]Google-Total-Clínica'!C11</f>
        <v>79.259999999999991</v>
      </c>
      <c r="W10" s="19">
        <f>'[1]Facebook-Total-Clínica'!E11+'[1]Google-Total-Clínica'!D11</f>
        <v>3467.18</v>
      </c>
      <c r="X10" s="19">
        <f>'[1]Facebook-Total-Clínica'!F11+'[1]Google-Total-Clínica'!E11</f>
        <v>7792.77</v>
      </c>
      <c r="Y10" s="19">
        <f>'[1]Facebook-Total-Clínica'!G11+'[1]Google-Total-Clínica'!F11</f>
        <v>20134.599999999999</v>
      </c>
      <c r="Z10" s="19">
        <f>'[1]Facebook-Total-Clínica'!H11+'[1]Google-Total-Clínica'!G11</f>
        <v>14904.259999999998</v>
      </c>
      <c r="AA10" s="19">
        <v>4891.68</v>
      </c>
      <c r="AB10" s="19">
        <f>669.95+1141.5</f>
        <v>1811.45</v>
      </c>
      <c r="AC10" s="19">
        <f>1.6+2855.2+509.25+20</f>
        <v>3386.0499999999997</v>
      </c>
      <c r="AD10" s="19">
        <f>0.04+6194.62+183.86+16.99</f>
        <v>6395.5099999999993</v>
      </c>
      <c r="AE10" s="19">
        <f>29.39+10531.07</f>
        <v>10560.46</v>
      </c>
      <c r="AF10" s="20"/>
      <c r="AH10" s="19">
        <f t="shared" si="5"/>
        <v>46445.75</v>
      </c>
      <c r="AI10" s="20">
        <f t="shared" si="6"/>
        <v>27045.149999999998</v>
      </c>
      <c r="AJ10" s="21">
        <f t="shared" si="7"/>
        <v>73490.899999999994</v>
      </c>
    </row>
    <row r="11" spans="1:36" ht="15.75" customHeight="1">
      <c r="A11" s="308"/>
      <c r="B11" s="4" t="s">
        <v>61</v>
      </c>
      <c r="C11" s="4"/>
      <c r="D11" s="19">
        <v>148.69999999999999</v>
      </c>
      <c r="E11" s="19">
        <v>6.95</v>
      </c>
      <c r="F11" s="19">
        <v>16.14</v>
      </c>
      <c r="G11" s="19">
        <v>30.97</v>
      </c>
      <c r="H11" s="19">
        <v>4.33</v>
      </c>
      <c r="I11" s="19">
        <v>116.38999999999999</v>
      </c>
      <c r="J11" s="19">
        <v>2090.5100000000002</v>
      </c>
      <c r="K11" s="19"/>
      <c r="L11" s="19"/>
      <c r="M11" s="19"/>
      <c r="N11" s="19"/>
      <c r="O11" s="20"/>
      <c r="Q11" s="19">
        <f t="shared" si="2"/>
        <v>323.47999999999996</v>
      </c>
      <c r="R11" s="20">
        <f t="shared" si="3"/>
        <v>2090.5100000000002</v>
      </c>
      <c r="S11" s="21">
        <f t="shared" si="4"/>
        <v>2413.9900000000002</v>
      </c>
      <c r="T11" s="4"/>
      <c r="U11" s="19">
        <f>'[1]Facebook-Total-Clínica'!C12+'[1]Google-Total-Clínica'!B12</f>
        <v>148.69999999999999</v>
      </c>
      <c r="V11" s="19">
        <f>'[1]Facebook-Total-Clínica'!D12+'[1]Google-Total-Clínica'!C12</f>
        <v>6.95</v>
      </c>
      <c r="W11" s="19">
        <f>'[1]Facebook-Total-Clínica'!E12+'[1]Google-Total-Clínica'!D12</f>
        <v>16.14</v>
      </c>
      <c r="X11" s="19">
        <f>'[1]Facebook-Total-Clínica'!F12+'[1]Google-Total-Clínica'!E12</f>
        <v>30.97</v>
      </c>
      <c r="Y11" s="19">
        <f>'[1]Facebook-Total-Clínica'!G12+'[1]Google-Total-Clínica'!F12</f>
        <v>4.33</v>
      </c>
      <c r="Z11" s="19">
        <f>'[1]Facebook-Total-Clínica'!H12+'[1]Google-Total-Clínica'!G12</f>
        <v>116.38999999999999</v>
      </c>
      <c r="AA11" s="19">
        <v>2090.5100000000002</v>
      </c>
      <c r="AB11" s="19"/>
      <c r="AC11" s="19"/>
      <c r="AD11" s="19"/>
      <c r="AE11" s="19"/>
      <c r="AF11" s="20"/>
      <c r="AH11" s="19">
        <f t="shared" si="5"/>
        <v>323.47999999999996</v>
      </c>
      <c r="AI11" s="20">
        <f t="shared" si="6"/>
        <v>2090.5100000000002</v>
      </c>
      <c r="AJ11" s="21">
        <f t="shared" si="7"/>
        <v>2413.9900000000002</v>
      </c>
    </row>
    <row r="12" spans="1:36" ht="15.75" customHeight="1">
      <c r="A12" s="308" t="s">
        <v>46</v>
      </c>
      <c r="B12" s="4" t="s">
        <v>124</v>
      </c>
      <c r="C12" s="4"/>
      <c r="D12" s="19">
        <v>8724.61</v>
      </c>
      <c r="E12" s="19">
        <v>13346.400000000001</v>
      </c>
      <c r="F12" s="19">
        <v>20832.650000000001</v>
      </c>
      <c r="G12" s="19">
        <v>21925.98</v>
      </c>
      <c r="H12" s="19">
        <v>33708.83</v>
      </c>
      <c r="I12" s="19">
        <v>22511.98</v>
      </c>
      <c r="J12" s="19">
        <v>11725.3</v>
      </c>
      <c r="K12" s="19">
        <f>11.73+2178.88+162+271.34</f>
        <v>2623.9500000000003</v>
      </c>
      <c r="L12" s="19">
        <f>6+4574.41+84.48+270.7</f>
        <v>4935.5899999999992</v>
      </c>
      <c r="M12" s="19">
        <f>258.07+8273.78+54.96+154.62</f>
        <v>8741.43</v>
      </c>
      <c r="N12" s="19">
        <f>8.03+15754.37+107.6</f>
        <v>15870.000000000002</v>
      </c>
      <c r="O12" s="20"/>
      <c r="Q12" s="19">
        <f t="shared" si="2"/>
        <v>121050.45</v>
      </c>
      <c r="R12" s="20">
        <f t="shared" si="3"/>
        <v>43896.270000000004</v>
      </c>
      <c r="S12" s="21">
        <f t="shared" si="4"/>
        <v>164946.72</v>
      </c>
      <c r="T12" s="4"/>
      <c r="U12" s="19">
        <f>'[1]Facebook-Total-Clínica'!C13+'[1]Google-Total-Clínica'!B13</f>
        <v>8724.61</v>
      </c>
      <c r="V12" s="19">
        <f>'[1]Facebook-Total-Clínica'!D13+'[1]Google-Total-Clínica'!C13</f>
        <v>13346.400000000001</v>
      </c>
      <c r="W12" s="19">
        <f>'[1]Facebook-Total-Clínica'!E13+'[1]Google-Total-Clínica'!D13</f>
        <v>20832.650000000001</v>
      </c>
      <c r="X12" s="19">
        <f>'[1]Facebook-Total-Clínica'!F13+'[1]Google-Total-Clínica'!E13</f>
        <v>21925.98</v>
      </c>
      <c r="Y12" s="19">
        <f>'[1]Facebook-Total-Clínica'!G13+'[1]Google-Total-Clínica'!F13</f>
        <v>33708.83</v>
      </c>
      <c r="Z12" s="19">
        <f>'[1]Facebook-Total-Clínica'!H13+'[1]Google-Total-Clínica'!G13</f>
        <v>22511.98</v>
      </c>
      <c r="AA12" s="19">
        <v>11725.3</v>
      </c>
      <c r="AB12" s="19">
        <f>11.73+2178.88+162+271.34</f>
        <v>2623.9500000000003</v>
      </c>
      <c r="AC12" s="19">
        <f>6+4574.41+84.48+270.7</f>
        <v>4935.5899999999992</v>
      </c>
      <c r="AD12" s="19">
        <f>258.07+8273.78+54.96+154.62</f>
        <v>8741.43</v>
      </c>
      <c r="AE12" s="19">
        <f>8.03+15754.37+107.6</f>
        <v>15870.000000000002</v>
      </c>
      <c r="AF12" s="20"/>
      <c r="AH12" s="19">
        <f t="shared" si="5"/>
        <v>121050.45</v>
      </c>
      <c r="AI12" s="20">
        <f t="shared" si="6"/>
        <v>43896.270000000004</v>
      </c>
      <c r="AJ12" s="21">
        <f t="shared" si="7"/>
        <v>164946.72</v>
      </c>
    </row>
    <row r="13" spans="1:36" ht="15.75" customHeight="1">
      <c r="A13" s="308"/>
      <c r="B13" s="4" t="s">
        <v>62</v>
      </c>
      <c r="C13" s="4"/>
      <c r="D13" s="19">
        <v>6650.35</v>
      </c>
      <c r="E13" s="19">
        <v>11863.76</v>
      </c>
      <c r="F13" s="19">
        <v>13591.68</v>
      </c>
      <c r="G13" s="19">
        <v>14115.49</v>
      </c>
      <c r="H13" s="19">
        <v>18119.43</v>
      </c>
      <c r="I13" s="19">
        <v>13743.79</v>
      </c>
      <c r="J13" s="19">
        <v>9473.9</v>
      </c>
      <c r="K13" s="19">
        <f>29.63+2189.44+9.92+0.36</f>
        <v>2229.3500000000004</v>
      </c>
      <c r="L13" s="19">
        <f>12.65+4882.66+11.77+9.45</f>
        <v>4916.53</v>
      </c>
      <c r="M13" s="19">
        <f>88.08+2511+19.02+4.19</f>
        <v>2622.29</v>
      </c>
      <c r="N13" s="19">
        <f>29.59+8196.32</f>
        <v>8225.91</v>
      </c>
      <c r="O13" s="20"/>
      <c r="Q13" s="19">
        <f t="shared" si="2"/>
        <v>78084.5</v>
      </c>
      <c r="R13" s="20">
        <f t="shared" si="3"/>
        <v>27467.98</v>
      </c>
      <c r="S13" s="21">
        <f t="shared" si="4"/>
        <v>105552.48</v>
      </c>
      <c r="T13" s="4"/>
      <c r="U13" s="19">
        <f>'[1]Facebook-Total-Clínica'!C14+'[1]Google-Total-Clínica'!B14</f>
        <v>6650.35</v>
      </c>
      <c r="V13" s="19">
        <f>'[1]Facebook-Total-Clínica'!D14+'[1]Google-Total-Clínica'!C14</f>
        <v>11863.76</v>
      </c>
      <c r="W13" s="19">
        <f>'[1]Facebook-Total-Clínica'!E14+'[1]Google-Total-Clínica'!D14</f>
        <v>13591.68</v>
      </c>
      <c r="X13" s="19">
        <f>'[1]Facebook-Total-Clínica'!F14+'[1]Google-Total-Clínica'!E14</f>
        <v>14115.49</v>
      </c>
      <c r="Y13" s="19">
        <f>'[1]Facebook-Total-Clínica'!G14+'[1]Google-Total-Clínica'!F14</f>
        <v>18119.43</v>
      </c>
      <c r="Z13" s="19">
        <f>'[1]Facebook-Total-Clínica'!H14+'[1]Google-Total-Clínica'!G14</f>
        <v>13743.79</v>
      </c>
      <c r="AA13" s="19">
        <v>9473.9</v>
      </c>
      <c r="AB13" s="19">
        <f>29.63+2189.44+9.92+0.36</f>
        <v>2229.3500000000004</v>
      </c>
      <c r="AC13" s="19">
        <f>12.65+4882.66+11.77+9.45</f>
        <v>4916.53</v>
      </c>
      <c r="AD13" s="19">
        <f>88.08+2511+19.02+4.19</f>
        <v>2622.29</v>
      </c>
      <c r="AE13" s="19">
        <f>29.59+8196.32</f>
        <v>8225.91</v>
      </c>
      <c r="AF13" s="20"/>
      <c r="AH13" s="19">
        <f t="shared" si="5"/>
        <v>78084.5</v>
      </c>
      <c r="AI13" s="20">
        <f t="shared" si="6"/>
        <v>27467.98</v>
      </c>
      <c r="AJ13" s="21">
        <f t="shared" si="7"/>
        <v>105552.48</v>
      </c>
    </row>
    <row r="14" spans="1:36" ht="15.75" customHeight="1">
      <c r="A14" s="308"/>
      <c r="B14" s="4" t="s">
        <v>63</v>
      </c>
      <c r="C14" s="4"/>
      <c r="D14" s="19">
        <v>13461.37</v>
      </c>
      <c r="E14" s="19">
        <v>9519.0600000000013</v>
      </c>
      <c r="F14" s="19">
        <v>24160.07</v>
      </c>
      <c r="G14" s="19">
        <v>25455</v>
      </c>
      <c r="H14" s="19">
        <v>38822.78</v>
      </c>
      <c r="I14" s="19">
        <v>18808.38</v>
      </c>
      <c r="J14" s="19">
        <v>9938.02</v>
      </c>
      <c r="K14" s="19">
        <f>825.05+7240.62</f>
        <v>8065.67</v>
      </c>
      <c r="L14" s="19">
        <f>1385.72+14874.7</f>
        <v>16260.42</v>
      </c>
      <c r="M14" s="19">
        <f>262.94+26100.19</f>
        <v>26363.129999999997</v>
      </c>
      <c r="N14" s="19">
        <f>69.56+42590.64</f>
        <v>42660.2</v>
      </c>
      <c r="O14" s="20"/>
      <c r="Q14" s="19">
        <f t="shared" si="2"/>
        <v>130226.66</v>
      </c>
      <c r="R14" s="20">
        <f t="shared" si="3"/>
        <v>103287.44</v>
      </c>
      <c r="S14" s="21">
        <f t="shared" si="4"/>
        <v>233514.10000000003</v>
      </c>
      <c r="T14" s="4"/>
      <c r="U14" s="19">
        <f>'[1]Facebook-Total-Clínica'!C15+'[1]Google-Total-Clínica'!B15</f>
        <v>6068.64</v>
      </c>
      <c r="V14" s="19">
        <f>'[1]Facebook-Total-Clínica'!D15+'[1]Google-Total-Clínica'!C15</f>
        <v>9519.0600000000013</v>
      </c>
      <c r="W14" s="19">
        <f>'[1]Facebook-Total-Clínica'!E15+'[1]Google-Total-Clínica'!D15</f>
        <v>24160.07</v>
      </c>
      <c r="X14" s="19">
        <f>'[1]Facebook-Total-Clínica'!F15+'[1]Google-Total-Clínica'!E15</f>
        <v>25455</v>
      </c>
      <c r="Y14" s="19">
        <f>'[1]Facebook-Total-Clínica'!G15+'[1]Google-Total-Clínica'!F15</f>
        <v>38822.78</v>
      </c>
      <c r="Z14" s="19">
        <f>'[1]Facebook-Total-Clínica'!H15+'[1]Google-Total-Clínica'!G15</f>
        <v>18808.38</v>
      </c>
      <c r="AA14" s="19">
        <v>9938.02</v>
      </c>
      <c r="AB14" s="19">
        <f>825.05+7240.62</f>
        <v>8065.67</v>
      </c>
      <c r="AC14" s="19">
        <f>1385.72+14874.7</f>
        <v>16260.42</v>
      </c>
      <c r="AD14" s="19">
        <f>262.94+26100.19</f>
        <v>26363.129999999997</v>
      </c>
      <c r="AE14" s="19">
        <f>69.56+42590.64</f>
        <v>42660.2</v>
      </c>
      <c r="AF14" s="20"/>
      <c r="AH14" s="19">
        <f t="shared" si="5"/>
        <v>122833.93000000001</v>
      </c>
      <c r="AI14" s="20">
        <f t="shared" si="6"/>
        <v>103287.44</v>
      </c>
      <c r="AJ14" s="21">
        <f t="shared" si="7"/>
        <v>226121.37000000005</v>
      </c>
    </row>
    <row r="15" spans="1:36" ht="15.75" customHeight="1">
      <c r="A15" s="176" t="s">
        <v>64</v>
      </c>
      <c r="B15" s="4" t="s">
        <v>65</v>
      </c>
      <c r="C15" s="4"/>
      <c r="D15" s="19">
        <v>88.57</v>
      </c>
      <c r="E15" s="19">
        <v>643.89</v>
      </c>
      <c r="F15" s="19">
        <v>1005.9100000000001</v>
      </c>
      <c r="G15" s="19">
        <v>879.89</v>
      </c>
      <c r="H15" s="19">
        <v>197.02</v>
      </c>
      <c r="I15" s="19">
        <v>229.67000000000002</v>
      </c>
      <c r="J15" s="19">
        <v>1962.98</v>
      </c>
      <c r="K15" s="19"/>
      <c r="L15" s="19">
        <v>1718.18</v>
      </c>
      <c r="M15" s="19">
        <v>4781.82</v>
      </c>
      <c r="N15" s="19">
        <v>6700.83</v>
      </c>
      <c r="O15" s="20"/>
      <c r="Q15" s="19">
        <f t="shared" si="2"/>
        <v>3044.9500000000003</v>
      </c>
      <c r="R15" s="20">
        <f t="shared" si="3"/>
        <v>15163.81</v>
      </c>
      <c r="S15" s="21">
        <f t="shared" si="4"/>
        <v>18208.760000000002</v>
      </c>
      <c r="T15" s="4"/>
      <c r="U15" s="19">
        <f>'[1]Facebook-Total-Clínica'!C16+'[1]Google-Total-Clínica'!B16</f>
        <v>88.57</v>
      </c>
      <c r="V15" s="19">
        <f>'[1]Facebook-Total-Clínica'!D16+'[1]Google-Total-Clínica'!C16</f>
        <v>643.89</v>
      </c>
      <c r="W15" s="19">
        <f>'[1]Facebook-Total-Clínica'!E16+'[1]Google-Total-Clínica'!D16</f>
        <v>1005.9100000000001</v>
      </c>
      <c r="X15" s="19">
        <f>'[1]Facebook-Total-Clínica'!F16+'[1]Google-Total-Clínica'!E16</f>
        <v>879.89</v>
      </c>
      <c r="Y15" s="19">
        <f>'[1]Facebook-Total-Clínica'!G16+'[1]Google-Total-Clínica'!F16</f>
        <v>197.02</v>
      </c>
      <c r="Z15" s="19">
        <f>'[1]Facebook-Total-Clínica'!H16+'[1]Google-Total-Clínica'!G16</f>
        <v>229.67000000000002</v>
      </c>
      <c r="AA15" s="19">
        <v>1962.98</v>
      </c>
      <c r="AB15" s="19"/>
      <c r="AC15" s="19"/>
      <c r="AD15" s="19"/>
      <c r="AE15" s="19"/>
      <c r="AF15" s="20"/>
      <c r="AH15" s="19">
        <f t="shared" si="5"/>
        <v>3044.9500000000003</v>
      </c>
      <c r="AI15" s="20">
        <f t="shared" si="6"/>
        <v>1962.98</v>
      </c>
      <c r="AJ15" s="21">
        <f t="shared" si="7"/>
        <v>5007.93</v>
      </c>
    </row>
    <row r="16" spans="1:36" ht="15.75" customHeight="1">
      <c r="A16" s="79"/>
      <c r="B16" s="79"/>
      <c r="C16" s="79"/>
      <c r="D16" s="79"/>
      <c r="E16" s="79"/>
      <c r="F16" s="79"/>
      <c r="G16" s="79"/>
      <c r="H16" s="79"/>
      <c r="I16" s="79"/>
      <c r="T16" s="79"/>
      <c r="U16" s="79"/>
      <c r="V16" s="79"/>
      <c r="W16" s="79"/>
      <c r="X16" s="79"/>
      <c r="Y16" s="79"/>
      <c r="Z16" s="79"/>
    </row>
    <row r="17" spans="1:36" ht="15.75" customHeight="1">
      <c r="A17" s="79"/>
      <c r="B17" s="16" t="s">
        <v>101</v>
      </c>
      <c r="C17" s="16"/>
      <c r="D17" s="10">
        <f>SUM(D18:D25)</f>
        <v>627</v>
      </c>
      <c r="E17" s="10">
        <f t="shared" ref="E17:N17" si="8">SUM(E18:E25)</f>
        <v>1202</v>
      </c>
      <c r="F17" s="10">
        <f t="shared" si="8"/>
        <v>2857</v>
      </c>
      <c r="G17" s="10">
        <f t="shared" si="8"/>
        <v>1500</v>
      </c>
      <c r="H17" s="10">
        <f t="shared" si="8"/>
        <v>1092</v>
      </c>
      <c r="I17" s="10">
        <f t="shared" si="8"/>
        <v>1333</v>
      </c>
      <c r="J17" s="10">
        <f t="shared" si="8"/>
        <v>803</v>
      </c>
      <c r="K17" s="139">
        <f t="shared" si="8"/>
        <v>407.97000000000008</v>
      </c>
      <c r="L17" s="139">
        <f>SUM(L18:L25)</f>
        <v>787.18000000000006</v>
      </c>
      <c r="M17" s="139">
        <f t="shared" si="8"/>
        <v>1108.04</v>
      </c>
      <c r="N17" s="139">
        <f t="shared" si="8"/>
        <v>2413.88</v>
      </c>
      <c r="O17" s="8"/>
      <c r="Q17" s="139">
        <f>SUM(D17:I17)</f>
        <v>8611</v>
      </c>
      <c r="R17" s="135">
        <f>SUM(J17:O17)</f>
        <v>5520.07</v>
      </c>
      <c r="S17" s="187">
        <f>SUM(D17:O17)</f>
        <v>14131.07</v>
      </c>
      <c r="T17" s="16"/>
      <c r="U17" s="10">
        <f>SUM(U18:U25)</f>
        <v>617</v>
      </c>
      <c r="V17" s="10">
        <f t="shared" ref="V17:AE17" si="9">SUM(V18:V25)</f>
        <v>1338</v>
      </c>
      <c r="W17" s="10">
        <f t="shared" si="9"/>
        <v>2862</v>
      </c>
      <c r="X17" s="10">
        <f t="shared" si="9"/>
        <v>1499</v>
      </c>
      <c r="Y17" s="10">
        <f t="shared" si="9"/>
        <v>1086</v>
      </c>
      <c r="Z17" s="10">
        <f t="shared" si="9"/>
        <v>1333</v>
      </c>
      <c r="AA17" s="10">
        <f t="shared" si="9"/>
        <v>803</v>
      </c>
      <c r="AB17" s="139">
        <f t="shared" si="9"/>
        <v>381.94</v>
      </c>
      <c r="AC17" s="139">
        <f t="shared" si="9"/>
        <v>1024.02</v>
      </c>
      <c r="AD17" s="139">
        <f t="shared" si="9"/>
        <v>1004.94</v>
      </c>
      <c r="AE17" s="139">
        <f t="shared" si="9"/>
        <v>2207.7799999999997</v>
      </c>
      <c r="AF17" s="8"/>
      <c r="AH17" s="139">
        <f>SUM(U17:Z17)</f>
        <v>8735</v>
      </c>
      <c r="AI17" s="135">
        <f>SUM(AA17:AF17)</f>
        <v>5421.68</v>
      </c>
      <c r="AJ17" s="187">
        <f>SUM(U17:AF17)</f>
        <v>14156.68</v>
      </c>
    </row>
    <row r="18" spans="1:36" ht="15.75" customHeight="1">
      <c r="A18" s="308" t="s">
        <v>57</v>
      </c>
      <c r="B18" s="4" t="s">
        <v>66</v>
      </c>
      <c r="C18" s="4"/>
      <c r="D18" s="45">
        <f>170+28</f>
        <v>198</v>
      </c>
      <c r="E18" s="45">
        <f>417+31</f>
        <v>448</v>
      </c>
      <c r="F18" s="45">
        <f>708+22</f>
        <v>730</v>
      </c>
      <c r="G18" s="45">
        <f>235+18</f>
        <v>253</v>
      </c>
      <c r="H18" s="45">
        <f>274+22</f>
        <v>296</v>
      </c>
      <c r="I18" s="45">
        <f>282+62</f>
        <v>344</v>
      </c>
      <c r="J18" s="45">
        <f>232+43</f>
        <v>275</v>
      </c>
      <c r="K18" s="140">
        <f>5+283*0.53+117*0.31</f>
        <v>191.26000000000002</v>
      </c>
      <c r="L18" s="140">
        <f>24+176+244*0.61+198*0.22</f>
        <v>392.40000000000003</v>
      </c>
      <c r="M18" s="140">
        <f>16+1+680*0.47+0.2*406</f>
        <v>417.79999999999995</v>
      </c>
      <c r="N18" s="140">
        <f>67+1692*0.48+614*0.19</f>
        <v>995.81999999999994</v>
      </c>
      <c r="O18" s="20"/>
      <c r="Q18" s="188">
        <f t="shared" ref="Q18:Q25" si="10">SUM(D18:I18)</f>
        <v>2269</v>
      </c>
      <c r="R18" s="134">
        <f t="shared" ref="R18:R25" si="11">SUM(J18:O18)</f>
        <v>2272.2799999999997</v>
      </c>
      <c r="S18" s="189">
        <f t="shared" ref="S18:S25" si="12">SUM(D18:O18)</f>
        <v>4541.28</v>
      </c>
      <c r="T18" s="4"/>
      <c r="U18" s="45">
        <f>170+24</f>
        <v>194</v>
      </c>
      <c r="V18" s="45">
        <f>427+31</f>
        <v>458</v>
      </c>
      <c r="W18" s="45">
        <f>708+23</f>
        <v>731</v>
      </c>
      <c r="X18" s="45">
        <f>235+18</f>
        <v>253</v>
      </c>
      <c r="Y18" s="45">
        <f>274+20</f>
        <v>294</v>
      </c>
      <c r="Z18" s="45">
        <f>282+62</f>
        <v>344</v>
      </c>
      <c r="AA18" s="45">
        <f>232+43</f>
        <v>275</v>
      </c>
      <c r="AB18" s="140">
        <f>5+274*0.53+117*0.31</f>
        <v>186.49</v>
      </c>
      <c r="AC18" s="140">
        <f>24+274+444*0.61+298*0.22</f>
        <v>634.39999999999986</v>
      </c>
      <c r="AD18" s="140">
        <f>16+1+650*0.47+0.2*406</f>
        <v>403.7</v>
      </c>
      <c r="AE18" s="140">
        <f>17+1692*0.48+614*0.19</f>
        <v>945.81999999999994</v>
      </c>
      <c r="AF18" s="20"/>
      <c r="AH18" s="188">
        <f t="shared" ref="AH18:AH25" si="13">SUM(U18:Z18)</f>
        <v>2274</v>
      </c>
      <c r="AI18" s="134">
        <f t="shared" ref="AI18:AI25" si="14">SUM(AA18:AF18)</f>
        <v>2445.41</v>
      </c>
      <c r="AJ18" s="189">
        <f t="shared" ref="AJ18:AJ25" si="15">SUM(U18:AF18)</f>
        <v>4719.4099999999989</v>
      </c>
    </row>
    <row r="19" spans="1:36" ht="15.75" customHeight="1">
      <c r="A19" s="308"/>
      <c r="B19" s="4" t="s">
        <v>119</v>
      </c>
      <c r="C19" s="4"/>
      <c r="D19" s="45"/>
      <c r="E19" s="45">
        <v>188</v>
      </c>
      <c r="F19" s="45">
        <v>679</v>
      </c>
      <c r="G19" s="45">
        <v>314</v>
      </c>
      <c r="H19" s="45">
        <v>204</v>
      </c>
      <c r="I19" s="45">
        <v>273</v>
      </c>
      <c r="J19" s="45">
        <f>109</f>
        <v>109</v>
      </c>
      <c r="K19" s="140">
        <f>5+284*0.3</f>
        <v>90.2</v>
      </c>
      <c r="L19" s="140">
        <f>7+0.17*442+3</f>
        <v>85.14</v>
      </c>
      <c r="M19" s="140">
        <f>5+56+0.31*650</f>
        <v>262.5</v>
      </c>
      <c r="N19" s="140">
        <f>7+1+1692*0.31</f>
        <v>532.52</v>
      </c>
      <c r="O19" s="20"/>
      <c r="Q19" s="188">
        <f t="shared" si="10"/>
        <v>1658</v>
      </c>
      <c r="R19" s="134">
        <f t="shared" si="11"/>
        <v>1079.3599999999999</v>
      </c>
      <c r="S19" s="189">
        <f t="shared" si="12"/>
        <v>2737.36</v>
      </c>
      <c r="T19" s="4"/>
      <c r="U19" s="45">
        <v>95</v>
      </c>
      <c r="V19" s="45">
        <v>314</v>
      </c>
      <c r="W19" s="45">
        <v>683</v>
      </c>
      <c r="X19" s="45">
        <v>313</v>
      </c>
      <c r="Y19" s="45">
        <v>202</v>
      </c>
      <c r="Z19" s="45">
        <v>273</v>
      </c>
      <c r="AA19" s="45">
        <f>109</f>
        <v>109</v>
      </c>
      <c r="AB19" s="140">
        <f>5+274*0.3</f>
        <v>87.2</v>
      </c>
      <c r="AC19" s="140">
        <f>7+0.17*444+3</f>
        <v>85.48</v>
      </c>
      <c r="AD19" s="140">
        <f>5+6+0.31*650</f>
        <v>212.5</v>
      </c>
      <c r="AE19" s="140">
        <f>7+1+1692*0.31</f>
        <v>532.52</v>
      </c>
      <c r="AF19" s="20"/>
      <c r="AH19" s="188">
        <f t="shared" si="13"/>
        <v>1880</v>
      </c>
      <c r="AI19" s="134">
        <f t="shared" si="14"/>
        <v>1026.7</v>
      </c>
      <c r="AJ19" s="189">
        <f t="shared" si="15"/>
        <v>2906.7</v>
      </c>
    </row>
    <row r="20" spans="1:36" ht="15.75" customHeight="1">
      <c r="A20" s="308"/>
      <c r="B20" s="4" t="s">
        <v>88</v>
      </c>
      <c r="C20" s="4"/>
      <c r="D20" s="45">
        <f>10+7</f>
        <v>17</v>
      </c>
      <c r="E20" s="45">
        <f>32+7</f>
        <v>39</v>
      </c>
      <c r="F20" s="45">
        <f>137+16</f>
        <v>153</v>
      </c>
      <c r="G20" s="45">
        <f>150+37</f>
        <v>187</v>
      </c>
      <c r="H20" s="45">
        <f>118+18</f>
        <v>136</v>
      </c>
      <c r="I20" s="45">
        <f>120+16</f>
        <v>136</v>
      </c>
      <c r="J20" s="45">
        <f>43+23</f>
        <v>66</v>
      </c>
      <c r="K20" s="140">
        <f>279*0.07+0.07*117</f>
        <v>27.720000000000002</v>
      </c>
      <c r="L20" s="140">
        <f>2+0.08*444+298*0.06</f>
        <v>55.400000000000006</v>
      </c>
      <c r="M20" s="140">
        <f>0.1*650+406*0.06</f>
        <v>89.36</v>
      </c>
      <c r="N20" s="140">
        <f>2+1692*0.09+614*0.04</f>
        <v>178.84</v>
      </c>
      <c r="O20" s="20"/>
      <c r="Q20" s="188">
        <f t="shared" si="10"/>
        <v>668</v>
      </c>
      <c r="R20" s="134">
        <f t="shared" si="11"/>
        <v>417.32000000000005</v>
      </c>
      <c r="S20" s="189">
        <f t="shared" si="12"/>
        <v>1085.32</v>
      </c>
      <c r="T20" s="4"/>
      <c r="U20" s="45">
        <f>10+7</f>
        <v>17</v>
      </c>
      <c r="V20" s="45">
        <f>32+7</f>
        <v>39</v>
      </c>
      <c r="W20" s="45">
        <f>137+16</f>
        <v>153</v>
      </c>
      <c r="X20" s="45">
        <f>150+37</f>
        <v>187</v>
      </c>
      <c r="Y20" s="45">
        <f>118+18</f>
        <v>136</v>
      </c>
      <c r="Z20" s="45">
        <f>120+16</f>
        <v>136</v>
      </c>
      <c r="AA20" s="45">
        <f>43+23</f>
        <v>66</v>
      </c>
      <c r="AB20" s="140">
        <f>274*0.07+0.07*117</f>
        <v>27.370000000000005</v>
      </c>
      <c r="AC20" s="140">
        <f>2+0.08*444+298*0.06</f>
        <v>55.400000000000006</v>
      </c>
      <c r="AD20" s="140">
        <f>0.1*650+406*0.06</f>
        <v>89.36</v>
      </c>
      <c r="AE20" s="140">
        <f>2+1692*0.09+614*0.04</f>
        <v>178.84</v>
      </c>
      <c r="AF20" s="20"/>
      <c r="AH20" s="188">
        <f t="shared" si="13"/>
        <v>668</v>
      </c>
      <c r="AI20" s="134">
        <f t="shared" si="14"/>
        <v>416.97</v>
      </c>
      <c r="AJ20" s="189">
        <f t="shared" si="15"/>
        <v>1084.97</v>
      </c>
    </row>
    <row r="21" spans="1:36" ht="15.75" customHeight="1">
      <c r="A21" s="308"/>
      <c r="B21" s="4" t="s">
        <v>67</v>
      </c>
      <c r="C21" s="4"/>
      <c r="D21" s="45"/>
      <c r="E21" s="45"/>
      <c r="F21" s="45"/>
      <c r="G21" s="45"/>
      <c r="H21" s="45"/>
      <c r="I21" s="45">
        <v>1</v>
      </c>
      <c r="J21" s="45"/>
      <c r="K21" s="140"/>
      <c r="L21" s="140"/>
      <c r="M21" s="140"/>
      <c r="N21" s="140"/>
      <c r="O21" s="20"/>
      <c r="Q21" s="188">
        <f t="shared" si="10"/>
        <v>1</v>
      </c>
      <c r="R21" s="134">
        <f t="shared" si="11"/>
        <v>0</v>
      </c>
      <c r="S21" s="189">
        <f t="shared" si="12"/>
        <v>1</v>
      </c>
      <c r="T21" s="4"/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1</v>
      </c>
      <c r="AA21" s="45">
        <v>0</v>
      </c>
      <c r="AB21" s="140"/>
      <c r="AC21" s="140"/>
      <c r="AD21" s="140"/>
      <c r="AE21" s="140"/>
      <c r="AF21" s="20"/>
      <c r="AH21" s="188">
        <f t="shared" si="13"/>
        <v>1</v>
      </c>
      <c r="AI21" s="134">
        <f t="shared" si="14"/>
        <v>0</v>
      </c>
      <c r="AJ21" s="189">
        <f t="shared" si="15"/>
        <v>1</v>
      </c>
    </row>
    <row r="22" spans="1:36" ht="15.75" customHeight="1">
      <c r="A22" s="308" t="s">
        <v>46</v>
      </c>
      <c r="B22" s="4" t="s">
        <v>68</v>
      </c>
      <c r="C22" s="4"/>
      <c r="D22" s="45">
        <f>63+27</f>
        <v>90</v>
      </c>
      <c r="E22" s="45">
        <f>138+7</f>
        <v>145</v>
      </c>
      <c r="F22" s="45">
        <f>333+51</f>
        <v>384</v>
      </c>
      <c r="G22" s="45">
        <f>59+102</f>
        <v>161</v>
      </c>
      <c r="H22" s="45">
        <f>77+43</f>
        <v>120</v>
      </c>
      <c r="I22" s="45">
        <f>51+117</f>
        <v>168</v>
      </c>
      <c r="J22" s="45">
        <f>72+15</f>
        <v>87</v>
      </c>
      <c r="K22" s="140">
        <f>2+130*0.07</f>
        <v>11.100000000000001</v>
      </c>
      <c r="L22" s="140">
        <f>1+5+298*0.09</f>
        <v>32.82</v>
      </c>
      <c r="M22" s="140">
        <f>1+0.1*496</f>
        <v>50.6</v>
      </c>
      <c r="N22" s="140">
        <f>106+614*0.1</f>
        <v>167.4</v>
      </c>
      <c r="O22" s="20"/>
      <c r="Q22" s="188">
        <f t="shared" si="10"/>
        <v>1068</v>
      </c>
      <c r="R22" s="134">
        <f t="shared" si="11"/>
        <v>348.91999999999996</v>
      </c>
      <c r="S22" s="189">
        <f t="shared" si="12"/>
        <v>1416.9199999999998</v>
      </c>
      <c r="T22" s="4"/>
      <c r="U22" s="45">
        <f>63+27</f>
        <v>90</v>
      </c>
      <c r="V22" s="45">
        <f>138+7</f>
        <v>145</v>
      </c>
      <c r="W22" s="45">
        <f>333+51</f>
        <v>384</v>
      </c>
      <c r="X22" s="45">
        <f>59+102</f>
        <v>161</v>
      </c>
      <c r="Y22" s="45">
        <f>77+43</f>
        <v>120</v>
      </c>
      <c r="Z22" s="45">
        <f>51+117</f>
        <v>168</v>
      </c>
      <c r="AA22" s="45">
        <f>72+15</f>
        <v>87</v>
      </c>
      <c r="AB22" s="140">
        <f>2+117*0.07</f>
        <v>10.190000000000001</v>
      </c>
      <c r="AC22" s="140">
        <f>1+5+298*0.09</f>
        <v>32.82</v>
      </c>
      <c r="AD22" s="140">
        <f>1+0.1*406</f>
        <v>41.6</v>
      </c>
      <c r="AE22" s="140">
        <f>4+614*0.1</f>
        <v>65.400000000000006</v>
      </c>
      <c r="AF22" s="20"/>
      <c r="AH22" s="188">
        <f t="shared" si="13"/>
        <v>1068</v>
      </c>
      <c r="AI22" s="134">
        <f t="shared" si="14"/>
        <v>237.01</v>
      </c>
      <c r="AJ22" s="189">
        <f t="shared" si="15"/>
        <v>1305.01</v>
      </c>
    </row>
    <row r="23" spans="1:36" ht="15.75" customHeight="1">
      <c r="A23" s="308"/>
      <c r="B23" s="4" t="s">
        <v>69</v>
      </c>
      <c r="C23" s="4"/>
      <c r="D23" s="45">
        <f>68+31</f>
        <v>99</v>
      </c>
      <c r="E23" s="45">
        <f>113+16</f>
        <v>129</v>
      </c>
      <c r="F23" s="45">
        <f>414+69</f>
        <v>483</v>
      </c>
      <c r="G23" s="45">
        <f>55+107</f>
        <v>162</v>
      </c>
      <c r="H23" s="45">
        <f>71+63</f>
        <v>134</v>
      </c>
      <c r="I23" s="45">
        <f>55+122</f>
        <v>177</v>
      </c>
      <c r="J23" s="45">
        <f>19+95</f>
        <v>114</v>
      </c>
      <c r="K23" s="140">
        <f>1+15+0.07*117</f>
        <v>24.19</v>
      </c>
      <c r="L23" s="140">
        <f>3+442*0.05+298*0.08</f>
        <v>48.94</v>
      </c>
      <c r="M23" s="140">
        <f>2+426*0.05</f>
        <v>23.3</v>
      </c>
      <c r="N23" s="140">
        <f>1732*0.04+754*0.07</f>
        <v>122.06</v>
      </c>
      <c r="O23" s="20"/>
      <c r="Q23" s="188">
        <f t="shared" si="10"/>
        <v>1184</v>
      </c>
      <c r="R23" s="134">
        <f t="shared" si="11"/>
        <v>332.49</v>
      </c>
      <c r="S23" s="189">
        <f t="shared" si="12"/>
        <v>1516.49</v>
      </c>
      <c r="T23" s="4"/>
      <c r="U23" s="45">
        <f>68+31</f>
        <v>99</v>
      </c>
      <c r="V23" s="45">
        <f>113+16</f>
        <v>129</v>
      </c>
      <c r="W23" s="45">
        <f>414+69</f>
        <v>483</v>
      </c>
      <c r="X23" s="45">
        <f>55+107</f>
        <v>162</v>
      </c>
      <c r="Y23" s="45">
        <f>71+63</f>
        <v>134</v>
      </c>
      <c r="Z23" s="45">
        <f>55+122</f>
        <v>177</v>
      </c>
      <c r="AA23" s="45">
        <f>19+95</f>
        <v>114</v>
      </c>
      <c r="AB23" s="140">
        <f>1+3+0.07*117</f>
        <v>12.190000000000001</v>
      </c>
      <c r="AC23" s="140">
        <f>3+444*0.05+298*0.08</f>
        <v>49.040000000000006</v>
      </c>
      <c r="AD23" s="140">
        <f>2+406*0.05</f>
        <v>22.3</v>
      </c>
      <c r="AE23" s="140">
        <f>1692*0.04+614*0.07</f>
        <v>110.66000000000001</v>
      </c>
      <c r="AF23" s="20"/>
      <c r="AH23" s="188">
        <f t="shared" si="13"/>
        <v>1184</v>
      </c>
      <c r="AI23" s="134">
        <f t="shared" si="14"/>
        <v>308.19000000000005</v>
      </c>
      <c r="AJ23" s="189">
        <f t="shared" si="15"/>
        <v>1492.19</v>
      </c>
    </row>
    <row r="24" spans="1:36" ht="15.75" customHeight="1">
      <c r="A24" s="308"/>
      <c r="B24" s="4" t="s">
        <v>70</v>
      </c>
      <c r="C24" s="4"/>
      <c r="D24" s="45">
        <v>145</v>
      </c>
      <c r="E24" s="45">
        <v>98</v>
      </c>
      <c r="F24" s="45">
        <v>173</v>
      </c>
      <c r="G24" s="45">
        <v>133</v>
      </c>
      <c r="H24" s="45">
        <v>132</v>
      </c>
      <c r="I24" s="45">
        <v>184</v>
      </c>
      <c r="J24" s="45">
        <v>104</v>
      </c>
      <c r="K24" s="140">
        <f>127*0.5</f>
        <v>63.5</v>
      </c>
      <c r="L24" s="140">
        <f>0.56*308</f>
        <v>172.48000000000002</v>
      </c>
      <c r="M24" s="140">
        <f>0.58*456</f>
        <v>264.47999999999996</v>
      </c>
      <c r="N24" s="140">
        <f>684*0.61</f>
        <v>417.24</v>
      </c>
      <c r="O24" s="20"/>
      <c r="Q24" s="188">
        <f t="shared" si="10"/>
        <v>865</v>
      </c>
      <c r="R24" s="134">
        <f t="shared" si="11"/>
        <v>1021.7</v>
      </c>
      <c r="S24" s="189">
        <f t="shared" si="12"/>
        <v>1886.7</v>
      </c>
      <c r="T24" s="4"/>
      <c r="U24" s="45">
        <v>44</v>
      </c>
      <c r="V24" s="45">
        <v>98</v>
      </c>
      <c r="W24" s="45">
        <v>173</v>
      </c>
      <c r="X24" s="45">
        <v>133</v>
      </c>
      <c r="Y24" s="45">
        <v>130</v>
      </c>
      <c r="Z24" s="45">
        <v>184</v>
      </c>
      <c r="AA24" s="45">
        <v>104</v>
      </c>
      <c r="AB24" s="140">
        <f>117*0.5</f>
        <v>58.5</v>
      </c>
      <c r="AC24" s="140">
        <f>0.56*298</f>
        <v>166.88000000000002</v>
      </c>
      <c r="AD24" s="140">
        <f>0.58*406</f>
        <v>235.48</v>
      </c>
      <c r="AE24" s="140">
        <f>614*0.61</f>
        <v>374.53999999999996</v>
      </c>
      <c r="AF24" s="20"/>
      <c r="AH24" s="188">
        <f t="shared" si="13"/>
        <v>762</v>
      </c>
      <c r="AI24" s="134">
        <f t="shared" si="14"/>
        <v>939.4</v>
      </c>
      <c r="AJ24" s="189">
        <f t="shared" si="15"/>
        <v>1701.4</v>
      </c>
    </row>
    <row r="25" spans="1:36" ht="15.75" customHeight="1">
      <c r="A25" s="176" t="s">
        <v>64</v>
      </c>
      <c r="B25" s="4" t="s">
        <v>71</v>
      </c>
      <c r="C25" s="4"/>
      <c r="D25" s="45">
        <f>64+14</f>
        <v>78</v>
      </c>
      <c r="E25" s="45">
        <f>128+27</f>
        <v>155</v>
      </c>
      <c r="F25" s="45">
        <f>217+38</f>
        <v>255</v>
      </c>
      <c r="G25" s="45">
        <f>269+21</f>
        <v>290</v>
      </c>
      <c r="H25" s="45">
        <f>56+14</f>
        <v>70</v>
      </c>
      <c r="I25" s="45">
        <f>24+26</f>
        <v>50</v>
      </c>
      <c r="J25" s="45">
        <f>18+30</f>
        <v>48</v>
      </c>
      <c r="K25" s="140"/>
      <c r="L25" s="140"/>
      <c r="M25" s="140"/>
      <c r="N25" s="140"/>
      <c r="O25" s="20"/>
      <c r="Q25" s="188">
        <f t="shared" si="10"/>
        <v>898</v>
      </c>
      <c r="R25" s="134">
        <f t="shared" si="11"/>
        <v>48</v>
      </c>
      <c r="S25" s="189">
        <f t="shared" si="12"/>
        <v>946</v>
      </c>
      <c r="T25" s="4"/>
      <c r="U25" s="45">
        <f>64+14</f>
        <v>78</v>
      </c>
      <c r="V25" s="45">
        <f>128+27</f>
        <v>155</v>
      </c>
      <c r="W25" s="45">
        <f>217+38</f>
        <v>255</v>
      </c>
      <c r="X25" s="45">
        <f>269+21</f>
        <v>290</v>
      </c>
      <c r="Y25" s="45">
        <f>56+14</f>
        <v>70</v>
      </c>
      <c r="Z25" s="45">
        <f>24+26</f>
        <v>50</v>
      </c>
      <c r="AA25" s="45">
        <f>18+30</f>
        <v>48</v>
      </c>
      <c r="AB25" s="140"/>
      <c r="AC25" s="140"/>
      <c r="AD25" s="140"/>
      <c r="AE25" s="140"/>
      <c r="AF25" s="20"/>
      <c r="AH25" s="188">
        <f t="shared" si="13"/>
        <v>898</v>
      </c>
      <c r="AI25" s="134">
        <f t="shared" si="14"/>
        <v>48</v>
      </c>
      <c r="AJ25" s="189">
        <f t="shared" si="15"/>
        <v>946</v>
      </c>
    </row>
    <row r="26" spans="1:36" ht="15.75" customHeight="1">
      <c r="A26" s="74"/>
      <c r="B26" s="74"/>
      <c r="C26" s="74"/>
      <c r="D26" s="74"/>
      <c r="E26" s="74"/>
      <c r="F26" s="74"/>
      <c r="G26" s="74"/>
      <c r="H26" s="74"/>
      <c r="I26" s="74"/>
      <c r="T26" s="74"/>
      <c r="U26" s="74"/>
      <c r="V26" s="74"/>
      <c r="W26" s="74"/>
      <c r="X26" s="74"/>
      <c r="Y26" s="74"/>
      <c r="Z26" s="74"/>
    </row>
    <row r="27" spans="1:36" ht="15.75" customHeight="1">
      <c r="A27" s="79"/>
      <c r="B27" s="16" t="s">
        <v>19</v>
      </c>
      <c r="C27" s="16"/>
      <c r="D27" s="177">
        <f>D7/D17</f>
        <v>59.414338118022329</v>
      </c>
      <c r="E27" s="177">
        <f t="shared" ref="E27:M27" si="16">E7/E17</f>
        <v>64.775906821963389</v>
      </c>
      <c r="F27" s="177">
        <f t="shared" si="16"/>
        <v>51.126790339516972</v>
      </c>
      <c r="G27" s="177">
        <f t="shared" si="16"/>
        <v>86.180166666666665</v>
      </c>
      <c r="H27" s="177">
        <f t="shared" si="16"/>
        <v>162.95356227106225</v>
      </c>
      <c r="I27" s="177">
        <f t="shared" si="16"/>
        <v>105.80865716429108</v>
      </c>
      <c r="J27" s="177">
        <f t="shared" si="16"/>
        <v>77.829464508094645</v>
      </c>
      <c r="K27" s="177">
        <f t="shared" si="16"/>
        <v>74.84197367453487</v>
      </c>
      <c r="L27" s="177">
        <f t="shared" si="16"/>
        <v>81.600091465738444</v>
      </c>
      <c r="M27" s="177">
        <f t="shared" si="16"/>
        <v>86.381376123605634</v>
      </c>
      <c r="N27" s="177">
        <f>N7/N17</f>
        <v>62.526186057301928</v>
      </c>
      <c r="O27" s="8"/>
      <c r="Q27" s="59">
        <f>Q7/Q17</f>
        <v>82.387777261642071</v>
      </c>
      <c r="R27" s="123">
        <f t="shared" ref="R27:S27" si="17">R7/R17</f>
        <v>73.170997831549229</v>
      </c>
      <c r="S27" s="181">
        <f t="shared" si="17"/>
        <v>78.787394018995016</v>
      </c>
      <c r="T27" s="16"/>
      <c r="U27" s="177">
        <f>U7/U17</f>
        <v>60.377293354943276</v>
      </c>
      <c r="V27" s="177">
        <f t="shared" ref="V27:AD27" si="18">V7/V17</f>
        <v>58.191808669656204</v>
      </c>
      <c r="W27" s="177">
        <f t="shared" si="18"/>
        <v>51.037470300489169</v>
      </c>
      <c r="X27" s="177">
        <f t="shared" si="18"/>
        <v>86.237658438959301</v>
      </c>
      <c r="Y27" s="177">
        <f t="shared" si="18"/>
        <v>163.85385819521176</v>
      </c>
      <c r="Z27" s="177">
        <f t="shared" si="18"/>
        <v>105.80865716429108</v>
      </c>
      <c r="AA27" s="177">
        <f t="shared" si="18"/>
        <v>77.829464508094645</v>
      </c>
      <c r="AB27" s="177">
        <f t="shared" si="18"/>
        <v>79.942608786720427</v>
      </c>
      <c r="AC27" s="177">
        <f t="shared" si="18"/>
        <v>61.049374035663369</v>
      </c>
      <c r="AD27" s="177">
        <f t="shared" si="18"/>
        <v>90.485203096702278</v>
      </c>
      <c r="AE27" s="177">
        <f>AE7/AE17</f>
        <v>65.328012754894061</v>
      </c>
      <c r="AF27" s="8"/>
      <c r="AH27" s="59">
        <f>AH7/AH17</f>
        <v>81.218219805380642</v>
      </c>
      <c r="AI27" s="123">
        <f t="shared" ref="AI27:AJ27" si="19">AI7/AI17</f>
        <v>72.06404656859128</v>
      </c>
      <c r="AJ27" s="181">
        <f t="shared" si="19"/>
        <v>77.712383835758104</v>
      </c>
    </row>
    <row r="28" spans="1:36" ht="15.75" customHeight="1">
      <c r="A28" s="308" t="s">
        <v>57</v>
      </c>
      <c r="B28" s="4" t="s">
        <v>72</v>
      </c>
      <c r="C28" s="4"/>
      <c r="D28" s="178">
        <f t="shared" ref="D28:N35" si="20">D8/D18</f>
        <v>40.967222222222226</v>
      </c>
      <c r="E28" s="178">
        <f t="shared" si="20"/>
        <v>44.487834821428571</v>
      </c>
      <c r="F28" s="178">
        <f t="shared" si="20"/>
        <v>40.529041095890413</v>
      </c>
      <c r="G28" s="178">
        <f t="shared" si="20"/>
        <v>92.845256916996036</v>
      </c>
      <c r="H28" s="178">
        <f t="shared" si="20"/>
        <v>111.04652027027028</v>
      </c>
      <c r="I28" s="178">
        <f t="shared" si="20"/>
        <v>95.715319767441855</v>
      </c>
      <c r="J28" s="178">
        <f t="shared" si="20"/>
        <v>38.661454545454546</v>
      </c>
      <c r="K28" s="178">
        <f t="shared" si="20"/>
        <v>40.241608281919902</v>
      </c>
      <c r="L28" s="178">
        <f t="shared" si="20"/>
        <v>48.777013251783899</v>
      </c>
      <c r="M28" s="178">
        <f t="shared" si="20"/>
        <v>59.240713259932988</v>
      </c>
      <c r="N28" s="178">
        <f t="shared" si="20"/>
        <v>35.641752525556832</v>
      </c>
      <c r="O28" s="20"/>
      <c r="P28" s="175"/>
      <c r="Q28" s="19">
        <f t="shared" ref="Q28:S31" si="21">Q8/Q18</f>
        <v>64.748325253415601</v>
      </c>
      <c r="R28" s="20">
        <f t="shared" si="21"/>
        <v>43.001808755963182</v>
      </c>
      <c r="S28" s="21">
        <f t="shared" si="21"/>
        <v>53.867213649015255</v>
      </c>
      <c r="T28" s="4"/>
      <c r="U28" s="178">
        <f t="shared" ref="U28:AE35" si="22">U8/U18</f>
        <v>41.811907216494845</v>
      </c>
      <c r="V28" s="178">
        <f t="shared" si="22"/>
        <v>43.516484716157201</v>
      </c>
      <c r="W28" s="178">
        <f t="shared" si="22"/>
        <v>40.473597811217509</v>
      </c>
      <c r="X28" s="178">
        <f t="shared" si="22"/>
        <v>92.845256916996036</v>
      </c>
      <c r="Y28" s="178">
        <f t="shared" si="22"/>
        <v>111.80193877551022</v>
      </c>
      <c r="Z28" s="178">
        <f t="shared" si="22"/>
        <v>95.715319767441855</v>
      </c>
      <c r="AA28" s="178">
        <f t="shared" si="22"/>
        <v>38.661454545454546</v>
      </c>
      <c r="AB28" s="178">
        <f t="shared" si="22"/>
        <v>41.270899243927289</v>
      </c>
      <c r="AC28" s="178">
        <f t="shared" si="22"/>
        <v>30.170397225725104</v>
      </c>
      <c r="AD28" s="178">
        <f t="shared" si="22"/>
        <v>61.30980926430518</v>
      </c>
      <c r="AE28" s="178">
        <f t="shared" si="22"/>
        <v>37.525924594531737</v>
      </c>
      <c r="AF28" s="20"/>
      <c r="AG28" s="175"/>
      <c r="AH28" s="19">
        <f t="shared" ref="AH28:AJ28" si="23">AH8/AH18</f>
        <v>64.605958663148627</v>
      </c>
      <c r="AI28" s="20">
        <f t="shared" si="23"/>
        <v>39.957369111928067</v>
      </c>
      <c r="AJ28" s="21">
        <f t="shared" si="23"/>
        <v>51.834042814673872</v>
      </c>
    </row>
    <row r="29" spans="1:36" ht="15.75" customHeight="1">
      <c r="A29" s="308"/>
      <c r="B29" s="4" t="s">
        <v>120</v>
      </c>
      <c r="C29" s="4"/>
      <c r="D29" s="178"/>
      <c r="E29" s="178">
        <f t="shared" si="20"/>
        <v>119.52537234042553</v>
      </c>
      <c r="F29" s="178">
        <f t="shared" si="20"/>
        <v>78.658924889543457</v>
      </c>
      <c r="G29" s="178">
        <f t="shared" si="20"/>
        <v>113.31305732484077</v>
      </c>
      <c r="H29" s="178">
        <f t="shared" si="20"/>
        <v>167.10063725490195</v>
      </c>
      <c r="I29" s="178">
        <f t="shared" si="20"/>
        <v>138.47032967032968</v>
      </c>
      <c r="J29" s="178">
        <f t="shared" si="20"/>
        <v>108.09880733944955</v>
      </c>
      <c r="K29" s="178">
        <f t="shared" si="20"/>
        <v>89.869733924611964</v>
      </c>
      <c r="L29" s="178">
        <f t="shared" si="20"/>
        <v>162.99142588677472</v>
      </c>
      <c r="M29" s="178">
        <f t="shared" si="20"/>
        <v>84.034552380952377</v>
      </c>
      <c r="N29" s="178">
        <f t="shared" si="20"/>
        <v>59.00349282656051</v>
      </c>
      <c r="O29" s="20"/>
      <c r="Q29" s="19">
        <f t="shared" si="21"/>
        <v>110.58589264173703</v>
      </c>
      <c r="R29" s="20">
        <f t="shared" si="21"/>
        <v>80.830973910465474</v>
      </c>
      <c r="S29" s="21">
        <f t="shared" si="21"/>
        <v>98.85332217903381</v>
      </c>
      <c r="T29" s="4"/>
      <c r="U29" s="178">
        <f t="shared" si="22"/>
        <v>77.818210526315795</v>
      </c>
      <c r="V29" s="178">
        <f t="shared" si="22"/>
        <v>71.562961783439491</v>
      </c>
      <c r="W29" s="178">
        <f t="shared" si="22"/>
        <v>78.198257686676428</v>
      </c>
      <c r="X29" s="178">
        <f t="shared" si="22"/>
        <v>113.67507987220448</v>
      </c>
      <c r="Y29" s="178">
        <f t="shared" si="22"/>
        <v>168.75509900990099</v>
      </c>
      <c r="Z29" s="178">
        <f t="shared" si="22"/>
        <v>138.47032967032968</v>
      </c>
      <c r="AA29" s="178">
        <f t="shared" si="22"/>
        <v>108.09880733944955</v>
      </c>
      <c r="AB29" s="178">
        <f t="shared" si="22"/>
        <v>92.96158256880733</v>
      </c>
      <c r="AC29" s="178">
        <f t="shared" si="22"/>
        <v>162.34312119794103</v>
      </c>
      <c r="AD29" s="178">
        <f t="shared" si="22"/>
        <v>103.80738823529411</v>
      </c>
      <c r="AE29" s="178">
        <f t="shared" si="22"/>
        <v>59.00349282656051</v>
      </c>
      <c r="AF29" s="20"/>
      <c r="AH29" s="19">
        <f t="shared" ref="AH29:AJ29" si="24">AH9/AH19</f>
        <v>101.45964893617021</v>
      </c>
      <c r="AI29" s="20">
        <f t="shared" si="24"/>
        <v>84.976838414337195</v>
      </c>
      <c r="AJ29" s="21">
        <f t="shared" si="24"/>
        <v>95.637616541094715</v>
      </c>
    </row>
    <row r="30" spans="1:36" ht="15.75" customHeight="1">
      <c r="A30" s="308"/>
      <c r="B30" s="4" t="s">
        <v>73</v>
      </c>
      <c r="C30" s="4"/>
      <c r="D30" s="178">
        <f t="shared" si="20"/>
        <v>3.9811764705882355</v>
      </c>
      <c r="E30" s="178">
        <f t="shared" si="20"/>
        <v>2.0323076923076919</v>
      </c>
      <c r="F30" s="178">
        <f t="shared" si="20"/>
        <v>22.661307189542484</v>
      </c>
      <c r="G30" s="178">
        <f t="shared" si="20"/>
        <v>41.672566844919785</v>
      </c>
      <c r="H30" s="178">
        <f t="shared" si="20"/>
        <v>148.04852941176469</v>
      </c>
      <c r="I30" s="178">
        <f t="shared" si="20"/>
        <v>109.59014705882352</v>
      </c>
      <c r="J30" s="178">
        <f t="shared" si="20"/>
        <v>74.116363636363644</v>
      </c>
      <c r="K30" s="178">
        <f t="shared" si="20"/>
        <v>65.348124098124089</v>
      </c>
      <c r="L30" s="178">
        <f t="shared" si="20"/>
        <v>61.120036101083024</v>
      </c>
      <c r="M30" s="178">
        <f t="shared" si="20"/>
        <v>71.570165622202325</v>
      </c>
      <c r="N30" s="178">
        <f t="shared" si="20"/>
        <v>59.04976515320957</v>
      </c>
      <c r="O30" s="20"/>
      <c r="Q30" s="19">
        <f t="shared" si="21"/>
        <v>69.529565868263475</v>
      </c>
      <c r="R30" s="20">
        <f t="shared" si="21"/>
        <v>64.806743026933759</v>
      </c>
      <c r="S30" s="21">
        <f t="shared" si="21"/>
        <v>67.713577562377921</v>
      </c>
      <c r="T30" s="4"/>
      <c r="U30" s="178">
        <f t="shared" si="22"/>
        <v>3.9811764705882355</v>
      </c>
      <c r="V30" s="178">
        <f t="shared" si="22"/>
        <v>2.0323076923076919</v>
      </c>
      <c r="W30" s="178">
        <f t="shared" si="22"/>
        <v>22.661307189542484</v>
      </c>
      <c r="X30" s="178">
        <f t="shared" si="22"/>
        <v>41.672566844919785</v>
      </c>
      <c r="Y30" s="178">
        <f t="shared" si="22"/>
        <v>148.04852941176469</v>
      </c>
      <c r="Z30" s="178">
        <f t="shared" si="22"/>
        <v>109.59014705882352</v>
      </c>
      <c r="AA30" s="178">
        <f t="shared" si="22"/>
        <v>74.116363636363644</v>
      </c>
      <c r="AB30" s="178">
        <f t="shared" si="22"/>
        <v>66.183777858969663</v>
      </c>
      <c r="AC30" s="178">
        <f t="shared" si="22"/>
        <v>61.120036101083024</v>
      </c>
      <c r="AD30" s="178">
        <f t="shared" si="22"/>
        <v>71.570165622202325</v>
      </c>
      <c r="AE30" s="178">
        <f t="shared" si="22"/>
        <v>59.04976515320957</v>
      </c>
      <c r="AF30" s="20"/>
      <c r="AH30" s="19">
        <f t="shared" ref="AH30:AJ30" si="25">AH10/AH20</f>
        <v>69.529565868263475</v>
      </c>
      <c r="AI30" s="20">
        <f t="shared" si="25"/>
        <v>64.861141089286988</v>
      </c>
      <c r="AJ30" s="21">
        <f t="shared" si="25"/>
        <v>67.735421255887246</v>
      </c>
    </row>
    <row r="31" spans="1:36" ht="15.75" customHeight="1">
      <c r="A31" s="308"/>
      <c r="B31" s="4" t="s">
        <v>74</v>
      </c>
      <c r="C31" s="4"/>
      <c r="D31" s="178"/>
      <c r="E31" s="178"/>
      <c r="F31" s="178"/>
      <c r="G31" s="178"/>
      <c r="H31" s="178"/>
      <c r="I31" s="178">
        <f t="shared" si="20"/>
        <v>116.38999999999999</v>
      </c>
      <c r="J31" s="178"/>
      <c r="K31" s="178"/>
      <c r="L31" s="178"/>
      <c r="M31" s="178"/>
      <c r="N31" s="178"/>
      <c r="O31" s="20"/>
      <c r="Q31" s="19">
        <f>Q11/Q21</f>
        <v>323.47999999999996</v>
      </c>
      <c r="R31" s="20"/>
      <c r="S31" s="21">
        <f t="shared" si="21"/>
        <v>2413.9900000000002</v>
      </c>
      <c r="T31" s="4"/>
      <c r="U31" s="178"/>
      <c r="V31" s="178"/>
      <c r="W31" s="178"/>
      <c r="X31" s="178"/>
      <c r="Y31" s="178"/>
      <c r="Z31" s="178">
        <f t="shared" si="22"/>
        <v>116.38999999999999</v>
      </c>
      <c r="AA31" s="178"/>
      <c r="AB31" s="178"/>
      <c r="AC31" s="178"/>
      <c r="AD31" s="178"/>
      <c r="AE31" s="178"/>
      <c r="AF31" s="20"/>
      <c r="AH31" s="19">
        <f>AH11/AH21</f>
        <v>323.47999999999996</v>
      </c>
      <c r="AI31" s="20" t="e">
        <f t="shared" ref="AI31:AJ31" si="26">AI11/AI21</f>
        <v>#DIV/0!</v>
      </c>
      <c r="AJ31" s="21">
        <f t="shared" si="26"/>
        <v>2413.9900000000002</v>
      </c>
    </row>
    <row r="32" spans="1:36" ht="15.75" customHeight="1">
      <c r="A32" s="308" t="s">
        <v>46</v>
      </c>
      <c r="B32" s="4" t="s">
        <v>75</v>
      </c>
      <c r="C32" s="4"/>
      <c r="D32" s="178">
        <f t="shared" si="20"/>
        <v>96.940111111111122</v>
      </c>
      <c r="E32" s="178">
        <f t="shared" si="20"/>
        <v>92.044137931034498</v>
      </c>
      <c r="F32" s="178">
        <f t="shared" si="20"/>
        <v>54.251692708333337</v>
      </c>
      <c r="G32" s="178">
        <f t="shared" si="20"/>
        <v>136.18621118012422</v>
      </c>
      <c r="H32" s="178">
        <f t="shared" si="20"/>
        <v>280.90691666666669</v>
      </c>
      <c r="I32" s="178">
        <f t="shared" si="20"/>
        <v>133.99988095238095</v>
      </c>
      <c r="J32" s="178">
        <f t="shared" si="20"/>
        <v>134.77356321839079</v>
      </c>
      <c r="K32" s="178">
        <f t="shared" si="20"/>
        <v>236.39189189189187</v>
      </c>
      <c r="L32" s="178">
        <f t="shared" si="20"/>
        <v>150.38360755636805</v>
      </c>
      <c r="M32" s="178">
        <f t="shared" si="20"/>
        <v>172.75553359683795</v>
      </c>
      <c r="N32" s="178">
        <f t="shared" si="20"/>
        <v>94.802867383512549</v>
      </c>
      <c r="O32" s="20"/>
      <c r="Q32" s="19">
        <f t="shared" ref="Q32:S35" si="27">Q12/Q22</f>
        <v>113.34311797752808</v>
      </c>
      <c r="R32" s="20">
        <f t="shared" si="27"/>
        <v>125.80611601513243</v>
      </c>
      <c r="S32" s="21">
        <f t="shared" si="27"/>
        <v>116.41216158992746</v>
      </c>
      <c r="T32" s="4"/>
      <c r="U32" s="178">
        <f t="shared" si="22"/>
        <v>96.940111111111122</v>
      </c>
      <c r="V32" s="178">
        <f t="shared" si="22"/>
        <v>92.044137931034498</v>
      </c>
      <c r="W32" s="178">
        <f t="shared" si="22"/>
        <v>54.251692708333337</v>
      </c>
      <c r="X32" s="178">
        <f t="shared" si="22"/>
        <v>136.18621118012422</v>
      </c>
      <c r="Y32" s="178">
        <f t="shared" si="22"/>
        <v>280.90691666666669</v>
      </c>
      <c r="Z32" s="178">
        <f t="shared" si="22"/>
        <v>133.99988095238095</v>
      </c>
      <c r="AA32" s="178">
        <f t="shared" si="22"/>
        <v>134.77356321839079</v>
      </c>
      <c r="AB32" s="178">
        <f t="shared" si="22"/>
        <v>257.5024533856722</v>
      </c>
      <c r="AC32" s="178">
        <f t="shared" si="22"/>
        <v>150.38360755636805</v>
      </c>
      <c r="AD32" s="178">
        <f t="shared" si="22"/>
        <v>210.13052884615385</v>
      </c>
      <c r="AE32" s="178">
        <f t="shared" si="22"/>
        <v>242.66055045871559</v>
      </c>
      <c r="AF32" s="20"/>
      <c r="AH32" s="19">
        <f t="shared" ref="AH32:AJ32" si="28">AH12/AH22</f>
        <v>113.34311797752808</v>
      </c>
      <c r="AI32" s="20">
        <f t="shared" si="28"/>
        <v>185.20851440867477</v>
      </c>
      <c r="AJ32" s="21">
        <f t="shared" si="28"/>
        <v>126.39498547903848</v>
      </c>
    </row>
    <row r="33" spans="1:36" ht="15.75" customHeight="1">
      <c r="A33" s="308"/>
      <c r="B33" s="4" t="s">
        <v>76</v>
      </c>
      <c r="C33" s="4"/>
      <c r="D33" s="178">
        <f t="shared" si="20"/>
        <v>67.175252525252532</v>
      </c>
      <c r="E33" s="178">
        <f t="shared" si="20"/>
        <v>91.967131782945742</v>
      </c>
      <c r="F33" s="178">
        <f t="shared" si="20"/>
        <v>28.140124223602484</v>
      </c>
      <c r="G33" s="178">
        <f t="shared" si="20"/>
        <v>87.132654320987655</v>
      </c>
      <c r="H33" s="178">
        <f t="shared" si="20"/>
        <v>135.21962686567164</v>
      </c>
      <c r="I33" s="178">
        <f t="shared" si="20"/>
        <v>77.648531073446335</v>
      </c>
      <c r="J33" s="178">
        <f t="shared" si="20"/>
        <v>83.104385964912282</v>
      </c>
      <c r="K33" s="178">
        <f t="shared" si="20"/>
        <v>92.159983464241435</v>
      </c>
      <c r="L33" s="178">
        <f t="shared" si="20"/>
        <v>100.46035962402942</v>
      </c>
      <c r="M33" s="178">
        <f t="shared" si="20"/>
        <v>112.54463519313305</v>
      </c>
      <c r="N33" s="178">
        <f t="shared" si="20"/>
        <v>67.392348025561191</v>
      </c>
      <c r="O33" s="20"/>
      <c r="Q33" s="19">
        <f t="shared" si="27"/>
        <v>65.949746621621628</v>
      </c>
      <c r="R33" s="20">
        <f t="shared" si="27"/>
        <v>82.612950765436551</v>
      </c>
      <c r="S33" s="21">
        <f t="shared" si="27"/>
        <v>69.603149377839614</v>
      </c>
      <c r="T33" s="4"/>
      <c r="U33" s="178">
        <f t="shared" si="22"/>
        <v>67.175252525252532</v>
      </c>
      <c r="V33" s="178">
        <f t="shared" si="22"/>
        <v>91.967131782945742</v>
      </c>
      <c r="W33" s="178">
        <f t="shared" si="22"/>
        <v>28.140124223602484</v>
      </c>
      <c r="X33" s="178">
        <f t="shared" si="22"/>
        <v>87.132654320987655</v>
      </c>
      <c r="Y33" s="178">
        <f t="shared" si="22"/>
        <v>135.21962686567164</v>
      </c>
      <c r="Z33" s="178">
        <f t="shared" si="22"/>
        <v>77.648531073446335</v>
      </c>
      <c r="AA33" s="178">
        <f t="shared" si="22"/>
        <v>83.104385964912282</v>
      </c>
      <c r="AB33" s="178">
        <f t="shared" si="22"/>
        <v>182.88351107465135</v>
      </c>
      <c r="AC33" s="178">
        <f t="shared" si="22"/>
        <v>100.25550570962479</v>
      </c>
      <c r="AD33" s="178">
        <f t="shared" si="22"/>
        <v>117.5914798206278</v>
      </c>
      <c r="AE33" s="178">
        <f t="shared" si="22"/>
        <v>74.334990059642138</v>
      </c>
      <c r="AF33" s="20"/>
      <c r="AH33" s="19">
        <f t="shared" ref="AH33:AJ33" si="29">AH13/AH23</f>
        <v>65.949746621621628</v>
      </c>
      <c r="AI33" s="20">
        <f t="shared" si="29"/>
        <v>89.126772445569273</v>
      </c>
      <c r="AJ33" s="21">
        <f t="shared" si="29"/>
        <v>70.736622011942174</v>
      </c>
    </row>
    <row r="34" spans="1:36" ht="15.75" customHeight="1">
      <c r="A34" s="308"/>
      <c r="B34" s="4" t="s">
        <v>77</v>
      </c>
      <c r="C34" s="4"/>
      <c r="D34" s="178">
        <f t="shared" si="20"/>
        <v>92.837034482758625</v>
      </c>
      <c r="E34" s="178">
        <f t="shared" si="20"/>
        <v>97.133265306122468</v>
      </c>
      <c r="F34" s="178">
        <f t="shared" si="20"/>
        <v>139.6535838150289</v>
      </c>
      <c r="G34" s="178">
        <f t="shared" si="20"/>
        <v>191.39097744360902</v>
      </c>
      <c r="H34" s="178">
        <f t="shared" si="20"/>
        <v>294.11196969696971</v>
      </c>
      <c r="I34" s="178">
        <f t="shared" si="20"/>
        <v>102.21945652173913</v>
      </c>
      <c r="J34" s="178">
        <f t="shared" si="20"/>
        <v>95.557884615384623</v>
      </c>
      <c r="K34" s="178">
        <f t="shared" si="20"/>
        <v>127.0184251968504</v>
      </c>
      <c r="L34" s="178">
        <f t="shared" si="20"/>
        <v>94.274234693877546</v>
      </c>
      <c r="M34" s="178">
        <f t="shared" si="20"/>
        <v>99.679106170598914</v>
      </c>
      <c r="N34" s="178">
        <f t="shared" si="20"/>
        <v>102.24379254146294</v>
      </c>
      <c r="O34" s="20"/>
      <c r="Q34" s="19">
        <f t="shared" si="27"/>
        <v>150.5510520231214</v>
      </c>
      <c r="R34" s="20">
        <f t="shared" si="27"/>
        <v>101.09370656748555</v>
      </c>
      <c r="S34" s="21">
        <f t="shared" si="27"/>
        <v>123.76853765834528</v>
      </c>
      <c r="T34" s="4"/>
      <c r="U34" s="178">
        <f t="shared" si="22"/>
        <v>137.92363636363638</v>
      </c>
      <c r="V34" s="178">
        <f t="shared" si="22"/>
        <v>97.133265306122468</v>
      </c>
      <c r="W34" s="178">
        <f t="shared" si="22"/>
        <v>139.6535838150289</v>
      </c>
      <c r="X34" s="178">
        <f t="shared" si="22"/>
        <v>191.39097744360902</v>
      </c>
      <c r="Y34" s="178">
        <f t="shared" si="22"/>
        <v>298.63676923076923</v>
      </c>
      <c r="Z34" s="178">
        <f t="shared" si="22"/>
        <v>102.21945652173913</v>
      </c>
      <c r="AA34" s="178">
        <f t="shared" si="22"/>
        <v>95.557884615384623</v>
      </c>
      <c r="AB34" s="178">
        <f t="shared" si="22"/>
        <v>137.87470085470085</v>
      </c>
      <c r="AC34" s="178">
        <f t="shared" si="22"/>
        <v>97.437799616490878</v>
      </c>
      <c r="AD34" s="178">
        <f t="shared" si="22"/>
        <v>111.95485816205198</v>
      </c>
      <c r="AE34" s="178">
        <f t="shared" si="22"/>
        <v>113.90025097452876</v>
      </c>
      <c r="AF34" s="20"/>
      <c r="AH34" s="19">
        <f t="shared" ref="AH34:AJ34" si="30">AH14/AH24</f>
        <v>161.19938320209974</v>
      </c>
      <c r="AI34" s="20">
        <f t="shared" si="30"/>
        <v>109.95043644879711</v>
      </c>
      <c r="AJ34" s="21">
        <f t="shared" si="30"/>
        <v>132.9031209592101</v>
      </c>
    </row>
    <row r="35" spans="1:36" ht="15.75" customHeight="1">
      <c r="A35" s="176" t="s">
        <v>64</v>
      </c>
      <c r="B35" s="4" t="s">
        <v>78</v>
      </c>
      <c r="C35" s="4"/>
      <c r="D35" s="178">
        <f t="shared" si="20"/>
        <v>1.1355128205128204</v>
      </c>
      <c r="E35" s="178">
        <f t="shared" si="20"/>
        <v>4.1541290322580648</v>
      </c>
      <c r="F35" s="178">
        <f t="shared" si="20"/>
        <v>3.944745098039216</v>
      </c>
      <c r="G35" s="178">
        <f t="shared" si="20"/>
        <v>3.0341034482758622</v>
      </c>
      <c r="H35" s="178">
        <f t="shared" si="20"/>
        <v>2.8145714285714285</v>
      </c>
      <c r="I35" s="178">
        <f t="shared" si="20"/>
        <v>4.5933999999999999</v>
      </c>
      <c r="J35" s="178">
        <f t="shared" si="20"/>
        <v>40.895416666666669</v>
      </c>
      <c r="K35" s="178"/>
      <c r="L35" s="178"/>
      <c r="M35" s="178"/>
      <c r="N35" s="178"/>
      <c r="O35" s="20"/>
      <c r="Q35" s="19">
        <f t="shared" si="27"/>
        <v>3.3908129175946553</v>
      </c>
      <c r="R35" s="20">
        <f t="shared" si="27"/>
        <v>315.91270833333334</v>
      </c>
      <c r="S35" s="21">
        <f t="shared" si="27"/>
        <v>19.248160676532773</v>
      </c>
      <c r="T35" s="4"/>
      <c r="U35" s="178">
        <f t="shared" si="22"/>
        <v>1.1355128205128204</v>
      </c>
      <c r="V35" s="178">
        <f t="shared" si="22"/>
        <v>4.1541290322580648</v>
      </c>
      <c r="W35" s="178">
        <f t="shared" si="22"/>
        <v>3.944745098039216</v>
      </c>
      <c r="X35" s="178">
        <f t="shared" si="22"/>
        <v>3.0341034482758622</v>
      </c>
      <c r="Y35" s="178">
        <f t="shared" si="22"/>
        <v>2.8145714285714285</v>
      </c>
      <c r="Z35" s="178">
        <f t="shared" si="22"/>
        <v>4.5933999999999999</v>
      </c>
      <c r="AA35" s="178">
        <f t="shared" si="22"/>
        <v>40.895416666666669</v>
      </c>
      <c r="AB35" s="178"/>
      <c r="AC35" s="178"/>
      <c r="AD35" s="178"/>
      <c r="AE35" s="178"/>
      <c r="AF35" s="20"/>
      <c r="AH35" s="19">
        <f t="shared" ref="AH35:AJ35" si="31">AH15/AH25</f>
        <v>3.3908129175946553</v>
      </c>
      <c r="AI35" s="20">
        <f t="shared" si="31"/>
        <v>40.895416666666669</v>
      </c>
      <c r="AJ35" s="21">
        <f t="shared" si="31"/>
        <v>5.293794926004229</v>
      </c>
    </row>
    <row r="36" spans="1:36" ht="15.75" customHeight="1">
      <c r="A36" s="74"/>
      <c r="B36" s="74"/>
      <c r="C36" s="74"/>
      <c r="D36" s="74"/>
      <c r="E36" s="74"/>
      <c r="F36" s="74"/>
      <c r="G36" s="74"/>
      <c r="H36" s="74"/>
      <c r="I36" s="74"/>
      <c r="T36" s="74"/>
      <c r="U36" s="74"/>
      <c r="V36" s="74"/>
      <c r="W36" s="74"/>
      <c r="X36" s="74"/>
      <c r="Y36" s="74"/>
      <c r="Z36" s="74"/>
    </row>
    <row r="37" spans="1:36" ht="15.75" customHeight="1">
      <c r="A37" s="79"/>
      <c r="B37" s="79"/>
      <c r="C37" s="79"/>
      <c r="D37" s="74"/>
      <c r="E37" s="74"/>
      <c r="F37" s="74"/>
      <c r="G37" s="74"/>
      <c r="H37" s="74"/>
      <c r="I37" s="74"/>
      <c r="T37" s="79"/>
      <c r="U37" s="74"/>
      <c r="V37" s="74"/>
      <c r="W37" s="74"/>
      <c r="X37" s="74"/>
      <c r="Y37" s="74"/>
      <c r="Z37" s="74"/>
    </row>
    <row r="38" spans="1:36" ht="15.75" customHeight="1">
      <c r="A38" s="79"/>
      <c r="B38" s="16" t="s">
        <v>22</v>
      </c>
      <c r="C38" s="16"/>
      <c r="D38" s="179">
        <f>D49/D17</f>
        <v>0.5534290271132376</v>
      </c>
      <c r="E38" s="179">
        <f t="shared" ref="E38:N42" si="32">E49/E17</f>
        <v>0.45424292845257902</v>
      </c>
      <c r="F38" s="179">
        <f t="shared" si="32"/>
        <v>0.25656282814140707</v>
      </c>
      <c r="G38" s="179">
        <f t="shared" si="32"/>
        <v>0.40066666666666667</v>
      </c>
      <c r="H38" s="179">
        <f t="shared" si="32"/>
        <v>0.76373626373626369</v>
      </c>
      <c r="I38" s="179">
        <f t="shared" si="32"/>
        <v>0.55063765941485376</v>
      </c>
      <c r="J38" s="179">
        <f t="shared" si="32"/>
        <v>0.60772104607721045</v>
      </c>
      <c r="K38" s="179">
        <f t="shared" si="32"/>
        <v>0.60543667426526449</v>
      </c>
      <c r="L38" s="179">
        <f t="shared" si="32"/>
        <v>0.71648161792728471</v>
      </c>
      <c r="M38" s="179">
        <f t="shared" si="32"/>
        <v>0.53247175192231333</v>
      </c>
      <c r="N38" s="179">
        <f t="shared" si="32"/>
        <v>0.45818350539380581</v>
      </c>
      <c r="O38" s="8"/>
      <c r="Q38" s="179">
        <f t="shared" ref="Q38:S38" si="33">Q49/Q17</f>
        <v>0.4407153640692138</v>
      </c>
      <c r="R38" s="195">
        <f t="shared" si="33"/>
        <v>0.54256558340745686</v>
      </c>
      <c r="S38" s="196">
        <f t="shared" si="33"/>
        <v>0.48050147653362413</v>
      </c>
      <c r="T38" s="16"/>
      <c r="U38" s="179">
        <f>U49/U17</f>
        <v>0.56239870340356568</v>
      </c>
      <c r="V38" s="179">
        <f t="shared" ref="V38:AE38" si="34">V49/V17</f>
        <v>0.40807174887892378</v>
      </c>
      <c r="W38" s="179">
        <f t="shared" si="34"/>
        <v>0.25611460517120893</v>
      </c>
      <c r="X38" s="179">
        <f t="shared" si="34"/>
        <v>0.40093395597064707</v>
      </c>
      <c r="Y38" s="179">
        <f t="shared" si="34"/>
        <v>0.76795580110497241</v>
      </c>
      <c r="Z38" s="179">
        <f t="shared" si="34"/>
        <v>0.55063765941485376</v>
      </c>
      <c r="AA38" s="179">
        <f t="shared" si="34"/>
        <v>0.60772104607721045</v>
      </c>
      <c r="AB38" s="179">
        <f t="shared" si="34"/>
        <v>0.64669843430905383</v>
      </c>
      <c r="AC38" s="179">
        <f t="shared" si="34"/>
        <v>0.55077049276381318</v>
      </c>
      <c r="AD38" s="179">
        <f t="shared" si="34"/>
        <v>0.5870997273469063</v>
      </c>
      <c r="AE38" s="179">
        <f t="shared" si="34"/>
        <v>0.50095571116687354</v>
      </c>
      <c r="AF38" s="8"/>
    </row>
    <row r="39" spans="1:36" ht="15.75" customHeight="1">
      <c r="A39" s="308" t="s">
        <v>57</v>
      </c>
      <c r="B39" s="4" t="s">
        <v>79</v>
      </c>
      <c r="C39" s="4"/>
      <c r="D39" s="180">
        <f t="shared" ref="D39:D41" si="35">D50/D18</f>
        <v>0.3383838383838384</v>
      </c>
      <c r="E39" s="180">
        <f t="shared" si="32"/>
        <v>0.37276785714285715</v>
      </c>
      <c r="F39" s="180">
        <f t="shared" si="32"/>
        <v>0.19041095890410958</v>
      </c>
      <c r="G39" s="180">
        <f t="shared" si="32"/>
        <v>0.45454545454545453</v>
      </c>
      <c r="H39" s="180">
        <f t="shared" si="32"/>
        <v>0.71959459459459463</v>
      </c>
      <c r="I39" s="180">
        <f t="shared" si="32"/>
        <v>0.7558139534883721</v>
      </c>
      <c r="J39" s="180">
        <f t="shared" si="32"/>
        <v>0.46909090909090911</v>
      </c>
      <c r="K39" s="180">
        <f t="shared" si="32"/>
        <v>0.37645090452786778</v>
      </c>
      <c r="L39" s="180">
        <f t="shared" si="32"/>
        <v>0.45107033639143729</v>
      </c>
      <c r="M39" s="180">
        <f t="shared" si="32"/>
        <v>0.43561512685495457</v>
      </c>
      <c r="N39" s="180">
        <f t="shared" si="32"/>
        <v>0.37155309192424335</v>
      </c>
      <c r="O39" s="20"/>
      <c r="Q39" s="197">
        <f t="shared" ref="Q39:S39" si="36">Q50/Q18</f>
        <v>0.4235345967386514</v>
      </c>
      <c r="R39" s="198">
        <f t="shared" si="36"/>
        <v>0.40928054641153383</v>
      </c>
      <c r="S39" s="199">
        <f t="shared" si="36"/>
        <v>0.41640242398618893</v>
      </c>
      <c r="T39" s="4"/>
      <c r="U39" s="180">
        <f t="shared" ref="U39" si="37">U50/U18</f>
        <v>0.34536082474226804</v>
      </c>
      <c r="V39" s="180">
        <f t="shared" ref="V39:AE39" si="38">V50/V18</f>
        <v>0.36462882096069871</v>
      </c>
      <c r="W39" s="180">
        <f t="shared" si="38"/>
        <v>0.19015047879616964</v>
      </c>
      <c r="X39" s="180">
        <f t="shared" si="38"/>
        <v>0.45454545454545453</v>
      </c>
      <c r="Y39" s="180">
        <f t="shared" si="38"/>
        <v>0.72448979591836737</v>
      </c>
      <c r="Z39" s="180">
        <f t="shared" si="38"/>
        <v>0.7558139534883721</v>
      </c>
      <c r="AA39" s="180">
        <f t="shared" si="38"/>
        <v>0.46909090909090911</v>
      </c>
      <c r="AB39" s="180">
        <f t="shared" si="38"/>
        <v>0.38607968255670544</v>
      </c>
      <c r="AC39" s="180">
        <f t="shared" si="38"/>
        <v>0.2790037831021438</v>
      </c>
      <c r="AD39" s="180">
        <f t="shared" si="38"/>
        <v>0.45082982412682687</v>
      </c>
      <c r="AE39" s="180">
        <f t="shared" si="38"/>
        <v>0.39119494195512888</v>
      </c>
      <c r="AF39" s="20"/>
    </row>
    <row r="40" spans="1:36" ht="15.75" customHeight="1">
      <c r="A40" s="308"/>
      <c r="B40" s="4" t="s">
        <v>121</v>
      </c>
      <c r="C40" s="4"/>
      <c r="D40" s="180" t="e">
        <f t="shared" si="35"/>
        <v>#DIV/0!</v>
      </c>
      <c r="E40" s="180">
        <f t="shared" si="32"/>
        <v>0.62234042553191493</v>
      </c>
      <c r="F40" s="180">
        <f t="shared" si="32"/>
        <v>0.22827687776141384</v>
      </c>
      <c r="G40" s="180">
        <f t="shared" si="32"/>
        <v>0.34713375796178342</v>
      </c>
      <c r="H40" s="180">
        <f t="shared" si="32"/>
        <v>0.60784313725490191</v>
      </c>
      <c r="I40" s="180">
        <f t="shared" si="32"/>
        <v>0.5494505494505495</v>
      </c>
      <c r="J40" s="180">
        <f t="shared" si="32"/>
        <v>0.97247706422018354</v>
      </c>
      <c r="K40" s="180">
        <f t="shared" si="32"/>
        <v>0.55432372505543237</v>
      </c>
      <c r="L40" s="180">
        <f t="shared" si="32"/>
        <v>1.0101010101010102</v>
      </c>
      <c r="M40" s="180">
        <f t="shared" si="32"/>
        <v>0.31238095238095237</v>
      </c>
      <c r="N40" s="180">
        <f t="shared" si="32"/>
        <v>0.40937429580109669</v>
      </c>
      <c r="O40" s="20"/>
      <c r="Q40" s="197">
        <f t="shared" ref="Q40:S40" si="39">Q51/Q19</f>
        <v>0.41194209891435463</v>
      </c>
      <c r="R40" s="198">
        <f t="shared" si="39"/>
        <v>0.50214942187963241</v>
      </c>
      <c r="S40" s="199">
        <f t="shared" si="39"/>
        <v>0.44751147090627463</v>
      </c>
      <c r="T40" s="4"/>
      <c r="U40" s="180">
        <f t="shared" ref="U40" si="40">U51/U19</f>
        <v>0.29473684210526313</v>
      </c>
      <c r="V40" s="180">
        <f t="shared" ref="V40:AE40" si="41">V51/V19</f>
        <v>0.37261146496815284</v>
      </c>
      <c r="W40" s="180">
        <f t="shared" si="41"/>
        <v>0.22693997071742314</v>
      </c>
      <c r="X40" s="180">
        <f t="shared" si="41"/>
        <v>0.34824281150159747</v>
      </c>
      <c r="Y40" s="180">
        <f t="shared" si="41"/>
        <v>0.61386138613861385</v>
      </c>
      <c r="Z40" s="180">
        <f t="shared" si="41"/>
        <v>0.5494505494505495</v>
      </c>
      <c r="AA40" s="180">
        <f t="shared" si="41"/>
        <v>0.97247706422018354</v>
      </c>
      <c r="AB40" s="180">
        <f t="shared" si="41"/>
        <v>0.57339449541284404</v>
      </c>
      <c r="AC40" s="180">
        <f t="shared" si="41"/>
        <v>1.0060832943378568</v>
      </c>
      <c r="AD40" s="180">
        <f t="shared" si="41"/>
        <v>0.38588235294117645</v>
      </c>
      <c r="AE40" s="180">
        <f t="shared" si="41"/>
        <v>0.40937429580109669</v>
      </c>
      <c r="AF40" s="20"/>
    </row>
    <row r="41" spans="1:36" ht="15.75" customHeight="1">
      <c r="A41" s="308"/>
      <c r="B41" s="4" t="s">
        <v>80</v>
      </c>
      <c r="C41" s="4"/>
      <c r="D41" s="180">
        <f t="shared" si="35"/>
        <v>0</v>
      </c>
      <c r="E41" s="180">
        <f t="shared" si="32"/>
        <v>0</v>
      </c>
      <c r="F41" s="180">
        <f t="shared" si="32"/>
        <v>8.4967320261437912E-2</v>
      </c>
      <c r="G41" s="180">
        <f t="shared" si="32"/>
        <v>0.24598930481283424</v>
      </c>
      <c r="H41" s="180">
        <f t="shared" si="32"/>
        <v>0.48529411764705882</v>
      </c>
      <c r="I41" s="180">
        <f t="shared" si="32"/>
        <v>0.49264705882352944</v>
      </c>
      <c r="J41" s="180">
        <f t="shared" si="32"/>
        <v>0.39393939393939392</v>
      </c>
      <c r="K41" s="180">
        <f t="shared" si="32"/>
        <v>0.43290043290043284</v>
      </c>
      <c r="L41" s="180">
        <f t="shared" si="32"/>
        <v>0.54151624548736454</v>
      </c>
      <c r="M41" s="180">
        <f t="shared" si="32"/>
        <v>0.34691136974037601</v>
      </c>
      <c r="N41" s="180">
        <f t="shared" si="32"/>
        <v>0.39700290762692908</v>
      </c>
      <c r="O41" s="20"/>
      <c r="Q41" s="197">
        <f t="shared" ref="Q41:S41" si="42">Q52/Q20</f>
        <v>0.28742514970059879</v>
      </c>
      <c r="R41" s="198">
        <f t="shared" si="42"/>
        <v>0.40736125754816443</v>
      </c>
      <c r="S41" s="199">
        <f t="shared" si="42"/>
        <v>0.33354218110787603</v>
      </c>
      <c r="T41" s="4"/>
      <c r="U41" s="180">
        <f t="shared" ref="U41" si="43">U52/U20</f>
        <v>0</v>
      </c>
      <c r="V41" s="180">
        <f t="shared" ref="V41:AE41" si="44">V52/V20</f>
        <v>0</v>
      </c>
      <c r="W41" s="180">
        <f t="shared" si="44"/>
        <v>8.4967320261437912E-2</v>
      </c>
      <c r="X41" s="180">
        <f t="shared" si="44"/>
        <v>0.24598930481283424</v>
      </c>
      <c r="Y41" s="180">
        <f t="shared" si="44"/>
        <v>0.48529411764705882</v>
      </c>
      <c r="Z41" s="180">
        <f t="shared" si="44"/>
        <v>0.49264705882352944</v>
      </c>
      <c r="AA41" s="180">
        <f t="shared" si="44"/>
        <v>0.39393939393939392</v>
      </c>
      <c r="AB41" s="180">
        <f t="shared" si="44"/>
        <v>0.43843624406284243</v>
      </c>
      <c r="AC41" s="180">
        <f t="shared" si="44"/>
        <v>0.54151624548736454</v>
      </c>
      <c r="AD41" s="180">
        <f t="shared" si="44"/>
        <v>0.34691136974037601</v>
      </c>
      <c r="AE41" s="180">
        <f t="shared" si="44"/>
        <v>0.39700290762692908</v>
      </c>
      <c r="AF41" s="20"/>
    </row>
    <row r="42" spans="1:36" ht="15.75" customHeight="1">
      <c r="A42" s="308"/>
      <c r="B42" s="4" t="s">
        <v>89</v>
      </c>
      <c r="C42" s="4"/>
      <c r="D42" s="180"/>
      <c r="E42" s="180"/>
      <c r="F42" s="180"/>
      <c r="G42" s="180"/>
      <c r="H42" s="180"/>
      <c r="I42" s="180">
        <f t="shared" si="32"/>
        <v>0</v>
      </c>
      <c r="J42" s="180"/>
      <c r="K42" s="180"/>
      <c r="L42" s="180"/>
      <c r="M42" s="180"/>
      <c r="N42" s="180"/>
      <c r="O42" s="20"/>
      <c r="Q42" s="197">
        <f t="shared" ref="Q42:S42" si="45">Q53/Q21</f>
        <v>0</v>
      </c>
      <c r="R42" s="198"/>
      <c r="S42" s="199">
        <f t="shared" si="45"/>
        <v>3</v>
      </c>
      <c r="T42" s="4"/>
      <c r="U42" s="180"/>
      <c r="V42" s="180"/>
      <c r="W42" s="180"/>
      <c r="X42" s="180"/>
      <c r="Y42" s="180"/>
      <c r="Z42" s="180">
        <f t="shared" ref="Z42" si="46">Z53/Z21</f>
        <v>0</v>
      </c>
      <c r="AA42" s="180"/>
      <c r="AB42" s="180"/>
      <c r="AC42" s="180"/>
      <c r="AD42" s="180"/>
      <c r="AE42" s="180"/>
      <c r="AF42" s="20"/>
    </row>
    <row r="43" spans="1:36" ht="15.75" customHeight="1">
      <c r="A43" s="308" t="s">
        <v>46</v>
      </c>
      <c r="B43" s="4" t="s">
        <v>81</v>
      </c>
      <c r="C43" s="4"/>
      <c r="D43" s="180">
        <f t="shared" ref="D43:N46" si="47">D54/D22</f>
        <v>1.0111111111111111</v>
      </c>
      <c r="E43" s="180">
        <f t="shared" si="47"/>
        <v>0.68965517241379315</v>
      </c>
      <c r="F43" s="180">
        <f t="shared" si="47"/>
        <v>0.4140625</v>
      </c>
      <c r="G43" s="180">
        <f t="shared" si="47"/>
        <v>0.90062111801242239</v>
      </c>
      <c r="H43" s="180">
        <f t="shared" si="47"/>
        <v>1.5666666666666667</v>
      </c>
      <c r="I43" s="180">
        <f t="shared" si="47"/>
        <v>0.79166666666666663</v>
      </c>
      <c r="J43" s="180">
        <f t="shared" si="47"/>
        <v>1.3563218390804597</v>
      </c>
      <c r="K43" s="180">
        <f t="shared" si="47"/>
        <v>2.9729729729729728</v>
      </c>
      <c r="L43" s="180">
        <f t="shared" si="47"/>
        <v>3.4430225472273004</v>
      </c>
      <c r="M43" s="180">
        <f t="shared" si="47"/>
        <v>2.3913043478260869</v>
      </c>
      <c r="N43" s="180">
        <f t="shared" si="47"/>
        <v>0.94982078853046592</v>
      </c>
      <c r="O43" s="20"/>
      <c r="Q43" s="197">
        <f t="shared" ref="Q43:S43" si="48">Q54/Q22</f>
        <v>0.7640449438202247</v>
      </c>
      <c r="R43" s="198">
        <f>R54/R22</f>
        <v>1.5590966410638543</v>
      </c>
      <c r="S43" s="199">
        <f t="shared" si="48"/>
        <v>0.9598283601050166</v>
      </c>
      <c r="T43" s="4"/>
      <c r="U43" s="180">
        <f t="shared" ref="U43" si="49">U54/U22</f>
        <v>1.0111111111111111</v>
      </c>
      <c r="V43" s="180">
        <f t="shared" ref="V43:AE43" si="50">V54/V22</f>
        <v>0.68965517241379315</v>
      </c>
      <c r="W43" s="180">
        <f t="shared" si="50"/>
        <v>0.4140625</v>
      </c>
      <c r="X43" s="180">
        <f t="shared" si="50"/>
        <v>0.90062111801242239</v>
      </c>
      <c r="Y43" s="180">
        <f t="shared" si="50"/>
        <v>1.5666666666666667</v>
      </c>
      <c r="Z43" s="180">
        <f t="shared" si="50"/>
        <v>0.79166666666666663</v>
      </c>
      <c r="AA43" s="180">
        <f t="shared" si="50"/>
        <v>1.3563218390804597</v>
      </c>
      <c r="AB43" s="180">
        <f t="shared" si="50"/>
        <v>3.2384690873405297</v>
      </c>
      <c r="AC43" s="180">
        <f t="shared" si="50"/>
        <v>3.4430225472273004</v>
      </c>
      <c r="AD43" s="180">
        <f t="shared" si="50"/>
        <v>2.9086538461538463</v>
      </c>
      <c r="AE43" s="180">
        <f t="shared" si="50"/>
        <v>2.4311926605504586</v>
      </c>
      <c r="AF43" s="20"/>
    </row>
    <row r="44" spans="1:36" ht="15.75" customHeight="1">
      <c r="A44" s="308"/>
      <c r="B44" s="4" t="s">
        <v>82</v>
      </c>
      <c r="C44" s="4"/>
      <c r="D44" s="180">
        <f t="shared" si="47"/>
        <v>0.5757575757575758</v>
      </c>
      <c r="E44" s="180">
        <f t="shared" si="47"/>
        <v>0.46511627906976744</v>
      </c>
      <c r="F44" s="180">
        <f t="shared" si="47"/>
        <v>0.24637681159420291</v>
      </c>
      <c r="G44" s="180">
        <f t="shared" si="47"/>
        <v>0.46913580246913578</v>
      </c>
      <c r="H44" s="180">
        <f t="shared" si="47"/>
        <v>0.90298507462686572</v>
      </c>
      <c r="I44" s="180">
        <f t="shared" si="47"/>
        <v>0.30508474576271188</v>
      </c>
      <c r="J44" s="180">
        <f t="shared" si="47"/>
        <v>0.48245614035087719</v>
      </c>
      <c r="K44" s="180">
        <f t="shared" si="47"/>
        <v>1.1161637040099215</v>
      </c>
      <c r="L44" s="180">
        <f t="shared" si="47"/>
        <v>0.85819370657948513</v>
      </c>
      <c r="M44" s="180">
        <f t="shared" si="47"/>
        <v>2.0171673819742488</v>
      </c>
      <c r="N44" s="180">
        <f t="shared" si="47"/>
        <v>0.45879075864329016</v>
      </c>
      <c r="O44" s="20"/>
      <c r="Q44" s="197">
        <f t="shared" ref="Q44:S44" si="51">Q55/Q23</f>
        <v>0.41131756756756754</v>
      </c>
      <c r="R44" s="198">
        <f t="shared" si="51"/>
        <v>0.68272730006917504</v>
      </c>
      <c r="S44" s="199">
        <f t="shared" si="51"/>
        <v>0.4708240740130169</v>
      </c>
      <c r="T44" s="4"/>
      <c r="U44" s="180">
        <f t="shared" ref="U44" si="52">U55/U23</f>
        <v>0.5757575757575758</v>
      </c>
      <c r="V44" s="180">
        <f t="shared" ref="V44:AE44" si="53">V55/V23</f>
        <v>0.46511627906976744</v>
      </c>
      <c r="W44" s="180">
        <f t="shared" si="53"/>
        <v>0.24637681159420291</v>
      </c>
      <c r="X44" s="180">
        <f t="shared" si="53"/>
        <v>0.46913580246913578</v>
      </c>
      <c r="Y44" s="180">
        <f t="shared" si="53"/>
        <v>0.90298507462686572</v>
      </c>
      <c r="Z44" s="180">
        <f t="shared" si="53"/>
        <v>0.30508474576271188</v>
      </c>
      <c r="AA44" s="180">
        <f t="shared" si="53"/>
        <v>0.48245614035087719</v>
      </c>
      <c r="AB44" s="180">
        <f t="shared" si="53"/>
        <v>2.2149302707136993</v>
      </c>
      <c r="AC44" s="180">
        <f t="shared" si="53"/>
        <v>0.85644371941272424</v>
      </c>
      <c r="AD44" s="180">
        <f t="shared" si="53"/>
        <v>2.1076233183856501</v>
      </c>
      <c r="AE44" s="180">
        <f t="shared" si="53"/>
        <v>0.50605458160130123</v>
      </c>
      <c r="AF44" s="20"/>
    </row>
    <row r="45" spans="1:36" ht="15.75" customHeight="1">
      <c r="A45" s="308"/>
      <c r="B45" s="4" t="s">
        <v>83</v>
      </c>
      <c r="C45" s="4"/>
      <c r="D45" s="180">
        <f>D56/D24</f>
        <v>0.71724137931034482</v>
      </c>
      <c r="E45" s="180">
        <f t="shared" si="47"/>
        <v>1.0408163265306123</v>
      </c>
      <c r="F45" s="180">
        <f t="shared" si="47"/>
        <v>0.8554913294797688</v>
      </c>
      <c r="G45" s="180">
        <f t="shared" si="47"/>
        <v>0.82706766917293228</v>
      </c>
      <c r="H45" s="180">
        <f t="shared" si="47"/>
        <v>0.9242424242424242</v>
      </c>
      <c r="I45" s="180">
        <f t="shared" si="47"/>
        <v>0.38043478260869568</v>
      </c>
      <c r="J45" s="180">
        <f t="shared" si="47"/>
        <v>0.49038461538461536</v>
      </c>
      <c r="K45" s="180">
        <f t="shared" si="47"/>
        <v>0.83464566929133854</v>
      </c>
      <c r="L45" s="180">
        <f t="shared" si="47"/>
        <v>0.6725417439703153</v>
      </c>
      <c r="M45" s="180">
        <f t="shared" si="47"/>
        <v>0.48018753781004242</v>
      </c>
      <c r="N45" s="180">
        <f t="shared" si="47"/>
        <v>0.55603489598312716</v>
      </c>
      <c r="O45" s="20"/>
      <c r="Q45" s="197">
        <f t="shared" ref="Q45:S45" si="54">Q56/Q24</f>
        <v>0.75838150289017336</v>
      </c>
      <c r="R45" s="198">
        <f t="shared" si="54"/>
        <v>0.56670255456591956</v>
      </c>
      <c r="S45" s="199">
        <f t="shared" si="54"/>
        <v>0.65458207452165151</v>
      </c>
      <c r="T45" s="4"/>
      <c r="U45" s="180">
        <f>U56/U24</f>
        <v>2.3636363636363638</v>
      </c>
      <c r="V45" s="180">
        <f t="shared" ref="V45:AE45" si="55">V56/V24</f>
        <v>1.0408163265306123</v>
      </c>
      <c r="W45" s="180">
        <f t="shared" si="55"/>
        <v>0.8554913294797688</v>
      </c>
      <c r="X45" s="180">
        <f t="shared" si="55"/>
        <v>0.82706766917293228</v>
      </c>
      <c r="Y45" s="180">
        <f t="shared" si="55"/>
        <v>0.93846153846153846</v>
      </c>
      <c r="Z45" s="180">
        <f t="shared" si="55"/>
        <v>0.38043478260869568</v>
      </c>
      <c r="AA45" s="180">
        <f t="shared" si="55"/>
        <v>0.49038461538461536</v>
      </c>
      <c r="AB45" s="180">
        <f t="shared" si="55"/>
        <v>0.90598290598290598</v>
      </c>
      <c r="AC45" s="180">
        <f t="shared" si="55"/>
        <v>0.69511025886864808</v>
      </c>
      <c r="AD45" s="180">
        <f t="shared" si="55"/>
        <v>0.53932393409206725</v>
      </c>
      <c r="AE45" s="180">
        <f t="shared" si="55"/>
        <v>0.61942649650237636</v>
      </c>
      <c r="AF45" s="20"/>
    </row>
    <row r="46" spans="1:36" ht="15.75" customHeight="1">
      <c r="A46" s="176" t="s">
        <v>64</v>
      </c>
      <c r="B46" s="4" t="s">
        <v>90</v>
      </c>
      <c r="C46" s="4"/>
      <c r="D46" s="180">
        <f t="shared" ref="D46" si="56">D57/D25</f>
        <v>0</v>
      </c>
      <c r="E46" s="180">
        <f t="shared" si="47"/>
        <v>0</v>
      </c>
      <c r="F46" s="180">
        <f t="shared" si="47"/>
        <v>0</v>
      </c>
      <c r="G46" s="180">
        <f t="shared" si="47"/>
        <v>0</v>
      </c>
      <c r="H46" s="180">
        <f t="shared" si="47"/>
        <v>0</v>
      </c>
      <c r="I46" s="180">
        <f t="shared" si="47"/>
        <v>0</v>
      </c>
      <c r="J46" s="180">
        <f t="shared" si="47"/>
        <v>0</v>
      </c>
      <c r="K46" s="180"/>
      <c r="L46" s="180"/>
      <c r="M46" s="180"/>
      <c r="N46" s="180"/>
      <c r="O46" s="20"/>
      <c r="Q46" s="197">
        <f t="shared" ref="Q46:S46" si="57">Q57/Q25</f>
        <v>0</v>
      </c>
      <c r="R46" s="198">
        <f t="shared" si="57"/>
        <v>0</v>
      </c>
      <c r="S46" s="199">
        <f t="shared" si="57"/>
        <v>0</v>
      </c>
      <c r="T46" s="4"/>
      <c r="U46" s="180">
        <f t="shared" ref="U46" si="58">U57/U25</f>
        <v>0</v>
      </c>
      <c r="V46" s="180">
        <f t="shared" ref="V46:AA46" si="59">V57/V25</f>
        <v>0</v>
      </c>
      <c r="W46" s="180">
        <f t="shared" si="59"/>
        <v>0</v>
      </c>
      <c r="X46" s="180">
        <f t="shared" si="59"/>
        <v>0</v>
      </c>
      <c r="Y46" s="180">
        <f t="shared" si="59"/>
        <v>0</v>
      </c>
      <c r="Z46" s="180">
        <f t="shared" si="59"/>
        <v>0</v>
      </c>
      <c r="AA46" s="180">
        <f t="shared" si="59"/>
        <v>0</v>
      </c>
      <c r="AB46" s="180"/>
      <c r="AC46" s="180"/>
      <c r="AD46" s="180"/>
      <c r="AE46" s="180"/>
      <c r="AF46" s="20"/>
    </row>
    <row r="47" spans="1:36" ht="15.75" customHeight="1">
      <c r="A47" s="74"/>
      <c r="B47" s="16"/>
      <c r="C47" s="16"/>
      <c r="D47" s="74"/>
      <c r="E47" s="74"/>
      <c r="F47" s="74"/>
      <c r="G47" s="74"/>
      <c r="H47" s="74"/>
      <c r="I47" s="74"/>
      <c r="T47" s="16"/>
      <c r="U47" s="74"/>
      <c r="V47" s="74"/>
      <c r="W47" s="74"/>
      <c r="X47" s="74"/>
      <c r="Y47" s="74"/>
      <c r="Z47" s="74"/>
    </row>
    <row r="48" spans="1:36" ht="15.75" customHeight="1">
      <c r="A48" s="74"/>
      <c r="B48" s="74"/>
      <c r="C48" s="74"/>
      <c r="D48" s="74"/>
      <c r="E48" s="74"/>
      <c r="F48" s="74"/>
      <c r="G48" s="74"/>
      <c r="H48" s="74"/>
      <c r="I48" s="74"/>
      <c r="T48" s="74"/>
      <c r="U48" s="74"/>
      <c r="V48" s="74"/>
      <c r="W48" s="74"/>
      <c r="X48" s="74"/>
      <c r="Y48" s="74"/>
      <c r="Z48" s="74"/>
    </row>
    <row r="49" spans="1:36" ht="15.75" customHeight="1">
      <c r="A49" s="74"/>
      <c r="B49" s="74" t="s">
        <v>25</v>
      </c>
      <c r="C49" s="74"/>
      <c r="D49" s="10">
        <f t="shared" ref="D49:N49" si="60">SUM(D50:D57)</f>
        <v>347</v>
      </c>
      <c r="E49" s="10">
        <f t="shared" si="60"/>
        <v>546</v>
      </c>
      <c r="F49" s="10">
        <f t="shared" si="60"/>
        <v>733</v>
      </c>
      <c r="G49" s="10">
        <f t="shared" si="60"/>
        <v>601</v>
      </c>
      <c r="H49" s="10">
        <f t="shared" si="60"/>
        <v>834</v>
      </c>
      <c r="I49" s="10">
        <f t="shared" si="60"/>
        <v>734</v>
      </c>
      <c r="J49" s="10">
        <f t="shared" si="60"/>
        <v>488</v>
      </c>
      <c r="K49" s="139">
        <f t="shared" si="60"/>
        <v>247</v>
      </c>
      <c r="L49" s="139">
        <f t="shared" si="60"/>
        <v>564</v>
      </c>
      <c r="M49" s="139">
        <f t="shared" si="60"/>
        <v>590</v>
      </c>
      <c r="N49" s="139">
        <f t="shared" si="60"/>
        <v>1106</v>
      </c>
      <c r="O49" s="8"/>
      <c r="Q49" s="139">
        <f>SUM(D49:I49)</f>
        <v>3795</v>
      </c>
      <c r="R49" s="135">
        <f>SUM(J49:O49)</f>
        <v>2995</v>
      </c>
      <c r="S49" s="187">
        <f>SUM(D49:O49)</f>
        <v>6790</v>
      </c>
      <c r="T49" s="74"/>
      <c r="U49" s="10">
        <f t="shared" ref="U49:AE49" si="61">SUM(U50:U57)</f>
        <v>347</v>
      </c>
      <c r="V49" s="10">
        <f t="shared" si="61"/>
        <v>546</v>
      </c>
      <c r="W49" s="10">
        <f t="shared" si="61"/>
        <v>733</v>
      </c>
      <c r="X49" s="10">
        <f t="shared" si="61"/>
        <v>601</v>
      </c>
      <c r="Y49" s="10">
        <f t="shared" si="61"/>
        <v>834</v>
      </c>
      <c r="Z49" s="10">
        <f t="shared" si="61"/>
        <v>734</v>
      </c>
      <c r="AA49" s="10">
        <f t="shared" si="61"/>
        <v>488</v>
      </c>
      <c r="AB49" s="139">
        <f t="shared" si="61"/>
        <v>247</v>
      </c>
      <c r="AC49" s="139">
        <f t="shared" si="61"/>
        <v>564</v>
      </c>
      <c r="AD49" s="139">
        <f t="shared" si="61"/>
        <v>590</v>
      </c>
      <c r="AE49" s="139">
        <f t="shared" si="61"/>
        <v>1106</v>
      </c>
      <c r="AF49" s="8"/>
      <c r="AH49" s="139">
        <f>SUM(U49:Z49)</f>
        <v>3795</v>
      </c>
      <c r="AI49" s="135">
        <f>SUM(AA49:AF49)</f>
        <v>2995</v>
      </c>
      <c r="AJ49" s="187">
        <f>SUM(U49:AF49)</f>
        <v>6790</v>
      </c>
    </row>
    <row r="50" spans="1:36" ht="15.75" customHeight="1">
      <c r="A50" s="308" t="s">
        <v>57</v>
      </c>
      <c r="B50" s="79" t="s">
        <v>84</v>
      </c>
      <c r="C50" s="79"/>
      <c r="D50" s="45">
        <v>67</v>
      </c>
      <c r="E50" s="45">
        <v>167</v>
      </c>
      <c r="F50" s="45">
        <v>139</v>
      </c>
      <c r="G50" s="45">
        <v>115</v>
      </c>
      <c r="H50" s="45">
        <v>213</v>
      </c>
      <c r="I50" s="45">
        <v>260</v>
      </c>
      <c r="J50" s="45">
        <v>129</v>
      </c>
      <c r="K50" s="140">
        <v>72</v>
      </c>
      <c r="L50" s="140">
        <v>177</v>
      </c>
      <c r="M50" s="140">
        <v>182</v>
      </c>
      <c r="N50" s="140">
        <v>370</v>
      </c>
      <c r="O50" s="20"/>
      <c r="Q50" s="188">
        <f t="shared" ref="Q50:Q57" si="62">SUM(D50:I50)</f>
        <v>961</v>
      </c>
      <c r="R50" s="134">
        <f t="shared" ref="R50:R57" si="63">SUM(J50:O50)</f>
        <v>930</v>
      </c>
      <c r="S50" s="189">
        <f t="shared" ref="S50:S57" si="64">SUM(D50:O50)</f>
        <v>1891</v>
      </c>
      <c r="T50" s="79"/>
      <c r="U50" s="45">
        <v>67</v>
      </c>
      <c r="V50" s="45">
        <v>167</v>
      </c>
      <c r="W50" s="45">
        <v>139</v>
      </c>
      <c r="X50" s="45">
        <v>115</v>
      </c>
      <c r="Y50" s="45">
        <v>213</v>
      </c>
      <c r="Z50" s="45">
        <v>260</v>
      </c>
      <c r="AA50" s="45">
        <v>129</v>
      </c>
      <c r="AB50" s="140">
        <v>72</v>
      </c>
      <c r="AC50" s="140">
        <v>177</v>
      </c>
      <c r="AD50" s="140">
        <v>182</v>
      </c>
      <c r="AE50" s="140">
        <v>370</v>
      </c>
      <c r="AF50" s="20"/>
      <c r="AH50" s="188">
        <f t="shared" ref="AH50:AH57" si="65">SUM(U50:Z50)</f>
        <v>961</v>
      </c>
      <c r="AI50" s="134">
        <f t="shared" ref="AI50:AI57" si="66">SUM(AA50:AF50)</f>
        <v>930</v>
      </c>
      <c r="AJ50" s="189">
        <f t="shared" ref="AJ50:AJ57" si="67">SUM(U50:AF50)</f>
        <v>1891</v>
      </c>
    </row>
    <row r="51" spans="1:36" ht="15.75" customHeight="1">
      <c r="A51" s="308"/>
      <c r="B51" s="79" t="s">
        <v>122</v>
      </c>
      <c r="C51" s="79"/>
      <c r="D51" s="45">
        <v>28</v>
      </c>
      <c r="E51" s="45">
        <v>117</v>
      </c>
      <c r="F51" s="45">
        <v>155</v>
      </c>
      <c r="G51" s="45">
        <v>109</v>
      </c>
      <c r="H51" s="45">
        <v>124</v>
      </c>
      <c r="I51" s="45">
        <v>150</v>
      </c>
      <c r="J51" s="45">
        <v>106</v>
      </c>
      <c r="K51" s="140">
        <v>50</v>
      </c>
      <c r="L51" s="140">
        <v>86</v>
      </c>
      <c r="M51" s="140">
        <v>82</v>
      </c>
      <c r="N51" s="140">
        <v>218</v>
      </c>
      <c r="O51" s="20"/>
      <c r="Q51" s="188">
        <f t="shared" si="62"/>
        <v>683</v>
      </c>
      <c r="R51" s="134">
        <f t="shared" si="63"/>
        <v>542</v>
      </c>
      <c r="S51" s="189">
        <f t="shared" si="64"/>
        <v>1225</v>
      </c>
      <c r="T51" s="79"/>
      <c r="U51" s="45">
        <v>28</v>
      </c>
      <c r="V51" s="45">
        <v>117</v>
      </c>
      <c r="W51" s="45">
        <v>155</v>
      </c>
      <c r="X51" s="45">
        <v>109</v>
      </c>
      <c r="Y51" s="45">
        <v>124</v>
      </c>
      <c r="Z51" s="45">
        <v>150</v>
      </c>
      <c r="AA51" s="45">
        <v>106</v>
      </c>
      <c r="AB51" s="140">
        <v>50</v>
      </c>
      <c r="AC51" s="140">
        <v>86</v>
      </c>
      <c r="AD51" s="140">
        <v>82</v>
      </c>
      <c r="AE51" s="140">
        <v>218</v>
      </c>
      <c r="AF51" s="20"/>
      <c r="AH51" s="188">
        <f t="shared" si="65"/>
        <v>683</v>
      </c>
      <c r="AI51" s="134">
        <f t="shared" si="66"/>
        <v>542</v>
      </c>
      <c r="AJ51" s="189">
        <f t="shared" si="67"/>
        <v>1225</v>
      </c>
    </row>
    <row r="52" spans="1:36" ht="15.75" customHeight="1">
      <c r="A52" s="308"/>
      <c r="B52" s="79" t="s">
        <v>85</v>
      </c>
      <c r="C52" s="79"/>
      <c r="D52" s="45">
        <v>0</v>
      </c>
      <c r="E52" s="45">
        <v>0</v>
      </c>
      <c r="F52" s="45">
        <v>13</v>
      </c>
      <c r="G52" s="45">
        <v>46</v>
      </c>
      <c r="H52" s="45">
        <v>66</v>
      </c>
      <c r="I52" s="45">
        <v>67</v>
      </c>
      <c r="J52" s="45">
        <v>26</v>
      </c>
      <c r="K52" s="140">
        <v>12</v>
      </c>
      <c r="L52" s="140">
        <v>30</v>
      </c>
      <c r="M52" s="140">
        <v>31</v>
      </c>
      <c r="N52" s="140">
        <v>71</v>
      </c>
      <c r="O52" s="20"/>
      <c r="Q52" s="188">
        <f t="shared" si="62"/>
        <v>192</v>
      </c>
      <c r="R52" s="134">
        <f t="shared" si="63"/>
        <v>170</v>
      </c>
      <c r="S52" s="189">
        <f t="shared" si="64"/>
        <v>362</v>
      </c>
      <c r="T52" s="79"/>
      <c r="U52" s="45">
        <v>0</v>
      </c>
      <c r="V52" s="45">
        <v>0</v>
      </c>
      <c r="W52" s="45">
        <v>13</v>
      </c>
      <c r="X52" s="45">
        <v>46</v>
      </c>
      <c r="Y52" s="45">
        <v>66</v>
      </c>
      <c r="Z52" s="45">
        <v>67</v>
      </c>
      <c r="AA52" s="45">
        <v>26</v>
      </c>
      <c r="AB52" s="140">
        <v>12</v>
      </c>
      <c r="AC52" s="140">
        <v>30</v>
      </c>
      <c r="AD52" s="140">
        <v>31</v>
      </c>
      <c r="AE52" s="140">
        <v>71</v>
      </c>
      <c r="AF52" s="20"/>
      <c r="AH52" s="188">
        <f t="shared" si="65"/>
        <v>192</v>
      </c>
      <c r="AI52" s="134">
        <f t="shared" si="66"/>
        <v>170</v>
      </c>
      <c r="AJ52" s="189">
        <f t="shared" si="67"/>
        <v>362</v>
      </c>
    </row>
    <row r="53" spans="1:36" ht="15.75" customHeight="1">
      <c r="A53" s="308"/>
      <c r="B53" s="79" t="s">
        <v>91</v>
      </c>
      <c r="C53" s="79"/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3</v>
      </c>
      <c r="K53" s="140"/>
      <c r="L53" s="140"/>
      <c r="M53" s="140"/>
      <c r="N53" s="140"/>
      <c r="O53" s="20"/>
      <c r="Q53" s="188">
        <f t="shared" si="62"/>
        <v>0</v>
      </c>
      <c r="R53" s="134">
        <f t="shared" si="63"/>
        <v>3</v>
      </c>
      <c r="S53" s="189">
        <f t="shared" si="64"/>
        <v>3</v>
      </c>
      <c r="T53" s="79"/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3</v>
      </c>
      <c r="AB53" s="140"/>
      <c r="AC53" s="140"/>
      <c r="AD53" s="140"/>
      <c r="AE53" s="140"/>
      <c r="AF53" s="20"/>
      <c r="AH53" s="188">
        <f t="shared" si="65"/>
        <v>0</v>
      </c>
      <c r="AI53" s="134">
        <f t="shared" si="66"/>
        <v>3</v>
      </c>
      <c r="AJ53" s="189">
        <f t="shared" si="67"/>
        <v>3</v>
      </c>
    </row>
    <row r="54" spans="1:36" ht="15.75" customHeight="1">
      <c r="A54" s="308" t="s">
        <v>46</v>
      </c>
      <c r="B54" s="79" t="s">
        <v>92</v>
      </c>
      <c r="C54" s="79"/>
      <c r="D54" s="45">
        <f>35+56</f>
        <v>91</v>
      </c>
      <c r="E54" s="45">
        <f>35+65</f>
        <v>100</v>
      </c>
      <c r="F54" s="45">
        <f>55+104</f>
        <v>159</v>
      </c>
      <c r="G54" s="45">
        <f>35+110</f>
        <v>145</v>
      </c>
      <c r="H54" s="45">
        <f>66+122</f>
        <v>188</v>
      </c>
      <c r="I54" s="45">
        <f>53+80</f>
        <v>133</v>
      </c>
      <c r="J54" s="45">
        <v>118</v>
      </c>
      <c r="K54" s="140">
        <v>33</v>
      </c>
      <c r="L54" s="140">
        <v>113</v>
      </c>
      <c r="M54" s="140">
        <v>121</v>
      </c>
      <c r="N54" s="140">
        <v>159</v>
      </c>
      <c r="O54" s="20"/>
      <c r="Q54" s="188">
        <f t="shared" si="62"/>
        <v>816</v>
      </c>
      <c r="R54" s="134">
        <f t="shared" si="63"/>
        <v>544</v>
      </c>
      <c r="S54" s="189">
        <f t="shared" si="64"/>
        <v>1360</v>
      </c>
      <c r="T54" s="79"/>
      <c r="U54" s="45">
        <f>35+56</f>
        <v>91</v>
      </c>
      <c r="V54" s="45">
        <f>35+65</f>
        <v>100</v>
      </c>
      <c r="W54" s="45">
        <f>55+104</f>
        <v>159</v>
      </c>
      <c r="X54" s="45">
        <f>35+110</f>
        <v>145</v>
      </c>
      <c r="Y54" s="45">
        <f>66+122</f>
        <v>188</v>
      </c>
      <c r="Z54" s="45">
        <f>53+80</f>
        <v>133</v>
      </c>
      <c r="AA54" s="45">
        <v>118</v>
      </c>
      <c r="AB54" s="140">
        <v>33</v>
      </c>
      <c r="AC54" s="140">
        <v>113</v>
      </c>
      <c r="AD54" s="140">
        <v>121</v>
      </c>
      <c r="AE54" s="140">
        <v>159</v>
      </c>
      <c r="AF54" s="20"/>
      <c r="AH54" s="188">
        <f t="shared" si="65"/>
        <v>816</v>
      </c>
      <c r="AI54" s="134">
        <f t="shared" si="66"/>
        <v>544</v>
      </c>
      <c r="AJ54" s="189">
        <f t="shared" si="67"/>
        <v>1360</v>
      </c>
    </row>
    <row r="55" spans="1:36" ht="15.75" customHeight="1">
      <c r="A55" s="308"/>
      <c r="B55" s="79" t="s">
        <v>93</v>
      </c>
      <c r="C55" s="79"/>
      <c r="D55" s="45">
        <v>57</v>
      </c>
      <c r="E55" s="45">
        <v>60</v>
      </c>
      <c r="F55" s="45">
        <v>119</v>
      </c>
      <c r="G55" s="45">
        <v>76</v>
      </c>
      <c r="H55" s="45">
        <v>121</v>
      </c>
      <c r="I55" s="45">
        <v>54</v>
      </c>
      <c r="J55" s="45">
        <v>55</v>
      </c>
      <c r="K55" s="140">
        <v>27</v>
      </c>
      <c r="L55" s="140">
        <v>42</v>
      </c>
      <c r="M55" s="140">
        <v>47</v>
      </c>
      <c r="N55" s="140">
        <v>56</v>
      </c>
      <c r="O55" s="20"/>
      <c r="Q55" s="188">
        <f t="shared" si="62"/>
        <v>487</v>
      </c>
      <c r="R55" s="134">
        <f t="shared" si="63"/>
        <v>227</v>
      </c>
      <c r="S55" s="189">
        <f t="shared" si="64"/>
        <v>714</v>
      </c>
      <c r="T55" s="79"/>
      <c r="U55" s="45">
        <v>57</v>
      </c>
      <c r="V55" s="45">
        <v>60</v>
      </c>
      <c r="W55" s="45">
        <v>119</v>
      </c>
      <c r="X55" s="45">
        <v>76</v>
      </c>
      <c r="Y55" s="45">
        <v>121</v>
      </c>
      <c r="Z55" s="45">
        <v>54</v>
      </c>
      <c r="AA55" s="45">
        <v>55</v>
      </c>
      <c r="AB55" s="140">
        <v>27</v>
      </c>
      <c r="AC55" s="140">
        <v>42</v>
      </c>
      <c r="AD55" s="140">
        <v>47</v>
      </c>
      <c r="AE55" s="140">
        <v>56</v>
      </c>
      <c r="AF55" s="20"/>
      <c r="AH55" s="188">
        <f t="shared" si="65"/>
        <v>487</v>
      </c>
      <c r="AI55" s="134">
        <f t="shared" si="66"/>
        <v>227</v>
      </c>
      <c r="AJ55" s="189">
        <f t="shared" si="67"/>
        <v>714</v>
      </c>
    </row>
    <row r="56" spans="1:36" ht="15.75" customHeight="1">
      <c r="A56" s="308"/>
      <c r="B56" s="79" t="s">
        <v>94</v>
      </c>
      <c r="C56" s="79"/>
      <c r="D56" s="45">
        <v>104</v>
      </c>
      <c r="E56" s="45">
        <v>102</v>
      </c>
      <c r="F56" s="45">
        <v>148</v>
      </c>
      <c r="G56" s="45">
        <v>110</v>
      </c>
      <c r="H56" s="45">
        <v>122</v>
      </c>
      <c r="I56" s="45">
        <v>70</v>
      </c>
      <c r="J56" s="45">
        <v>51</v>
      </c>
      <c r="K56" s="140">
        <v>53</v>
      </c>
      <c r="L56" s="140">
        <v>116</v>
      </c>
      <c r="M56" s="140">
        <v>127</v>
      </c>
      <c r="N56" s="140">
        <v>232</v>
      </c>
      <c r="O56" s="20"/>
      <c r="Q56" s="188">
        <f t="shared" si="62"/>
        <v>656</v>
      </c>
      <c r="R56" s="134">
        <f t="shared" si="63"/>
        <v>579</v>
      </c>
      <c r="S56" s="189">
        <f t="shared" si="64"/>
        <v>1235</v>
      </c>
      <c r="T56" s="79"/>
      <c r="U56" s="45">
        <v>104</v>
      </c>
      <c r="V56" s="45">
        <v>102</v>
      </c>
      <c r="W56" s="45">
        <v>148</v>
      </c>
      <c r="X56" s="45">
        <v>110</v>
      </c>
      <c r="Y56" s="45">
        <v>122</v>
      </c>
      <c r="Z56" s="45">
        <v>70</v>
      </c>
      <c r="AA56" s="45">
        <v>51</v>
      </c>
      <c r="AB56" s="140">
        <v>53</v>
      </c>
      <c r="AC56" s="140">
        <v>116</v>
      </c>
      <c r="AD56" s="140">
        <v>127</v>
      </c>
      <c r="AE56" s="140">
        <v>232</v>
      </c>
      <c r="AF56" s="20"/>
      <c r="AH56" s="188">
        <f t="shared" si="65"/>
        <v>656</v>
      </c>
      <c r="AI56" s="134">
        <f t="shared" si="66"/>
        <v>579</v>
      </c>
      <c r="AJ56" s="189">
        <f t="shared" si="67"/>
        <v>1235</v>
      </c>
    </row>
    <row r="57" spans="1:36" ht="15.75" customHeight="1">
      <c r="A57" s="176" t="s">
        <v>64</v>
      </c>
      <c r="B57" s="79" t="s">
        <v>95</v>
      </c>
      <c r="C57" s="79"/>
      <c r="D57" s="45"/>
      <c r="E57" s="45"/>
      <c r="F57" s="45"/>
      <c r="G57" s="45"/>
      <c r="H57" s="45"/>
      <c r="I57" s="45"/>
      <c r="J57" s="45"/>
      <c r="K57" s="140"/>
      <c r="L57" s="140"/>
      <c r="M57" s="140"/>
      <c r="N57" s="140"/>
      <c r="O57" s="20"/>
      <c r="Q57" s="188">
        <f t="shared" si="62"/>
        <v>0</v>
      </c>
      <c r="R57" s="134">
        <f t="shared" si="63"/>
        <v>0</v>
      </c>
      <c r="S57" s="189">
        <f t="shared" si="64"/>
        <v>0</v>
      </c>
      <c r="T57" s="79"/>
      <c r="U57" s="45"/>
      <c r="V57" s="45"/>
      <c r="W57" s="45"/>
      <c r="X57" s="45"/>
      <c r="Y57" s="45"/>
      <c r="Z57" s="45"/>
      <c r="AA57" s="45"/>
      <c r="AB57" s="140"/>
      <c r="AC57" s="140"/>
      <c r="AD57" s="140"/>
      <c r="AE57" s="140"/>
      <c r="AF57" s="20"/>
      <c r="AH57" s="188">
        <f t="shared" si="65"/>
        <v>0</v>
      </c>
      <c r="AI57" s="134">
        <f t="shared" si="66"/>
        <v>0</v>
      </c>
      <c r="AJ57" s="189">
        <f t="shared" si="67"/>
        <v>0</v>
      </c>
    </row>
    <row r="58" spans="1:36" ht="15.75" customHeight="1">
      <c r="A58" s="74"/>
      <c r="B58" s="79"/>
      <c r="C58" s="79"/>
      <c r="T58" s="79"/>
    </row>
    <row r="59" spans="1:36" ht="15.75" customHeight="1">
      <c r="A59" s="79"/>
      <c r="B59" s="79"/>
      <c r="C59" s="79"/>
      <c r="T59" s="79"/>
    </row>
    <row r="60" spans="1:36" ht="15.75" customHeight="1">
      <c r="A60" s="79"/>
      <c r="B60" s="16" t="s">
        <v>28</v>
      </c>
      <c r="C60" s="16"/>
      <c r="D60" s="177">
        <f>D7/D49</f>
        <v>107.35674351585014</v>
      </c>
      <c r="E60" s="177">
        <f t="shared" ref="E60:M60" si="68">E7/E49</f>
        <v>142.60190476190476</v>
      </c>
      <c r="F60" s="177">
        <f t="shared" si="68"/>
        <v>199.27590723055934</v>
      </c>
      <c r="G60" s="177">
        <f t="shared" si="68"/>
        <v>215.09193011647255</v>
      </c>
      <c r="H60" s="177">
        <f t="shared" si="68"/>
        <v>213.36365707434049</v>
      </c>
      <c r="I60" s="177">
        <f t="shared" si="68"/>
        <v>192.15659400544959</v>
      </c>
      <c r="J60" s="177">
        <f t="shared" si="68"/>
        <v>128.06774590163934</v>
      </c>
      <c r="K60" s="177">
        <f t="shared" si="68"/>
        <v>123.61651821862348</v>
      </c>
      <c r="L60" s="177">
        <f t="shared" si="68"/>
        <v>113.89</v>
      </c>
      <c r="M60" s="177">
        <f t="shared" si="68"/>
        <v>162.22715254237286</v>
      </c>
      <c r="N60" s="177">
        <f>N7/N49</f>
        <v>136.46537974683542</v>
      </c>
      <c r="O60" s="8"/>
      <c r="Q60" s="59">
        <f>Q7/Q49</f>
        <v>186.9410144927536</v>
      </c>
      <c r="R60" s="123">
        <f t="shared" ref="R60:S60" si="69">R7/R49</f>
        <v>134.86111185308846</v>
      </c>
      <c r="S60" s="181">
        <f t="shared" si="69"/>
        <v>163.96909867452135</v>
      </c>
      <c r="T60" s="16"/>
      <c r="U60" s="177">
        <f>U7/U49</f>
        <v>107.35674351585014</v>
      </c>
      <c r="V60" s="177">
        <f t="shared" ref="V60:AD60" si="70">V7/V49</f>
        <v>142.60190476190476</v>
      </c>
      <c r="W60" s="177">
        <f t="shared" si="70"/>
        <v>199.27590723055934</v>
      </c>
      <c r="X60" s="177">
        <f t="shared" si="70"/>
        <v>215.09193011647255</v>
      </c>
      <c r="Y60" s="177">
        <f t="shared" si="70"/>
        <v>213.36365707434049</v>
      </c>
      <c r="Z60" s="177">
        <f t="shared" si="70"/>
        <v>192.15659400544959</v>
      </c>
      <c r="AA60" s="177">
        <f t="shared" si="70"/>
        <v>128.06774590163934</v>
      </c>
      <c r="AB60" s="177">
        <f t="shared" si="70"/>
        <v>123.61651821862348</v>
      </c>
      <c r="AC60" s="177">
        <f t="shared" si="70"/>
        <v>110.84358156028368</v>
      </c>
      <c r="AD60" s="177">
        <f t="shared" si="70"/>
        <v>154.12237288135591</v>
      </c>
      <c r="AE60" s="177">
        <f>AE7/AE49</f>
        <v>130.40676311030742</v>
      </c>
      <c r="AF60" s="8"/>
    </row>
    <row r="61" spans="1:36" ht="15.75" customHeight="1">
      <c r="A61" s="308" t="s">
        <v>57</v>
      </c>
      <c r="B61" s="4" t="s">
        <v>86</v>
      </c>
      <c r="C61" s="4"/>
      <c r="D61" s="178">
        <f t="shared" ref="D61:N64" si="71">D8/D50</f>
        <v>121.06731343283582</v>
      </c>
      <c r="E61" s="178">
        <f t="shared" si="71"/>
        <v>119.34461077844311</v>
      </c>
      <c r="F61" s="178">
        <f t="shared" si="71"/>
        <v>212.85035971223022</v>
      </c>
      <c r="G61" s="178">
        <f t="shared" si="71"/>
        <v>204.2595652173913</v>
      </c>
      <c r="H61" s="178">
        <f t="shared" si="71"/>
        <v>154.31816901408453</v>
      </c>
      <c r="I61" s="178">
        <f t="shared" si="71"/>
        <v>126.63873076923076</v>
      </c>
      <c r="J61" s="178">
        <f t="shared" si="71"/>
        <v>82.417829457364334</v>
      </c>
      <c r="K61" s="178">
        <f t="shared" si="71"/>
        <v>106.89736111111112</v>
      </c>
      <c r="L61" s="178">
        <f t="shared" si="71"/>
        <v>108.13615819209041</v>
      </c>
      <c r="M61" s="178">
        <f t="shared" si="71"/>
        <v>135.99324175824177</v>
      </c>
      <c r="N61" s="178">
        <f t="shared" si="71"/>
        <v>95.926405405405418</v>
      </c>
      <c r="O61" s="20"/>
      <c r="Q61" s="19">
        <f t="shared" ref="Q61:S61" si="72">Q8/Q50</f>
        <v>152.87611862643078</v>
      </c>
      <c r="R61" s="20">
        <f t="shared" si="72"/>
        <v>105.06682795698926</v>
      </c>
      <c r="S61" s="21">
        <f t="shared" si="72"/>
        <v>129.36335272342674</v>
      </c>
      <c r="T61" s="4"/>
      <c r="U61" s="178">
        <f t="shared" ref="U61:AE61" si="73">U8/U50</f>
        <v>121.06731343283582</v>
      </c>
      <c r="V61" s="178">
        <f t="shared" si="73"/>
        <v>119.34461077844311</v>
      </c>
      <c r="W61" s="178">
        <f t="shared" si="73"/>
        <v>212.85035971223022</v>
      </c>
      <c r="X61" s="178">
        <f t="shared" si="73"/>
        <v>204.2595652173913</v>
      </c>
      <c r="Y61" s="178">
        <f t="shared" si="73"/>
        <v>154.31816901408453</v>
      </c>
      <c r="Z61" s="178">
        <f t="shared" si="73"/>
        <v>126.63873076923076</v>
      </c>
      <c r="AA61" s="178">
        <f t="shared" si="73"/>
        <v>82.417829457364334</v>
      </c>
      <c r="AB61" s="178">
        <f t="shared" si="73"/>
        <v>106.89736111111112</v>
      </c>
      <c r="AC61" s="178">
        <f t="shared" si="73"/>
        <v>108.13615819209041</v>
      </c>
      <c r="AD61" s="178">
        <f t="shared" si="73"/>
        <v>135.99324175824177</v>
      </c>
      <c r="AE61" s="178">
        <f t="shared" si="73"/>
        <v>95.926405405405418</v>
      </c>
      <c r="AF61" s="20"/>
    </row>
    <row r="62" spans="1:36" ht="15.75" customHeight="1">
      <c r="A62" s="308"/>
      <c r="B62" s="4" t="s">
        <v>123</v>
      </c>
      <c r="C62" s="4"/>
      <c r="D62" s="178">
        <f t="shared" si="71"/>
        <v>0</v>
      </c>
      <c r="E62" s="178">
        <f t="shared" si="71"/>
        <v>192.05786324786325</v>
      </c>
      <c r="F62" s="178">
        <f t="shared" si="71"/>
        <v>344.57683870967742</v>
      </c>
      <c r="G62" s="178">
        <f t="shared" si="71"/>
        <v>326.42477064220185</v>
      </c>
      <c r="H62" s="178">
        <f t="shared" si="71"/>
        <v>274.90749999999997</v>
      </c>
      <c r="I62" s="178">
        <f t="shared" si="71"/>
        <v>252.01600000000002</v>
      </c>
      <c r="J62" s="178">
        <f t="shared" si="71"/>
        <v>111.15820754716981</v>
      </c>
      <c r="K62" s="178">
        <f t="shared" si="71"/>
        <v>162.125</v>
      </c>
      <c r="L62" s="178">
        <f t="shared" si="71"/>
        <v>161.36151162790699</v>
      </c>
      <c r="M62" s="178">
        <f t="shared" si="71"/>
        <v>269.01304878048779</v>
      </c>
      <c r="N62" s="178">
        <f t="shared" si="71"/>
        <v>144.13091743119267</v>
      </c>
      <c r="O62" s="20"/>
      <c r="Q62" s="19">
        <f t="shared" ref="Q62:S62" si="74">Q9/Q51</f>
        <v>268.45008784773063</v>
      </c>
      <c r="R62" s="20">
        <f t="shared" si="74"/>
        <v>160.969963099631</v>
      </c>
      <c r="S62" s="21">
        <f t="shared" si="74"/>
        <v>220.89561632653061</v>
      </c>
      <c r="T62" s="4"/>
      <c r="U62" s="178">
        <f t="shared" ref="U62:AE62" si="75">U9/U51</f>
        <v>264.02607142857147</v>
      </c>
      <c r="V62" s="178">
        <f t="shared" si="75"/>
        <v>192.05786324786325</v>
      </c>
      <c r="W62" s="178">
        <f t="shared" si="75"/>
        <v>344.57683870967742</v>
      </c>
      <c r="X62" s="178">
        <f t="shared" si="75"/>
        <v>326.42477064220185</v>
      </c>
      <c r="Y62" s="178">
        <f t="shared" si="75"/>
        <v>274.90749999999997</v>
      </c>
      <c r="Z62" s="178">
        <f t="shared" si="75"/>
        <v>252.01600000000002</v>
      </c>
      <c r="AA62" s="178">
        <f t="shared" si="75"/>
        <v>111.15820754716981</v>
      </c>
      <c r="AB62" s="178">
        <f t="shared" si="75"/>
        <v>162.125</v>
      </c>
      <c r="AC62" s="178">
        <f t="shared" si="75"/>
        <v>161.36151162790699</v>
      </c>
      <c r="AD62" s="178">
        <f t="shared" si="75"/>
        <v>269.01304878048779</v>
      </c>
      <c r="AE62" s="178">
        <f t="shared" si="75"/>
        <v>144.13091743119267</v>
      </c>
      <c r="AF62" s="20"/>
    </row>
    <row r="63" spans="1:36" ht="15.75" customHeight="1">
      <c r="A63" s="308"/>
      <c r="B63" s="4" t="s">
        <v>87</v>
      </c>
      <c r="C63" s="4"/>
      <c r="D63" s="178"/>
      <c r="E63" s="178"/>
      <c r="F63" s="178">
        <f t="shared" si="71"/>
        <v>266.70615384615382</v>
      </c>
      <c r="G63" s="178">
        <f t="shared" si="71"/>
        <v>169.40804347826088</v>
      </c>
      <c r="H63" s="178">
        <f t="shared" si="71"/>
        <v>305.06969696969696</v>
      </c>
      <c r="I63" s="178">
        <f t="shared" si="71"/>
        <v>222.45164179104475</v>
      </c>
      <c r="J63" s="178">
        <f t="shared" si="71"/>
        <v>188.14153846153846</v>
      </c>
      <c r="K63" s="178">
        <f t="shared" si="71"/>
        <v>150.95416666666668</v>
      </c>
      <c r="L63" s="178">
        <f t="shared" si="71"/>
        <v>112.86833333333333</v>
      </c>
      <c r="M63" s="178">
        <f t="shared" si="71"/>
        <v>206.30677419354836</v>
      </c>
      <c r="N63" s="178">
        <f t="shared" si="71"/>
        <v>148.7388732394366</v>
      </c>
      <c r="O63" s="20"/>
      <c r="Q63" s="19">
        <f t="shared" ref="Q63:S63" si="76">Q10/Q52</f>
        <v>241.90494791666666</v>
      </c>
      <c r="R63" s="20">
        <f t="shared" si="76"/>
        <v>159.0891176470588</v>
      </c>
      <c r="S63" s="21">
        <f t="shared" si="76"/>
        <v>203.01353591160219</v>
      </c>
      <c r="T63" s="4"/>
      <c r="U63" s="178"/>
      <c r="V63" s="178"/>
      <c r="W63" s="178">
        <f t="shared" ref="W63:AE63" si="77">W10/W52</f>
        <v>266.70615384615382</v>
      </c>
      <c r="X63" s="178">
        <f t="shared" si="77"/>
        <v>169.40804347826088</v>
      </c>
      <c r="Y63" s="178">
        <f t="shared" si="77"/>
        <v>305.06969696969696</v>
      </c>
      <c r="Z63" s="178">
        <f t="shared" si="77"/>
        <v>222.45164179104475</v>
      </c>
      <c r="AA63" s="178">
        <f t="shared" si="77"/>
        <v>188.14153846153846</v>
      </c>
      <c r="AB63" s="178">
        <f t="shared" si="77"/>
        <v>150.95416666666668</v>
      </c>
      <c r="AC63" s="178">
        <f t="shared" si="77"/>
        <v>112.86833333333333</v>
      </c>
      <c r="AD63" s="178">
        <f t="shared" si="77"/>
        <v>206.30677419354836</v>
      </c>
      <c r="AE63" s="178">
        <f t="shared" si="77"/>
        <v>148.7388732394366</v>
      </c>
      <c r="AF63" s="20"/>
    </row>
    <row r="64" spans="1:36" ht="15.75" customHeight="1">
      <c r="A64" s="308"/>
      <c r="B64" s="4" t="s">
        <v>96</v>
      </c>
      <c r="C64" s="4"/>
      <c r="D64" s="178"/>
      <c r="E64" s="178"/>
      <c r="F64" s="178"/>
      <c r="G64" s="178"/>
      <c r="H64" s="178"/>
      <c r="I64" s="178"/>
      <c r="J64" s="178">
        <f t="shared" si="71"/>
        <v>696.8366666666667</v>
      </c>
      <c r="K64" s="178"/>
      <c r="L64" s="178"/>
      <c r="M64" s="178"/>
      <c r="N64" s="178"/>
      <c r="O64" s="20"/>
      <c r="Q64" s="19"/>
      <c r="R64" s="20">
        <f t="shared" ref="R64:S64" si="78">R11/R53</f>
        <v>696.8366666666667</v>
      </c>
      <c r="S64" s="21">
        <f t="shared" si="78"/>
        <v>804.66333333333341</v>
      </c>
      <c r="T64" s="4"/>
      <c r="U64" s="178"/>
      <c r="V64" s="178"/>
      <c r="W64" s="178"/>
      <c r="X64" s="178"/>
      <c r="Y64" s="178"/>
      <c r="Z64" s="178"/>
      <c r="AA64" s="178">
        <f t="shared" ref="AA64" si="79">AA11/AA53</f>
        <v>696.8366666666667</v>
      </c>
      <c r="AB64" s="178"/>
      <c r="AC64" s="178"/>
      <c r="AD64" s="178"/>
      <c r="AE64" s="178"/>
      <c r="AF64" s="20"/>
    </row>
    <row r="65" spans="1:32" ht="15.75" customHeight="1">
      <c r="A65" s="308" t="s">
        <v>46</v>
      </c>
      <c r="B65" s="4" t="s">
        <v>97</v>
      </c>
      <c r="C65" s="4"/>
      <c r="D65" s="178">
        <f t="shared" ref="D65:N67" si="80">D12/D54</f>
        <v>95.874835164835176</v>
      </c>
      <c r="E65" s="178">
        <f t="shared" si="80"/>
        <v>133.46400000000003</v>
      </c>
      <c r="F65" s="178">
        <f t="shared" si="80"/>
        <v>131.02295597484277</v>
      </c>
      <c r="G65" s="178">
        <f t="shared" si="80"/>
        <v>151.21365517241378</v>
      </c>
      <c r="H65" s="178">
        <f t="shared" si="80"/>
        <v>179.30228723404255</v>
      </c>
      <c r="I65" s="178">
        <f t="shared" si="80"/>
        <v>169.263007518797</v>
      </c>
      <c r="J65" s="178">
        <f t="shared" si="80"/>
        <v>99.366949152542361</v>
      </c>
      <c r="K65" s="178">
        <f t="shared" si="80"/>
        <v>79.513636363636365</v>
      </c>
      <c r="L65" s="178">
        <f t="shared" si="80"/>
        <v>43.677787610619461</v>
      </c>
      <c r="M65" s="178">
        <f t="shared" si="80"/>
        <v>72.243223140495871</v>
      </c>
      <c r="N65" s="178">
        <f t="shared" si="80"/>
        <v>99.811320754716988</v>
      </c>
      <c r="O65" s="20"/>
      <c r="Q65" s="19">
        <f t="shared" ref="Q65:S65" si="81">Q12/Q54</f>
        <v>148.34613970588234</v>
      </c>
      <c r="R65" s="20">
        <f t="shared" si="81"/>
        <v>80.69167279411765</v>
      </c>
      <c r="S65" s="21">
        <f t="shared" si="81"/>
        <v>121.28435294117646</v>
      </c>
      <c r="T65" s="4"/>
      <c r="U65" s="178">
        <f t="shared" ref="U65:AE65" si="82">U12/U54</f>
        <v>95.874835164835176</v>
      </c>
      <c r="V65" s="178">
        <f t="shared" si="82"/>
        <v>133.46400000000003</v>
      </c>
      <c r="W65" s="178">
        <f t="shared" si="82"/>
        <v>131.02295597484277</v>
      </c>
      <c r="X65" s="178">
        <f t="shared" si="82"/>
        <v>151.21365517241378</v>
      </c>
      <c r="Y65" s="178">
        <f t="shared" si="82"/>
        <v>179.30228723404255</v>
      </c>
      <c r="Z65" s="178">
        <f t="shared" si="82"/>
        <v>169.263007518797</v>
      </c>
      <c r="AA65" s="178">
        <f t="shared" si="82"/>
        <v>99.366949152542361</v>
      </c>
      <c r="AB65" s="178">
        <f t="shared" si="82"/>
        <v>79.513636363636365</v>
      </c>
      <c r="AC65" s="178">
        <f t="shared" si="82"/>
        <v>43.677787610619461</v>
      </c>
      <c r="AD65" s="178">
        <f t="shared" si="82"/>
        <v>72.243223140495871</v>
      </c>
      <c r="AE65" s="178">
        <f t="shared" si="82"/>
        <v>99.811320754716988</v>
      </c>
      <c r="AF65" s="20"/>
    </row>
    <row r="66" spans="1:32" ht="15.75" customHeight="1">
      <c r="A66" s="308"/>
      <c r="B66" s="4" t="s">
        <v>98</v>
      </c>
      <c r="C66" s="4"/>
      <c r="D66" s="178">
        <f t="shared" si="80"/>
        <v>116.67280701754386</v>
      </c>
      <c r="E66" s="178">
        <f t="shared" si="80"/>
        <v>197.72933333333333</v>
      </c>
      <c r="F66" s="178">
        <f t="shared" si="80"/>
        <v>114.21579831932773</v>
      </c>
      <c r="G66" s="178">
        <f t="shared" si="80"/>
        <v>185.73013157894738</v>
      </c>
      <c r="H66" s="178">
        <f t="shared" si="80"/>
        <v>149.74735537190082</v>
      </c>
      <c r="I66" s="178">
        <f t="shared" si="80"/>
        <v>254.51462962962964</v>
      </c>
      <c r="J66" s="178">
        <f t="shared" si="80"/>
        <v>172.25272727272727</v>
      </c>
      <c r="K66" s="178">
        <f t="shared" si="80"/>
        <v>82.56851851851853</v>
      </c>
      <c r="L66" s="178">
        <f t="shared" si="80"/>
        <v>117.06023809523809</v>
      </c>
      <c r="M66" s="178">
        <f t="shared" si="80"/>
        <v>55.793404255319146</v>
      </c>
      <c r="N66" s="178">
        <f t="shared" si="80"/>
        <v>146.89124999999999</v>
      </c>
      <c r="O66" s="20"/>
      <c r="Q66" s="19">
        <f t="shared" ref="Q66:S66" si="83">Q13/Q55</f>
        <v>160.33778234086242</v>
      </c>
      <c r="R66" s="20">
        <f t="shared" si="83"/>
        <v>121.00431718061674</v>
      </c>
      <c r="S66" s="21">
        <f t="shared" si="83"/>
        <v>147.83260504201681</v>
      </c>
      <c r="T66" s="4"/>
      <c r="U66" s="178">
        <f t="shared" ref="U66:AE66" si="84">U13/U55</f>
        <v>116.67280701754386</v>
      </c>
      <c r="V66" s="178">
        <f t="shared" si="84"/>
        <v>197.72933333333333</v>
      </c>
      <c r="W66" s="178">
        <f t="shared" si="84"/>
        <v>114.21579831932773</v>
      </c>
      <c r="X66" s="178">
        <f t="shared" si="84"/>
        <v>185.73013157894738</v>
      </c>
      <c r="Y66" s="178">
        <f t="shared" si="84"/>
        <v>149.74735537190082</v>
      </c>
      <c r="Z66" s="178">
        <f t="shared" si="84"/>
        <v>254.51462962962964</v>
      </c>
      <c r="AA66" s="178">
        <f t="shared" si="84"/>
        <v>172.25272727272727</v>
      </c>
      <c r="AB66" s="178">
        <f t="shared" si="84"/>
        <v>82.56851851851853</v>
      </c>
      <c r="AC66" s="178">
        <f t="shared" si="84"/>
        <v>117.06023809523809</v>
      </c>
      <c r="AD66" s="178">
        <f t="shared" si="84"/>
        <v>55.793404255319146</v>
      </c>
      <c r="AE66" s="178">
        <f t="shared" si="84"/>
        <v>146.89124999999999</v>
      </c>
      <c r="AF66" s="20"/>
    </row>
    <row r="67" spans="1:32" ht="15.75" customHeight="1">
      <c r="A67" s="308"/>
      <c r="B67" s="4" t="s">
        <v>99</v>
      </c>
      <c r="C67" s="4"/>
      <c r="D67" s="178">
        <f t="shared" si="80"/>
        <v>129.43625</v>
      </c>
      <c r="E67" s="178">
        <f t="shared" si="80"/>
        <v>93.324117647058841</v>
      </c>
      <c r="F67" s="178">
        <f t="shared" si="80"/>
        <v>163.24371621621623</v>
      </c>
      <c r="G67" s="178">
        <f t="shared" si="80"/>
        <v>231.40909090909091</v>
      </c>
      <c r="H67" s="178">
        <f t="shared" si="80"/>
        <v>318.21950819672128</v>
      </c>
      <c r="I67" s="178">
        <f t="shared" si="80"/>
        <v>268.69114285714289</v>
      </c>
      <c r="J67" s="178">
        <f t="shared" si="80"/>
        <v>194.86313725490197</v>
      </c>
      <c r="K67" s="178">
        <f t="shared" si="80"/>
        <v>152.18245283018868</v>
      </c>
      <c r="L67" s="178">
        <f t="shared" si="80"/>
        <v>140.17603448275861</v>
      </c>
      <c r="M67" s="178">
        <f t="shared" si="80"/>
        <v>207.58370078740157</v>
      </c>
      <c r="N67" s="178">
        <f t="shared" si="80"/>
        <v>183.8801724137931</v>
      </c>
      <c r="O67" s="20"/>
      <c r="Q67" s="19">
        <f t="shared" ref="Q67:S67" si="85">Q14/Q56</f>
        <v>198.51625000000001</v>
      </c>
      <c r="R67" s="20">
        <f t="shared" si="85"/>
        <v>178.38936096718481</v>
      </c>
      <c r="S67" s="21">
        <f t="shared" si="85"/>
        <v>189.08024291497978</v>
      </c>
      <c r="T67" s="4"/>
      <c r="U67" s="178">
        <f t="shared" ref="U67:AE67" si="86">U14/U56</f>
        <v>58.352307692307697</v>
      </c>
      <c r="V67" s="178">
        <f t="shared" si="86"/>
        <v>93.324117647058841</v>
      </c>
      <c r="W67" s="178">
        <f t="shared" si="86"/>
        <v>163.24371621621623</v>
      </c>
      <c r="X67" s="178">
        <f t="shared" si="86"/>
        <v>231.40909090909091</v>
      </c>
      <c r="Y67" s="178">
        <f t="shared" si="86"/>
        <v>318.21950819672128</v>
      </c>
      <c r="Z67" s="178">
        <f t="shared" si="86"/>
        <v>268.69114285714289</v>
      </c>
      <c r="AA67" s="178">
        <f t="shared" si="86"/>
        <v>194.86313725490197</v>
      </c>
      <c r="AB67" s="178">
        <f t="shared" si="86"/>
        <v>152.18245283018868</v>
      </c>
      <c r="AC67" s="178">
        <f t="shared" si="86"/>
        <v>140.17603448275861</v>
      </c>
      <c r="AD67" s="178">
        <f t="shared" si="86"/>
        <v>207.58370078740157</v>
      </c>
      <c r="AE67" s="178">
        <f t="shared" si="86"/>
        <v>183.8801724137931</v>
      </c>
      <c r="AF67" s="20"/>
    </row>
    <row r="68" spans="1:32" ht="15.75" customHeight="1">
      <c r="A68" s="176" t="s">
        <v>64</v>
      </c>
      <c r="B68" s="4" t="s">
        <v>100</v>
      </c>
      <c r="C68" s="4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20"/>
      <c r="Q68" s="19"/>
      <c r="R68" s="20"/>
      <c r="S68" s="21"/>
      <c r="T68" s="4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20"/>
    </row>
    <row r="69" spans="1:32" ht="15.75" customHeight="1"/>
    <row r="70" spans="1:32" ht="15.75" customHeight="1"/>
    <row r="71" spans="1:32" ht="15.75" customHeight="1"/>
    <row r="72" spans="1:32" ht="15.75" customHeight="1"/>
    <row r="73" spans="1:32" ht="15.75" customHeight="1"/>
    <row r="74" spans="1:32" ht="15.75" customHeight="1"/>
    <row r="75" spans="1:32" ht="15.75" customHeight="1"/>
    <row r="76" spans="1:32" ht="15.75" customHeight="1"/>
    <row r="77" spans="1:32" ht="15.75" customHeight="1"/>
    <row r="78" spans="1:32" ht="15.75" customHeight="1"/>
    <row r="79" spans="1:32" ht="15.75" customHeight="1"/>
    <row r="80" spans="1:3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3">
    <mergeCell ref="AH4:AH5"/>
    <mergeCell ref="AI4:AI5"/>
    <mergeCell ref="AJ4:AJ5"/>
    <mergeCell ref="D3:O3"/>
    <mergeCell ref="D4:O4"/>
    <mergeCell ref="Q4:Q5"/>
    <mergeCell ref="R4:R5"/>
    <mergeCell ref="S4:S5"/>
    <mergeCell ref="A54:A56"/>
    <mergeCell ref="A61:A64"/>
    <mergeCell ref="A65:A67"/>
    <mergeCell ref="U3:AF3"/>
    <mergeCell ref="A28:A31"/>
    <mergeCell ref="A32:A34"/>
    <mergeCell ref="A39:A42"/>
    <mergeCell ref="A43:A45"/>
    <mergeCell ref="A50:A53"/>
    <mergeCell ref="B4:B5"/>
    <mergeCell ref="A8:A11"/>
    <mergeCell ref="A12:A14"/>
    <mergeCell ref="A18:A21"/>
    <mergeCell ref="A22:A24"/>
    <mergeCell ref="U4:AF4"/>
  </mergeCells>
  <phoneticPr fontId="3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B1:AU827"/>
  <sheetViews>
    <sheetView showGridLines="0" zoomScale="69" zoomScaleNormal="69" workbookViewId="0">
      <selection activeCell="B1" sqref="B1"/>
    </sheetView>
  </sheetViews>
  <sheetFormatPr baseColWidth="10" defaultColWidth="12.6640625" defaultRowHeight="13.2"/>
  <cols>
    <col min="1" max="1" width="12.6640625" style="62"/>
    <col min="2" max="2" width="35" style="62" bestFit="1" customWidth="1"/>
    <col min="3" max="8" width="12.6640625" style="62" customWidth="1"/>
    <col min="9" max="9" width="14.5546875" style="62" customWidth="1"/>
    <col min="10" max="17" width="12.6640625" style="62" customWidth="1"/>
    <col min="18" max="20" width="12.6640625" style="62" hidden="1" customWidth="1"/>
    <col min="21" max="21" width="12.6640625" style="62" customWidth="1"/>
    <col min="22" max="22" width="5.109375" style="62" customWidth="1"/>
    <col min="23" max="28" width="12.6640625" style="62" customWidth="1"/>
    <col min="29" max="29" width="14.5546875" style="62" customWidth="1"/>
    <col min="30" max="30" width="12.6640625" style="62" customWidth="1"/>
    <col min="31" max="31" width="13.5546875" style="62" customWidth="1"/>
    <col min="32" max="45" width="12.6640625" style="62" customWidth="1"/>
    <col min="46" max="16384" width="12.6640625" style="62"/>
  </cols>
  <sheetData>
    <row r="1" spans="2:47" ht="15.75" customHeight="1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1"/>
      <c r="AN1" s="61"/>
      <c r="AO1" s="61"/>
      <c r="AP1" s="61"/>
      <c r="AQ1" s="61"/>
      <c r="AR1" s="61"/>
      <c r="AS1" s="61"/>
      <c r="AT1" s="61"/>
      <c r="AU1" s="61"/>
    </row>
    <row r="2" spans="2:47" ht="15.75" customHeight="1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1"/>
      <c r="AN2" s="61"/>
      <c r="AO2" s="61"/>
      <c r="AP2" s="61"/>
      <c r="AQ2" s="61"/>
      <c r="AR2" s="61"/>
      <c r="AS2" s="61"/>
      <c r="AT2" s="61"/>
      <c r="AU2" s="61"/>
    </row>
    <row r="3" spans="2:47" ht="24" customHeight="1">
      <c r="B3" s="63" t="s">
        <v>291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3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1"/>
      <c r="AN3" s="61"/>
      <c r="AO3" s="61"/>
      <c r="AP3" s="61"/>
      <c r="AQ3" s="61"/>
      <c r="AR3" s="61"/>
      <c r="AS3" s="61"/>
      <c r="AT3" s="61"/>
      <c r="AU3" s="61"/>
    </row>
    <row r="4" spans="2:47" ht="30" customHeight="1">
      <c r="B4" s="63"/>
      <c r="C4" s="244"/>
      <c r="D4" s="245"/>
      <c r="E4" s="245"/>
      <c r="F4" s="245"/>
      <c r="G4" s="245"/>
      <c r="H4" s="245"/>
      <c r="I4" s="246">
        <v>2022</v>
      </c>
      <c r="J4" s="245"/>
      <c r="K4" s="245"/>
      <c r="L4" s="245"/>
      <c r="M4" s="245"/>
      <c r="N4" s="247"/>
      <c r="O4" s="248"/>
      <c r="P4" s="64"/>
      <c r="Q4" s="64"/>
      <c r="R4" s="64"/>
      <c r="S4" s="64"/>
      <c r="T4" s="64"/>
      <c r="U4" s="64"/>
      <c r="V4" s="63"/>
      <c r="W4" s="244"/>
      <c r="X4" s="245"/>
      <c r="Y4" s="245"/>
      <c r="Z4" s="245"/>
      <c r="AA4" s="245"/>
      <c r="AB4" s="245"/>
      <c r="AC4" s="246">
        <v>2023</v>
      </c>
      <c r="AD4" s="245"/>
      <c r="AE4" s="245"/>
      <c r="AF4" s="245"/>
      <c r="AG4" s="245"/>
      <c r="AH4" s="247"/>
      <c r="AI4" s="64"/>
      <c r="AJ4" s="64"/>
      <c r="AK4" s="64"/>
      <c r="AL4" s="64"/>
      <c r="AM4" s="61"/>
      <c r="AN4" s="61"/>
      <c r="AO4" s="61"/>
      <c r="AP4" s="61"/>
      <c r="AQ4" s="61"/>
      <c r="AR4" s="61"/>
      <c r="AS4" s="61"/>
      <c r="AT4" s="61"/>
      <c r="AU4" s="61"/>
    </row>
    <row r="5" spans="2:47" ht="15.75" customHeight="1">
      <c r="B5" s="297" t="s">
        <v>2</v>
      </c>
      <c r="C5" s="304" t="s">
        <v>3</v>
      </c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248"/>
      <c r="P5" s="303" t="s">
        <v>5</v>
      </c>
      <c r="Q5" s="303" t="s">
        <v>6</v>
      </c>
      <c r="R5" s="242"/>
      <c r="S5" s="242"/>
      <c r="T5" s="242"/>
      <c r="U5" s="303" t="s">
        <v>7</v>
      </c>
      <c r="V5" s="60"/>
      <c r="W5" s="304" t="s">
        <v>4</v>
      </c>
      <c r="X5" s="304"/>
      <c r="Y5" s="304"/>
      <c r="Z5" s="304"/>
      <c r="AA5" s="304"/>
      <c r="AB5" s="304"/>
      <c r="AC5" s="304"/>
      <c r="AD5" s="304"/>
      <c r="AE5" s="304"/>
      <c r="AF5" s="304"/>
      <c r="AG5" s="304"/>
      <c r="AH5" s="304"/>
      <c r="AI5" s="65"/>
      <c r="AJ5" s="303" t="s">
        <v>5</v>
      </c>
      <c r="AK5" s="303" t="s">
        <v>6</v>
      </c>
      <c r="AL5" s="303" t="s">
        <v>7</v>
      </c>
      <c r="AM5" s="61"/>
      <c r="AN5" s="61"/>
      <c r="AO5" s="61"/>
      <c r="AP5" s="61"/>
      <c r="AQ5" s="61"/>
      <c r="AR5" s="61"/>
      <c r="AS5" s="61"/>
      <c r="AT5" s="61"/>
      <c r="AU5" s="61"/>
    </row>
    <row r="6" spans="2:47" ht="15.75" customHeight="1">
      <c r="B6" s="298"/>
      <c r="C6" s="66" t="s">
        <v>8</v>
      </c>
      <c r="D6" s="67">
        <v>44614</v>
      </c>
      <c r="E6" s="67">
        <v>44642</v>
      </c>
      <c r="F6" s="66" t="s">
        <v>9</v>
      </c>
      <c r="G6" s="67">
        <v>44703</v>
      </c>
      <c r="H6" s="67">
        <v>44734</v>
      </c>
      <c r="I6" s="249">
        <v>44743</v>
      </c>
      <c r="J6" s="67" t="s">
        <v>10</v>
      </c>
      <c r="K6" s="67" t="s">
        <v>11</v>
      </c>
      <c r="L6" s="249">
        <v>44835</v>
      </c>
      <c r="M6" s="67">
        <v>44887</v>
      </c>
      <c r="N6" s="67" t="s">
        <v>12</v>
      </c>
      <c r="O6" s="248"/>
      <c r="P6" s="298"/>
      <c r="Q6" s="298"/>
      <c r="R6" s="186"/>
      <c r="S6" s="186"/>
      <c r="T6" s="186"/>
      <c r="U6" s="298"/>
      <c r="V6" s="186"/>
      <c r="W6" s="190" t="s">
        <v>111</v>
      </c>
      <c r="X6" s="191">
        <v>44980</v>
      </c>
      <c r="Y6" s="191">
        <v>45008</v>
      </c>
      <c r="Z6" s="190" t="s">
        <v>112</v>
      </c>
      <c r="AA6" s="191">
        <v>45069</v>
      </c>
      <c r="AB6" s="191">
        <v>45100</v>
      </c>
      <c r="AC6" s="250">
        <v>45108</v>
      </c>
      <c r="AD6" s="191" t="s">
        <v>113</v>
      </c>
      <c r="AE6" s="191">
        <v>45170</v>
      </c>
      <c r="AF6" s="250">
        <v>45200</v>
      </c>
      <c r="AG6" s="191">
        <v>45253</v>
      </c>
      <c r="AH6" s="191" t="s">
        <v>114</v>
      </c>
      <c r="AI6" s="65"/>
      <c r="AJ6" s="298"/>
      <c r="AK6" s="298"/>
      <c r="AL6" s="298"/>
      <c r="AM6" s="61"/>
      <c r="AN6" s="61"/>
      <c r="AO6" s="61"/>
      <c r="AP6" s="61"/>
      <c r="AQ6" s="61"/>
      <c r="AR6" s="61"/>
      <c r="AS6" s="61"/>
      <c r="AT6" s="61"/>
      <c r="AU6" s="61"/>
    </row>
    <row r="7" spans="2:47" ht="15.75" customHeight="1">
      <c r="B7" s="68"/>
      <c r="C7" s="69"/>
      <c r="D7" s="69"/>
      <c r="E7" s="69"/>
      <c r="F7" s="70">
        <f>AVERAGE(F10:H10)</f>
        <v>17052</v>
      </c>
      <c r="G7" s="69"/>
      <c r="H7" s="69"/>
      <c r="I7" s="71">
        <v>0.7</v>
      </c>
      <c r="J7" s="72">
        <v>0.4</v>
      </c>
      <c r="K7" s="71">
        <v>1.3</v>
      </c>
      <c r="L7" s="71">
        <v>1.5</v>
      </c>
      <c r="M7" s="71">
        <v>2</v>
      </c>
      <c r="N7" s="71">
        <v>1.6</v>
      </c>
      <c r="O7" s="248"/>
      <c r="P7" s="73"/>
      <c r="Q7" s="73"/>
      <c r="R7" s="73"/>
      <c r="S7" s="73"/>
      <c r="T7" s="73"/>
      <c r="U7" s="69"/>
      <c r="V7" s="68"/>
      <c r="W7" s="210"/>
      <c r="X7" s="210"/>
      <c r="Y7" s="210"/>
      <c r="Z7" s="210"/>
      <c r="AA7" s="210"/>
      <c r="AB7" s="210"/>
      <c r="AC7" s="210"/>
      <c r="AD7" s="210"/>
      <c r="AE7" s="71">
        <v>1.3</v>
      </c>
      <c r="AF7" s="71">
        <v>1.5</v>
      </c>
      <c r="AG7" s="71">
        <v>2</v>
      </c>
      <c r="AH7" s="71">
        <v>1.6</v>
      </c>
      <c r="AI7" s="73"/>
      <c r="AJ7" s="73"/>
      <c r="AK7" s="73"/>
      <c r="AL7" s="69"/>
      <c r="AM7" s="61"/>
      <c r="AN7" s="61"/>
      <c r="AO7" s="61"/>
      <c r="AP7" s="61"/>
      <c r="AQ7" s="61"/>
      <c r="AR7" s="61"/>
      <c r="AS7" s="61"/>
      <c r="AT7" s="61"/>
      <c r="AU7" s="61"/>
    </row>
    <row r="8" spans="2:47" ht="15.75" customHeight="1">
      <c r="B8" s="68"/>
      <c r="C8" s="69"/>
      <c r="D8" s="69"/>
      <c r="E8" s="69"/>
      <c r="F8" s="70">
        <f>AVERAGE(F11:H11)</f>
        <v>13577</v>
      </c>
      <c r="G8" s="69"/>
      <c r="H8" s="69"/>
      <c r="I8" s="71">
        <v>0.6</v>
      </c>
      <c r="J8" s="72">
        <v>0.4</v>
      </c>
      <c r="K8" s="71">
        <v>0.8</v>
      </c>
      <c r="L8" s="71">
        <v>1</v>
      </c>
      <c r="M8" s="71">
        <v>1.3</v>
      </c>
      <c r="N8" s="71">
        <v>0.9</v>
      </c>
      <c r="O8" s="248"/>
      <c r="P8" s="73"/>
      <c r="Q8" s="73"/>
      <c r="R8" s="73"/>
      <c r="S8" s="73"/>
      <c r="T8" s="73"/>
      <c r="U8" s="69"/>
      <c r="V8" s="68"/>
      <c r="W8" s="210"/>
      <c r="X8" s="210"/>
      <c r="Y8" s="210"/>
      <c r="Z8" s="210"/>
      <c r="AA8" s="210"/>
      <c r="AB8" s="210"/>
      <c r="AC8" s="210"/>
      <c r="AD8" s="210"/>
      <c r="AE8" s="71">
        <v>0.8</v>
      </c>
      <c r="AF8" s="71">
        <v>1</v>
      </c>
      <c r="AG8" s="71">
        <v>1.3</v>
      </c>
      <c r="AH8" s="71">
        <v>0.9</v>
      </c>
      <c r="AI8" s="73"/>
      <c r="AJ8" s="73"/>
      <c r="AK8" s="73"/>
      <c r="AL8" s="69"/>
      <c r="AM8" s="61"/>
      <c r="AN8" s="61"/>
      <c r="AO8" s="61"/>
      <c r="AP8" s="61"/>
      <c r="AQ8" s="61"/>
      <c r="AR8" s="61"/>
      <c r="AS8" s="61"/>
      <c r="AT8" s="61"/>
      <c r="AU8" s="61"/>
    </row>
    <row r="9" spans="2:47" ht="15.75" customHeight="1">
      <c r="B9" s="74" t="s">
        <v>13</v>
      </c>
      <c r="C9" s="75">
        <f>SUM(C10:C18)</f>
        <v>33020</v>
      </c>
      <c r="D9" s="75">
        <f t="shared" ref="D9:N9" si="0">SUM(D10:D18)</f>
        <v>67083</v>
      </c>
      <c r="E9" s="75">
        <f t="shared" si="0"/>
        <v>125578</v>
      </c>
      <c r="F9" s="75">
        <f t="shared" si="0"/>
        <v>113740</v>
      </c>
      <c r="G9" s="75">
        <f t="shared" si="0"/>
        <v>145816</v>
      </c>
      <c r="H9" s="75">
        <f t="shared" si="0"/>
        <v>119888</v>
      </c>
      <c r="I9" s="75">
        <f t="shared" si="0"/>
        <v>54220</v>
      </c>
      <c r="J9" s="75">
        <f t="shared" si="0"/>
        <v>31036</v>
      </c>
      <c r="K9" s="75">
        <f t="shared" si="0"/>
        <v>64779</v>
      </c>
      <c r="L9" s="75">
        <f t="shared" si="0"/>
        <v>96263</v>
      </c>
      <c r="M9" s="75">
        <f t="shared" si="0"/>
        <v>151357</v>
      </c>
      <c r="N9" s="75">
        <f t="shared" si="0"/>
        <v>94404</v>
      </c>
      <c r="O9" s="248"/>
      <c r="P9" s="75">
        <f>SUM(C9:H9)</f>
        <v>605125</v>
      </c>
      <c r="Q9" s="76">
        <f>SUM(I9:N9)</f>
        <v>492059</v>
      </c>
      <c r="R9" s="76"/>
      <c r="S9" s="76"/>
      <c r="T9" s="76"/>
      <c r="U9" s="78">
        <f>SUM(C9:N9)</f>
        <v>1097184</v>
      </c>
      <c r="V9" s="74"/>
      <c r="W9" s="76">
        <v>91702.116499999989</v>
      </c>
      <c r="X9" s="76">
        <v>82683.977499999994</v>
      </c>
      <c r="Y9" s="76">
        <v>87419.677499999991</v>
      </c>
      <c r="Z9" s="76">
        <v>93445.677499999991</v>
      </c>
      <c r="AA9" s="76">
        <v>102622.67749999999</v>
      </c>
      <c r="AB9" s="76">
        <v>100345.67749999999</v>
      </c>
      <c r="AC9" s="76">
        <v>89445.677499999991</v>
      </c>
      <c r="AD9" s="76">
        <v>35691.4</v>
      </c>
      <c r="AE9" s="76">
        <v>89445.677499999991</v>
      </c>
      <c r="AF9" s="76">
        <v>120751.664625</v>
      </c>
      <c r="AG9" s="76">
        <v>163014.74724375003</v>
      </c>
      <c r="AH9" s="76">
        <v>137279.93654125</v>
      </c>
      <c r="AI9" s="77"/>
      <c r="AJ9" s="75">
        <f>SUM(W9:AB9)</f>
        <v>558219.804</v>
      </c>
      <c r="AK9" s="76">
        <f>SUM(AC9:AH9)</f>
        <v>635629.10340999998</v>
      </c>
      <c r="AL9" s="78">
        <f>SUM(W9:AH9)</f>
        <v>1193848.90741</v>
      </c>
      <c r="AM9" s="61"/>
      <c r="AN9" s="61"/>
      <c r="AO9" s="61"/>
      <c r="AP9" s="61"/>
      <c r="AQ9" s="61"/>
      <c r="AR9" s="61"/>
      <c r="AS9" s="61"/>
      <c r="AT9" s="61"/>
      <c r="AU9" s="61"/>
    </row>
    <row r="10" spans="2:47" ht="15.75" customHeight="1">
      <c r="B10" s="79" t="s">
        <v>153</v>
      </c>
      <c r="C10" s="80">
        <v>4244</v>
      </c>
      <c r="D10" s="80">
        <v>8885</v>
      </c>
      <c r="E10" s="80">
        <v>16665</v>
      </c>
      <c r="F10" s="80">
        <v>14746</v>
      </c>
      <c r="G10" s="80">
        <v>20311</v>
      </c>
      <c r="H10" s="80">
        <v>16099</v>
      </c>
      <c r="I10" s="80">
        <v>7135</v>
      </c>
      <c r="J10" s="80">
        <v>3543</v>
      </c>
      <c r="K10" s="80">
        <v>7394</v>
      </c>
      <c r="L10" s="80">
        <v>10988</v>
      </c>
      <c r="M10" s="80">
        <v>17277</v>
      </c>
      <c r="N10" s="80">
        <v>10776</v>
      </c>
      <c r="O10" s="248"/>
      <c r="P10" s="80">
        <f>SUM(C10:H10)</f>
        <v>80950</v>
      </c>
      <c r="Q10" s="81">
        <f>SUM(I10:N10)</f>
        <v>57113</v>
      </c>
      <c r="R10" s="251">
        <f>P10/$P$9</f>
        <v>0.1337740136335468</v>
      </c>
      <c r="S10" s="251">
        <f>Q10/$Q$9</f>
        <v>0.11606941444013828</v>
      </c>
      <c r="T10" s="251">
        <f>U10/$U$9</f>
        <v>0.12583395310175868</v>
      </c>
      <c r="U10" s="83">
        <f>SUM(C10:N10)</f>
        <v>138063</v>
      </c>
      <c r="V10" s="79"/>
      <c r="W10" s="81">
        <f>$W$9*T10</f>
        <v>11539.239826993009</v>
      </c>
      <c r="X10" s="81">
        <f>$X$9*T10</f>
        <v>10404.451747001869</v>
      </c>
      <c r="Y10" s="81">
        <f>$Y$9*T10</f>
        <v>11000.363598705868</v>
      </c>
      <c r="Z10" s="81">
        <f>$Z$9*T10</f>
        <v>11758.639000097066</v>
      </c>
      <c r="AA10" s="81">
        <f>$AA$9*T10</f>
        <v>12913.417187711904</v>
      </c>
      <c r="AB10" s="81">
        <f>$AB$9*T10</f>
        <v>12626.893276499201</v>
      </c>
      <c r="AC10" s="81">
        <f>$AC$9*T10</f>
        <v>11255.303187690031</v>
      </c>
      <c r="AD10" s="81">
        <f>$AD$9*T10</f>
        <v>4491.1899537361096</v>
      </c>
      <c r="AE10" s="81">
        <f>$AE$9*T10</f>
        <v>11255.303187690031</v>
      </c>
      <c r="AF10" s="81">
        <f>$AF$9*T10</f>
        <v>15194.659303381544</v>
      </c>
      <c r="AG10" s="81">
        <f>$AG$9*T10</f>
        <v>20512.790059565086</v>
      </c>
      <c r="AH10" s="81">
        <f>$AH$9*T10</f>
        <v>17274.477096544062</v>
      </c>
      <c r="AI10" s="82"/>
      <c r="AJ10" s="80">
        <f>SUM(W10:AB10)</f>
        <v>70243.004637008926</v>
      </c>
      <c r="AK10" s="81">
        <f>SUM(AC10:AH10)</f>
        <v>79983.722788606858</v>
      </c>
      <c r="AL10" s="83">
        <f>SUM(W10:AH10)</f>
        <v>150226.72742561577</v>
      </c>
      <c r="AM10" s="61"/>
      <c r="AN10" s="61"/>
      <c r="AO10" s="61"/>
      <c r="AP10" s="61"/>
      <c r="AQ10" s="61"/>
      <c r="AR10" s="61"/>
      <c r="AS10" s="61"/>
      <c r="AT10" s="61"/>
      <c r="AU10" s="61"/>
    </row>
    <row r="11" spans="2:47" ht="15.75" customHeight="1">
      <c r="B11" s="79" t="s">
        <v>154</v>
      </c>
      <c r="C11" s="80">
        <v>3379</v>
      </c>
      <c r="D11" s="80">
        <v>7075</v>
      </c>
      <c r="E11" s="80">
        <v>13269</v>
      </c>
      <c r="F11" s="80">
        <v>11741</v>
      </c>
      <c r="G11" s="80">
        <v>16172</v>
      </c>
      <c r="H11" s="80">
        <v>12818</v>
      </c>
      <c r="I11" s="80">
        <v>5681</v>
      </c>
      <c r="J11" s="80">
        <v>2821</v>
      </c>
      <c r="K11" s="80">
        <v>5887</v>
      </c>
      <c r="L11" s="80">
        <v>8748</v>
      </c>
      <c r="M11" s="80">
        <v>13755</v>
      </c>
      <c r="N11" s="80">
        <v>8580</v>
      </c>
      <c r="O11" s="248"/>
      <c r="P11" s="80">
        <f>SUM(C11:H11)</f>
        <v>64454</v>
      </c>
      <c r="Q11" s="81">
        <f>SUM(I11:N11)</f>
        <v>45472</v>
      </c>
      <c r="R11" s="251">
        <f t="shared" ref="R11:R18" si="1">P11/$P$9</f>
        <v>0.10651353026234249</v>
      </c>
      <c r="S11" s="251">
        <f t="shared" ref="S11:S17" si="2">Q11/$Q$9</f>
        <v>9.2411682338906509E-2</v>
      </c>
      <c r="T11" s="251">
        <f t="shared" ref="T11:T17" si="3">U11/$U$9</f>
        <v>0.10018921165456296</v>
      </c>
      <c r="U11" s="83">
        <f>SUM(C11:N11)</f>
        <v>109926</v>
      </c>
      <c r="V11" s="79"/>
      <c r="W11" s="81">
        <f t="shared" ref="W11:W17" si="4">$W$9*T11</f>
        <v>9187.5627591898883</v>
      </c>
      <c r="X11" s="81">
        <f t="shared" ref="X11:X17" si="5">$X$9*T11</f>
        <v>8284.0425221886217</v>
      </c>
      <c r="Y11" s="81">
        <f t="shared" ref="Y11:Y17" si="6">$Y$9*T11</f>
        <v>8758.508571821134</v>
      </c>
      <c r="Z11" s="81">
        <f t="shared" ref="Z11:Z17" si="7">$Z$9*T11</f>
        <v>9362.2487612515306</v>
      </c>
      <c r="AA11" s="81">
        <f t="shared" ref="AA11:AA17" si="8">$AA$9*T11</f>
        <v>10281.685156605456</v>
      </c>
      <c r="AB11" s="81">
        <f t="shared" ref="AB11:AB17" si="9">$AB$9*T11</f>
        <v>10053.554321668014</v>
      </c>
      <c r="AC11" s="81">
        <f t="shared" ref="AC11:AC17" si="10">$AC$9*T11</f>
        <v>8961.4919146332795</v>
      </c>
      <c r="AD11" s="81">
        <f t="shared" ref="AD11:AD17" si="11">$AD$9*T11</f>
        <v>3575.8932288476685</v>
      </c>
      <c r="AE11" s="81">
        <f t="shared" ref="AE11:AE17" si="12">$AE$9*T11</f>
        <v>8961.4919146332795</v>
      </c>
      <c r="AF11" s="81">
        <f t="shared" ref="AF11:AF17" si="13">$AF$9*T11</f>
        <v>12098.014084754928</v>
      </c>
      <c r="AG11" s="81">
        <f t="shared" ref="AG11:AG17" si="14">$AG$9*T11</f>
        <v>16332.319014419156</v>
      </c>
      <c r="AH11" s="81">
        <f t="shared" ref="AH11:AH17" si="15">$AH$9*T11</f>
        <v>13753.968618056268</v>
      </c>
      <c r="AI11" s="82"/>
      <c r="AJ11" s="80">
        <f>SUM(W11:AB11)</f>
        <v>55927.602092724643</v>
      </c>
      <c r="AK11" s="81">
        <f>SUM(AC11:AH11)</f>
        <v>63683.178775344582</v>
      </c>
      <c r="AL11" s="83">
        <f>SUM(W11:AH11)</f>
        <v>119610.78086806924</v>
      </c>
      <c r="AM11" s="61"/>
      <c r="AN11" s="61"/>
      <c r="AO11" s="61"/>
      <c r="AP11" s="61"/>
      <c r="AQ11" s="61"/>
      <c r="AR11" s="61"/>
      <c r="AS11" s="61"/>
      <c r="AT11" s="61"/>
      <c r="AU11" s="61"/>
    </row>
    <row r="12" spans="2:47" ht="15.75" customHeight="1">
      <c r="B12" s="79" t="s">
        <v>155</v>
      </c>
      <c r="C12" s="80">
        <v>2387</v>
      </c>
      <c r="D12" s="80">
        <v>4998</v>
      </c>
      <c r="E12" s="80">
        <v>9374</v>
      </c>
      <c r="F12" s="80">
        <v>8295</v>
      </c>
      <c r="G12" s="80">
        <v>1425</v>
      </c>
      <c r="H12" s="80">
        <v>9056</v>
      </c>
      <c r="I12" s="80">
        <v>4013</v>
      </c>
      <c r="J12" s="80">
        <v>1993</v>
      </c>
      <c r="K12" s="80">
        <v>4159</v>
      </c>
      <c r="L12" s="80">
        <v>6181</v>
      </c>
      <c r="M12" s="80">
        <v>9718</v>
      </c>
      <c r="N12" s="80">
        <v>6061</v>
      </c>
      <c r="O12" s="248"/>
      <c r="P12" s="80">
        <f t="shared" ref="P12:P17" si="16">SUM(C12:H12)</f>
        <v>35535</v>
      </c>
      <c r="Q12" s="81">
        <f t="shared" ref="Q12:Q18" si="17">SUM(I12:N12)</f>
        <v>32125</v>
      </c>
      <c r="R12" s="251">
        <f t="shared" si="1"/>
        <v>5.8723404255319148E-2</v>
      </c>
      <c r="S12" s="251">
        <f t="shared" si="2"/>
        <v>6.5286886328671967E-2</v>
      </c>
      <c r="T12" s="251">
        <f t="shared" si="3"/>
        <v>6.1666958322396243E-2</v>
      </c>
      <c r="U12" s="83">
        <f t="shared" ref="U12:U18" si="18">SUM(C12:N12)</f>
        <v>67660</v>
      </c>
      <c r="V12" s="79"/>
      <c r="W12" s="81">
        <f t="shared" si="4"/>
        <v>5654.9905962810244</v>
      </c>
      <c r="X12" s="81">
        <f t="shared" si="5"/>
        <v>5098.8693944224478</v>
      </c>
      <c r="Y12" s="81">
        <f t="shared" si="6"/>
        <v>5390.9056089498199</v>
      </c>
      <c r="Z12" s="81">
        <f t="shared" si="7"/>
        <v>5762.5106998005795</v>
      </c>
      <c r="AA12" s="81">
        <f t="shared" si="8"/>
        <v>6328.4283763252097</v>
      </c>
      <c r="AB12" s="81">
        <f t="shared" si="9"/>
        <v>6188.0127122251142</v>
      </c>
      <c r="AC12" s="81">
        <f t="shared" si="10"/>
        <v>5515.842866510995</v>
      </c>
      <c r="AD12" s="81">
        <f t="shared" si="11"/>
        <v>2200.9800762679733</v>
      </c>
      <c r="AE12" s="81">
        <f t="shared" si="12"/>
        <v>5515.842866510995</v>
      </c>
      <c r="AF12" s="81">
        <f t="shared" si="13"/>
        <v>7446.3878697898444</v>
      </c>
      <c r="AG12" s="81">
        <f t="shared" si="14"/>
        <v>10052.62362421629</v>
      </c>
      <c r="AH12" s="81">
        <f t="shared" si="15"/>
        <v>8465.6361251904655</v>
      </c>
      <c r="AI12" s="82"/>
      <c r="AJ12" s="80">
        <f t="shared" ref="AJ12:AJ18" si="19">SUM(W12:AB12)</f>
        <v>34423.717388004196</v>
      </c>
      <c r="AK12" s="81">
        <f t="shared" ref="AK12:AK18" si="20">SUM(AC12:AH12)</f>
        <v>39197.313428486566</v>
      </c>
      <c r="AL12" s="83">
        <f t="shared" ref="AL12:AL18" si="21">SUM(W12:AH12)</f>
        <v>73621.030816490762</v>
      </c>
      <c r="AM12" s="61"/>
      <c r="AN12" s="61"/>
      <c r="AO12" s="61"/>
      <c r="AP12" s="61"/>
      <c r="AQ12" s="61"/>
      <c r="AR12" s="61"/>
      <c r="AS12" s="61"/>
      <c r="AT12" s="61"/>
      <c r="AU12" s="61"/>
    </row>
    <row r="13" spans="2:47" ht="15.75" customHeight="1">
      <c r="B13" s="79" t="s">
        <v>156</v>
      </c>
      <c r="C13" s="80">
        <v>12894</v>
      </c>
      <c r="D13" s="80">
        <v>17282</v>
      </c>
      <c r="E13" s="80">
        <v>29068</v>
      </c>
      <c r="F13" s="80">
        <v>20995</v>
      </c>
      <c r="G13" s="80">
        <v>32068</v>
      </c>
      <c r="H13" s="80">
        <v>22311</v>
      </c>
      <c r="I13" s="80">
        <v>11814</v>
      </c>
      <c r="J13" s="80">
        <v>5866</v>
      </c>
      <c r="K13" s="80">
        <v>12244</v>
      </c>
      <c r="L13" s="80">
        <v>18195</v>
      </c>
      <c r="M13" s="80">
        <v>28608</v>
      </c>
      <c r="N13" s="80">
        <v>17843</v>
      </c>
      <c r="O13" s="248"/>
      <c r="P13" s="80">
        <f t="shared" si="16"/>
        <v>134618</v>
      </c>
      <c r="Q13" s="81">
        <f t="shared" si="17"/>
        <v>94570</v>
      </c>
      <c r="R13" s="251">
        <f t="shared" si="1"/>
        <v>0.22246312745300559</v>
      </c>
      <c r="S13" s="251">
        <f t="shared" si="2"/>
        <v>0.19219239969190685</v>
      </c>
      <c r="T13" s="251">
        <f t="shared" si="3"/>
        <v>0.20888747921952927</v>
      </c>
      <c r="U13" s="83">
        <f t="shared" si="18"/>
        <v>229188</v>
      </c>
      <c r="V13" s="79"/>
      <c r="W13" s="81">
        <f t="shared" si="4"/>
        <v>19155.423954780599</v>
      </c>
      <c r="X13" s="81">
        <f t="shared" si="5"/>
        <v>17271.647631819273</v>
      </c>
      <c r="Y13" s="81">
        <f t="shared" si="6"/>
        <v>18260.876067159199</v>
      </c>
      <c r="Z13" s="81">
        <f t="shared" si="7"/>
        <v>19519.632016936081</v>
      </c>
      <c r="AA13" s="81">
        <f t="shared" si="8"/>
        <v>21436.592413733702</v>
      </c>
      <c r="AB13" s="81">
        <f t="shared" si="9"/>
        <v>20960.955623550835</v>
      </c>
      <c r="AC13" s="81">
        <f t="shared" si="10"/>
        <v>18684.082100057964</v>
      </c>
      <c r="AD13" s="81">
        <f t="shared" si="11"/>
        <v>7455.4865758159076</v>
      </c>
      <c r="AE13" s="81">
        <f t="shared" si="12"/>
        <v>18684.082100057964</v>
      </c>
      <c r="AF13" s="81">
        <f t="shared" si="13"/>
        <v>25223.510835078258</v>
      </c>
      <c r="AG13" s="81">
        <f t="shared" si="14"/>
        <v>34051.739627355651</v>
      </c>
      <c r="AH13" s="81">
        <f t="shared" si="15"/>
        <v>28676.059891518657</v>
      </c>
      <c r="AI13" s="82"/>
      <c r="AJ13" s="80">
        <f t="shared" si="19"/>
        <v>116605.12770797969</v>
      </c>
      <c r="AK13" s="81">
        <f t="shared" si="20"/>
        <v>132774.96112988441</v>
      </c>
      <c r="AL13" s="83">
        <f t="shared" si="21"/>
        <v>249380.08883786411</v>
      </c>
      <c r="AM13" s="61"/>
      <c r="AN13" s="61"/>
      <c r="AO13" s="61"/>
      <c r="AP13" s="61"/>
      <c r="AQ13" s="61"/>
      <c r="AR13" s="61"/>
      <c r="AS13" s="61"/>
      <c r="AT13" s="61"/>
      <c r="AU13" s="61"/>
    </row>
    <row r="14" spans="2:47" ht="15.75" customHeight="1">
      <c r="B14" s="79" t="s">
        <v>157</v>
      </c>
      <c r="C14" s="80">
        <v>6012</v>
      </c>
      <c r="D14" s="80">
        <v>12747</v>
      </c>
      <c r="E14" s="80">
        <v>21125</v>
      </c>
      <c r="F14" s="80">
        <v>15966</v>
      </c>
      <c r="G14" s="80">
        <v>24435</v>
      </c>
      <c r="H14" s="80">
        <v>18445</v>
      </c>
      <c r="I14" s="80">
        <v>8681</v>
      </c>
      <c r="J14" s="80">
        <v>7173</v>
      </c>
      <c r="K14" s="80">
        <v>14972</v>
      </c>
      <c r="L14" s="80">
        <v>22248</v>
      </c>
      <c r="M14" s="80">
        <v>34982</v>
      </c>
      <c r="N14" s="80">
        <v>21819</v>
      </c>
      <c r="O14" s="248"/>
      <c r="P14" s="80">
        <f t="shared" si="16"/>
        <v>98730</v>
      </c>
      <c r="Q14" s="81">
        <f t="shared" si="17"/>
        <v>109875</v>
      </c>
      <c r="R14" s="251">
        <f t="shared" si="1"/>
        <v>0.16315637265027888</v>
      </c>
      <c r="S14" s="251">
        <f>23%</f>
        <v>0.23</v>
      </c>
      <c r="T14" s="251">
        <v>0.26</v>
      </c>
      <c r="U14" s="83">
        <f t="shared" si="18"/>
        <v>208605</v>
      </c>
      <c r="V14" s="79"/>
      <c r="W14" s="81">
        <f t="shared" si="4"/>
        <v>23842.550289999999</v>
      </c>
      <c r="X14" s="81">
        <f t="shared" si="5"/>
        <v>21497.834149999999</v>
      </c>
      <c r="Y14" s="81">
        <f t="shared" si="6"/>
        <v>22729.116149999998</v>
      </c>
      <c r="Z14" s="81">
        <f t="shared" si="7"/>
        <v>24295.87615</v>
      </c>
      <c r="AA14" s="81">
        <f t="shared" si="8"/>
        <v>26681.896149999997</v>
      </c>
      <c r="AB14" s="81">
        <f t="shared" si="9"/>
        <v>26089.87615</v>
      </c>
      <c r="AC14" s="81">
        <f t="shared" si="10"/>
        <v>23255.87615</v>
      </c>
      <c r="AD14" s="81">
        <f t="shared" si="11"/>
        <v>9279.764000000001</v>
      </c>
      <c r="AE14" s="81">
        <f t="shared" si="12"/>
        <v>23255.87615</v>
      </c>
      <c r="AF14" s="81">
        <f t="shared" si="13"/>
        <v>31395.432802500003</v>
      </c>
      <c r="AG14" s="81">
        <f t="shared" si="14"/>
        <v>42383.834283375007</v>
      </c>
      <c r="AH14" s="81">
        <f t="shared" si="15"/>
        <v>35692.783500725003</v>
      </c>
      <c r="AI14" s="82"/>
      <c r="AJ14" s="80">
        <f t="shared" si="19"/>
        <v>145137.14903999999</v>
      </c>
      <c r="AK14" s="81">
        <f t="shared" si="20"/>
        <v>165263.56688660002</v>
      </c>
      <c r="AL14" s="83">
        <f t="shared" si="21"/>
        <v>310400.71592659998</v>
      </c>
      <c r="AM14" s="61"/>
      <c r="AN14" s="61"/>
      <c r="AO14" s="61"/>
      <c r="AP14" s="61"/>
      <c r="AQ14" s="61"/>
      <c r="AR14" s="61"/>
      <c r="AS14" s="61"/>
      <c r="AT14" s="61"/>
      <c r="AU14" s="61"/>
    </row>
    <row r="15" spans="2:47" ht="15.75" customHeight="1">
      <c r="B15" s="79" t="s">
        <v>158</v>
      </c>
      <c r="C15" s="80">
        <v>0</v>
      </c>
      <c r="D15" s="80">
        <v>7663</v>
      </c>
      <c r="E15" s="80">
        <v>17478</v>
      </c>
      <c r="F15" s="80">
        <v>16638</v>
      </c>
      <c r="G15" s="80">
        <v>18920</v>
      </c>
      <c r="H15" s="80">
        <v>14488</v>
      </c>
      <c r="I15" s="80">
        <v>6638</v>
      </c>
      <c r="J15" s="80">
        <v>7410</v>
      </c>
      <c r="K15" s="80">
        <v>15467</v>
      </c>
      <c r="L15" s="80">
        <v>22985</v>
      </c>
      <c r="M15" s="80">
        <v>36140</v>
      </c>
      <c r="N15" s="80">
        <v>22541</v>
      </c>
      <c r="O15" s="248"/>
      <c r="P15" s="80">
        <f t="shared" si="16"/>
        <v>75187</v>
      </c>
      <c r="Q15" s="81">
        <f t="shared" si="17"/>
        <v>111181</v>
      </c>
      <c r="R15" s="251">
        <f t="shared" si="1"/>
        <v>0.12425036149555876</v>
      </c>
      <c r="S15" s="251">
        <f t="shared" si="2"/>
        <v>0.22595054658079622</v>
      </c>
      <c r="T15" s="251">
        <f t="shared" si="3"/>
        <v>0.1698602969055327</v>
      </c>
      <c r="U15" s="83">
        <f t="shared" si="18"/>
        <v>186368</v>
      </c>
      <c r="V15" s="79"/>
      <c r="W15" s="81">
        <f t="shared" si="4"/>
        <v>15576.548735555747</v>
      </c>
      <c r="X15" s="81">
        <f t="shared" si="5"/>
        <v>14044.724967480384</v>
      </c>
      <c r="Y15" s="81">
        <f t="shared" si="6"/>
        <v>14849.132375535915</v>
      </c>
      <c r="Z15" s="81">
        <f t="shared" si="7"/>
        <v>15872.710524688655</v>
      </c>
      <c r="AA15" s="81">
        <f t="shared" si="8"/>
        <v>17431.518469390729</v>
      </c>
      <c r="AB15" s="81">
        <f t="shared" si="9"/>
        <v>17044.74657333683</v>
      </c>
      <c r="AC15" s="81">
        <f t="shared" si="10"/>
        <v>15193.269337066524</v>
      </c>
      <c r="AD15" s="81">
        <f t="shared" si="11"/>
        <v>6062.5518009741299</v>
      </c>
      <c r="AE15" s="81">
        <f t="shared" si="12"/>
        <v>15193.269337066524</v>
      </c>
      <c r="AF15" s="81">
        <f t="shared" si="13"/>
        <v>20510.913605039812</v>
      </c>
      <c r="AG15" s="81">
        <f t="shared" si="14"/>
        <v>27689.733366803746</v>
      </c>
      <c r="AH15" s="81">
        <f t="shared" si="15"/>
        <v>23318.410780069415</v>
      </c>
      <c r="AI15" s="82"/>
      <c r="AJ15" s="80">
        <f t="shared" si="19"/>
        <v>94819.381645988266</v>
      </c>
      <c r="AK15" s="81">
        <f t="shared" si="20"/>
        <v>107968.14822702015</v>
      </c>
      <c r="AL15" s="83">
        <f t="shared" si="21"/>
        <v>202787.52987300843</v>
      </c>
      <c r="AM15" s="61"/>
      <c r="AN15" s="61"/>
      <c r="AO15" s="61"/>
      <c r="AP15" s="61"/>
      <c r="AQ15" s="61"/>
      <c r="AR15" s="61"/>
      <c r="AS15" s="61"/>
      <c r="AT15" s="61"/>
      <c r="AU15" s="61"/>
    </row>
    <row r="16" spans="2:47" ht="15.75" customHeight="1">
      <c r="B16" s="79" t="s">
        <v>159</v>
      </c>
      <c r="C16" s="80">
        <v>0</v>
      </c>
      <c r="D16" s="80">
        <v>0</v>
      </c>
      <c r="E16" s="80">
        <v>0</v>
      </c>
      <c r="F16" s="80">
        <v>8185</v>
      </c>
      <c r="G16" s="80">
        <v>11274</v>
      </c>
      <c r="H16" s="80">
        <v>8936</v>
      </c>
      <c r="I16" s="80">
        <v>2561</v>
      </c>
      <c r="J16" s="80">
        <v>1271</v>
      </c>
      <c r="K16" s="80">
        <v>2654</v>
      </c>
      <c r="L16" s="80">
        <v>3943</v>
      </c>
      <c r="M16" s="80">
        <v>6200</v>
      </c>
      <c r="N16" s="80">
        <v>3867</v>
      </c>
      <c r="O16" s="248"/>
      <c r="P16" s="80">
        <f t="shared" si="16"/>
        <v>28395</v>
      </c>
      <c r="Q16" s="81">
        <f t="shared" si="17"/>
        <v>20496</v>
      </c>
      <c r="R16" s="251">
        <f t="shared" si="1"/>
        <v>4.6924189217103902E-2</v>
      </c>
      <c r="S16" s="251">
        <f t="shared" si="2"/>
        <v>4.1653541546847021E-2</v>
      </c>
      <c r="T16" s="251">
        <f t="shared" si="3"/>
        <v>4.4560438358561556E-2</v>
      </c>
      <c r="U16" s="83">
        <f t="shared" si="18"/>
        <v>48891</v>
      </c>
      <c r="V16" s="79"/>
      <c r="W16" s="81">
        <f t="shared" si="4"/>
        <v>4086.2865096478799</v>
      </c>
      <c r="X16" s="81">
        <f t="shared" si="5"/>
        <v>3684.4342826294405</v>
      </c>
      <c r="Y16" s="81">
        <f t="shared" si="6"/>
        <v>3895.4591505640801</v>
      </c>
      <c r="Z16" s="81">
        <f t="shared" si="7"/>
        <v>4163.9803521127724</v>
      </c>
      <c r="AA16" s="81">
        <f t="shared" si="8"/>
        <v>4572.9114949292916</v>
      </c>
      <c r="AB16" s="81">
        <f t="shared" si="9"/>
        <v>4471.4473767868467</v>
      </c>
      <c r="AC16" s="81">
        <f t="shared" si="10"/>
        <v>3985.7385986785257</v>
      </c>
      <c r="AD16" s="81">
        <f t="shared" si="11"/>
        <v>1590.4244296307641</v>
      </c>
      <c r="AE16" s="81">
        <f t="shared" si="12"/>
        <v>3985.7385986785257</v>
      </c>
      <c r="AF16" s="81">
        <f t="shared" si="13"/>
        <v>5380.7471082160109</v>
      </c>
      <c r="AG16" s="81">
        <f t="shared" si="14"/>
        <v>7264.0085960916158</v>
      </c>
      <c r="AH16" s="81">
        <f t="shared" si="15"/>
        <v>6117.2541501136129</v>
      </c>
      <c r="AI16" s="82"/>
      <c r="AJ16" s="80">
        <f t="shared" si="19"/>
        <v>24874.519166670314</v>
      </c>
      <c r="AK16" s="81">
        <f t="shared" si="20"/>
        <v>28323.911481409057</v>
      </c>
      <c r="AL16" s="83">
        <f t="shared" si="21"/>
        <v>53198.430648079375</v>
      </c>
      <c r="AM16" s="61"/>
      <c r="AN16" s="61"/>
      <c r="AO16" s="61"/>
      <c r="AP16" s="61"/>
      <c r="AQ16" s="61"/>
      <c r="AR16" s="61"/>
      <c r="AS16" s="61"/>
      <c r="AT16" s="61"/>
      <c r="AU16" s="61"/>
    </row>
    <row r="17" spans="2:47" ht="15.75" customHeight="1">
      <c r="B17" s="79" t="s">
        <v>160</v>
      </c>
      <c r="C17" s="80">
        <v>0</v>
      </c>
      <c r="D17" s="80">
        <v>0</v>
      </c>
      <c r="E17" s="80">
        <v>0</v>
      </c>
      <c r="F17" s="80">
        <v>6175</v>
      </c>
      <c r="G17" s="80">
        <v>8505</v>
      </c>
      <c r="H17" s="80">
        <v>6741</v>
      </c>
      <c r="I17" s="80">
        <v>1932</v>
      </c>
      <c r="J17" s="80">
        <v>959</v>
      </c>
      <c r="K17" s="80">
        <v>2002</v>
      </c>
      <c r="L17" s="80">
        <v>2975</v>
      </c>
      <c r="M17" s="80">
        <v>4677</v>
      </c>
      <c r="N17" s="80">
        <v>2917</v>
      </c>
      <c r="O17" s="248"/>
      <c r="P17" s="80">
        <f t="shared" si="16"/>
        <v>21421</v>
      </c>
      <c r="Q17" s="81">
        <f t="shared" si="17"/>
        <v>15462</v>
      </c>
      <c r="R17" s="251">
        <f t="shared" si="1"/>
        <v>3.5399297665771531E-2</v>
      </c>
      <c r="S17" s="251">
        <f t="shared" si="2"/>
        <v>3.1423061055686409E-2</v>
      </c>
      <c r="T17" s="251">
        <f t="shared" si="3"/>
        <v>3.3616057106191852E-2</v>
      </c>
      <c r="U17" s="83">
        <f t="shared" si="18"/>
        <v>36883</v>
      </c>
      <c r="V17" s="79"/>
      <c r="W17" s="81">
        <f t="shared" si="4"/>
        <v>3082.6635850226576</v>
      </c>
      <c r="X17" s="81">
        <f t="shared" si="5"/>
        <v>2779.5093094070821</v>
      </c>
      <c r="Y17" s="81">
        <f t="shared" si="6"/>
        <v>2938.7048710448748</v>
      </c>
      <c r="Z17" s="81">
        <f t="shared" si="7"/>
        <v>3141.2752311667869</v>
      </c>
      <c r="AA17" s="81">
        <f t="shared" si="8"/>
        <v>3449.7697872303092</v>
      </c>
      <c r="AB17" s="81">
        <f t="shared" si="9"/>
        <v>3373.2260251995103</v>
      </c>
      <c r="AC17" s="81">
        <f t="shared" si="10"/>
        <v>3006.8110027420194</v>
      </c>
      <c r="AD17" s="81">
        <f t="shared" si="11"/>
        <v>1199.8041405999359</v>
      </c>
      <c r="AE17" s="81">
        <f t="shared" si="12"/>
        <v>3006.8110027420194</v>
      </c>
      <c r="AF17" s="81">
        <f t="shared" si="13"/>
        <v>4059.1948537017265</v>
      </c>
      <c r="AG17" s="81">
        <f t="shared" si="14"/>
        <v>5479.9130524973316</v>
      </c>
      <c r="AH17" s="81">
        <f t="shared" si="15"/>
        <v>4614.8101863050533</v>
      </c>
      <c r="AI17" s="82"/>
      <c r="AJ17" s="80">
        <f t="shared" si="19"/>
        <v>18765.148809071219</v>
      </c>
      <c r="AK17" s="81">
        <f t="shared" si="20"/>
        <v>21367.344238588088</v>
      </c>
      <c r="AL17" s="83">
        <f t="shared" si="21"/>
        <v>40132.493047659307</v>
      </c>
      <c r="AM17" s="61"/>
      <c r="AN17" s="61"/>
      <c r="AO17" s="61"/>
      <c r="AP17" s="61"/>
      <c r="AQ17" s="61"/>
      <c r="AR17" s="61"/>
      <c r="AS17" s="61"/>
      <c r="AT17" s="61"/>
      <c r="AU17" s="61"/>
    </row>
    <row r="18" spans="2:47" ht="15.75" customHeight="1">
      <c r="B18" s="79" t="s">
        <v>161</v>
      </c>
      <c r="C18" s="80">
        <v>4104</v>
      </c>
      <c r="D18" s="80">
        <v>8433</v>
      </c>
      <c r="E18" s="80">
        <v>18599</v>
      </c>
      <c r="F18" s="80">
        <v>10999</v>
      </c>
      <c r="G18" s="80">
        <v>12706</v>
      </c>
      <c r="H18" s="80">
        <v>10994</v>
      </c>
      <c r="I18" s="80">
        <v>5765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248"/>
      <c r="P18" s="80">
        <f>SUM(C18:N18)</f>
        <v>71600</v>
      </c>
      <c r="Q18" s="81">
        <f t="shared" si="17"/>
        <v>5765</v>
      </c>
      <c r="R18" s="251">
        <f t="shared" si="1"/>
        <v>0.11832266060731254</v>
      </c>
      <c r="S18" s="251"/>
      <c r="T18" s="251"/>
      <c r="U18" s="83">
        <f t="shared" si="18"/>
        <v>71600</v>
      </c>
      <c r="V18" s="79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2"/>
      <c r="AJ18" s="80">
        <f t="shared" si="19"/>
        <v>0</v>
      </c>
      <c r="AK18" s="81">
        <f t="shared" si="20"/>
        <v>0</v>
      </c>
      <c r="AL18" s="83">
        <f t="shared" si="21"/>
        <v>0</v>
      </c>
      <c r="AM18" s="61"/>
      <c r="AN18" s="61"/>
      <c r="AO18" s="61"/>
      <c r="AP18" s="61"/>
      <c r="AQ18" s="61"/>
      <c r="AR18" s="61"/>
      <c r="AS18" s="61"/>
      <c r="AT18" s="61"/>
      <c r="AU18" s="61"/>
    </row>
    <row r="19" spans="2:47" ht="15.75" customHeight="1">
      <c r="B19" s="79"/>
      <c r="C19" s="84"/>
      <c r="D19" s="84"/>
      <c r="E19" s="84"/>
      <c r="F19" s="85">
        <f>AVERAGE(F22:H22)</f>
        <v>49.469144197223692</v>
      </c>
      <c r="G19" s="84"/>
      <c r="H19" s="84"/>
      <c r="I19" s="84">
        <v>0.7</v>
      </c>
      <c r="J19" s="84">
        <v>0.55000000000000004</v>
      </c>
      <c r="K19" s="84">
        <v>1.25</v>
      </c>
      <c r="L19" s="84">
        <v>1.4</v>
      </c>
      <c r="M19" s="84">
        <v>1.8</v>
      </c>
      <c r="N19" s="86"/>
      <c r="O19" s="248"/>
      <c r="P19" s="84"/>
      <c r="Q19" s="84"/>
      <c r="R19" s="84"/>
      <c r="S19" s="84"/>
      <c r="T19" s="84"/>
      <c r="U19" s="84"/>
      <c r="V19" s="79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4"/>
      <c r="AJ19" s="84"/>
      <c r="AK19" s="84"/>
      <c r="AL19" s="84"/>
      <c r="AM19" s="87"/>
      <c r="AN19" s="61"/>
      <c r="AO19" s="61"/>
      <c r="AP19" s="61"/>
      <c r="AQ19" s="61"/>
      <c r="AR19" s="61"/>
      <c r="AS19" s="61"/>
      <c r="AT19" s="61"/>
      <c r="AU19" s="61"/>
    </row>
    <row r="20" spans="2:47" ht="15.75" customHeight="1">
      <c r="B20" s="79"/>
      <c r="C20" s="200"/>
      <c r="D20" s="200"/>
      <c r="E20" s="200"/>
      <c r="F20" s="201"/>
      <c r="G20" s="200"/>
      <c r="H20" s="200"/>
      <c r="I20" s="200"/>
      <c r="J20" s="200"/>
      <c r="K20" s="200"/>
      <c r="L20" s="200"/>
      <c r="M20" s="200"/>
      <c r="N20" s="84"/>
      <c r="O20" s="248"/>
      <c r="P20" s="84"/>
      <c r="Q20" s="84"/>
      <c r="R20" s="84"/>
      <c r="S20" s="84"/>
      <c r="T20" s="84"/>
      <c r="U20" s="84"/>
      <c r="V20" s="79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7"/>
      <c r="AN20" s="61"/>
      <c r="AO20" s="61"/>
      <c r="AP20" s="61"/>
      <c r="AQ20" s="61"/>
      <c r="AR20" s="61"/>
      <c r="AS20" s="61"/>
      <c r="AT20" s="61"/>
      <c r="AU20" s="61"/>
    </row>
    <row r="21" spans="2:47" ht="15.75" customHeight="1">
      <c r="B21" s="74" t="s">
        <v>162</v>
      </c>
      <c r="C21" s="88">
        <f>SUM(C22:C29)</f>
        <v>422</v>
      </c>
      <c r="D21" s="88">
        <f t="shared" ref="D21:N21" si="22">SUM(D22:D29)</f>
        <v>1229</v>
      </c>
      <c r="E21" s="88">
        <f t="shared" si="22"/>
        <v>2697.3555555555558</v>
      </c>
      <c r="F21" s="88">
        <f t="shared" si="22"/>
        <v>1379</v>
      </c>
      <c r="G21" s="88">
        <f t="shared" si="22"/>
        <v>1050</v>
      </c>
      <c r="H21" s="88">
        <f t="shared" si="22"/>
        <v>1323</v>
      </c>
      <c r="I21" s="88">
        <f t="shared" si="22"/>
        <v>804.99999999999989</v>
      </c>
      <c r="J21" s="88">
        <f t="shared" si="22"/>
        <v>487</v>
      </c>
      <c r="K21" s="88">
        <f t="shared" si="22"/>
        <v>789.00000000000011</v>
      </c>
      <c r="L21" s="88">
        <f t="shared" si="22"/>
        <v>1108</v>
      </c>
      <c r="M21" s="88">
        <f t="shared" si="22"/>
        <v>2413.0000000000005</v>
      </c>
      <c r="N21" s="88">
        <f t="shared" si="22"/>
        <v>996</v>
      </c>
      <c r="O21" s="248"/>
      <c r="P21" s="88">
        <f>SUM(C21:H21)</f>
        <v>8100.3555555555558</v>
      </c>
      <c r="Q21" s="89">
        <f>SUM(I21:N21)</f>
        <v>6598</v>
      </c>
      <c r="R21" s="89"/>
      <c r="S21" s="89"/>
      <c r="T21" s="89"/>
      <c r="U21" s="90">
        <f>SUM(C21:N21)</f>
        <v>14698.355555555556</v>
      </c>
      <c r="V21" s="74"/>
      <c r="W21" s="89">
        <v>1092.396064781746</v>
      </c>
      <c r="X21" s="89">
        <v>832.28847027863776</v>
      </c>
      <c r="Y21" s="89">
        <v>885.15429071207427</v>
      </c>
      <c r="Z21" s="89">
        <v>902.61956499999997</v>
      </c>
      <c r="AA21" s="89">
        <v>1000.7528983333333</v>
      </c>
      <c r="AB21" s="89">
        <v>1031.5282845201239</v>
      </c>
      <c r="AC21" s="89">
        <v>953.20011114551085</v>
      </c>
      <c r="AD21" s="89">
        <v>644.32989666666663</v>
      </c>
      <c r="AE21" s="89">
        <v>1179.8502819047617</v>
      </c>
      <c r="AF21" s="89">
        <v>1457.5378078125</v>
      </c>
      <c r="AG21" s="89">
        <v>3177.322144875</v>
      </c>
      <c r="AH21" s="89">
        <v>1483.5215171250002</v>
      </c>
      <c r="AI21" s="79"/>
      <c r="AJ21" s="88">
        <f>SUM(W21:AB21)</f>
        <v>5744.739573625915</v>
      </c>
      <c r="AK21" s="89">
        <f>SUM(AC21:AH21)</f>
        <v>8895.7617595294396</v>
      </c>
      <c r="AL21" s="90">
        <f>SUM(W21:AH21)</f>
        <v>14640.501333155355</v>
      </c>
      <c r="AM21" s="61"/>
      <c r="AN21" s="61"/>
      <c r="AO21" s="61"/>
      <c r="AP21" s="61"/>
      <c r="AQ21" s="61"/>
      <c r="AR21" s="61"/>
      <c r="AS21" s="61"/>
      <c r="AT21" s="61"/>
      <c r="AU21" s="61"/>
    </row>
    <row r="22" spans="2:47" ht="15.75" customHeight="1">
      <c r="B22" s="79" t="s">
        <v>163</v>
      </c>
      <c r="C22" s="91">
        <v>32.666666666666664</v>
      </c>
      <c r="D22" s="91">
        <v>3.4905660377358489</v>
      </c>
      <c r="E22" s="91">
        <v>46.044444444444444</v>
      </c>
      <c r="F22" s="91">
        <v>67.305084745762713</v>
      </c>
      <c r="G22" s="91">
        <v>24.22429906542056</v>
      </c>
      <c r="H22" s="91">
        <v>56.878048780487802</v>
      </c>
      <c r="I22" s="91">
        <v>40.571428571428569</v>
      </c>
      <c r="J22" s="91">
        <v>0</v>
      </c>
      <c r="K22" s="91">
        <v>49.795454545454547</v>
      </c>
      <c r="L22" s="91">
        <v>65.962264150943398</v>
      </c>
      <c r="M22" s="91">
        <v>86.875</v>
      </c>
      <c r="N22" s="91">
        <v>34.985074626865668</v>
      </c>
      <c r="O22" s="248"/>
      <c r="P22" s="91">
        <f>SUM(C22:H22)</f>
        <v>230.60910974051802</v>
      </c>
      <c r="Q22" s="92">
        <f>SUM(I22:N22)</f>
        <v>278.1892218946922</v>
      </c>
      <c r="R22" s="251">
        <f>P22/$P$21</f>
        <v>2.846901079328016E-2</v>
      </c>
      <c r="S22" s="251">
        <f>Q22/$Q$21</f>
        <v>4.216265866848927E-2</v>
      </c>
      <c r="T22" s="251">
        <f>U22/$U$21</f>
        <v>3.4616003791179142E-2</v>
      </c>
      <c r="U22" s="94">
        <f>SUM(C22:N22)</f>
        <v>508.79833163521016</v>
      </c>
      <c r="V22" s="79"/>
      <c r="W22" s="252">
        <f>$W$21*T22</f>
        <v>37.814386319954096</v>
      </c>
      <c r="X22" s="252">
        <f>$X$21*T22</f>
        <v>28.810500842520014</v>
      </c>
      <c r="Y22" s="252">
        <f>$Y$21*T22</f>
        <v>30.640504283067649</v>
      </c>
      <c r="Z22" s="252">
        <f>$Z$21*T22</f>
        <v>31.245082284032467</v>
      </c>
      <c r="AA22" s="252">
        <f>$AA$21*T22</f>
        <v>34.642066122740182</v>
      </c>
      <c r="AB22" s="252">
        <f>$AB$21*T22</f>
        <v>35.707387007657125</v>
      </c>
      <c r="AC22" s="252">
        <f>$AC$21*T22</f>
        <v>32.995978661165381</v>
      </c>
      <c r="AD22" s="252">
        <f>$AD$21*T22</f>
        <v>22.304126145783396</v>
      </c>
      <c r="AE22" s="252">
        <f>$AE$21*T22</f>
        <v>40.841701831439011</v>
      </c>
      <c r="AF22" s="252">
        <f>$AF$21*T22</f>
        <v>50.454134281024437</v>
      </c>
      <c r="AG22" s="252">
        <f>$AG$21*T22</f>
        <v>109.98619541279045</v>
      </c>
      <c r="AH22" s="252">
        <f>$AH$21*T22</f>
        <v>51.353586461094842</v>
      </c>
      <c r="AI22" s="93"/>
      <c r="AJ22" s="91">
        <f>SUM(W22:AB22)</f>
        <v>198.85992685997152</v>
      </c>
      <c r="AK22" s="92">
        <f>SUM(AC22:AH22)</f>
        <v>307.93572279329749</v>
      </c>
      <c r="AL22" s="94">
        <f>SUM(W22:AH22)</f>
        <v>506.79564965326898</v>
      </c>
      <c r="AM22" s="61"/>
      <c r="AN22" s="61"/>
      <c r="AO22" s="61"/>
      <c r="AP22" s="61"/>
      <c r="AQ22" s="61"/>
      <c r="AR22" s="61"/>
      <c r="AS22" s="61"/>
      <c r="AT22" s="61"/>
      <c r="AU22" s="61"/>
    </row>
    <row r="23" spans="2:47" ht="15.75" customHeight="1">
      <c r="B23" s="79" t="s">
        <v>164</v>
      </c>
      <c r="C23" s="91">
        <v>32.666666666666664</v>
      </c>
      <c r="D23" s="91">
        <v>24.433962264150942</v>
      </c>
      <c r="E23" s="91">
        <v>90.444444444444443</v>
      </c>
      <c r="F23" s="91">
        <v>147.0084745762712</v>
      </c>
      <c r="G23" s="91">
        <v>80.747663551401857</v>
      </c>
      <c r="H23" s="91">
        <v>175.80487804878049</v>
      </c>
      <c r="I23" s="91">
        <v>137.94285714285715</v>
      </c>
      <c r="J23" s="91">
        <v>61.88</v>
      </c>
      <c r="K23" s="91">
        <v>106.70454545454545</v>
      </c>
      <c r="L23" s="91">
        <v>57.716981132075468</v>
      </c>
      <c r="M23" s="91">
        <v>82.048611111111114</v>
      </c>
      <c r="N23" s="91">
        <v>201.1641791044776</v>
      </c>
      <c r="O23" s="248"/>
      <c r="P23" s="91">
        <f>SUM(C23:H23)</f>
        <v>551.10608955171551</v>
      </c>
      <c r="Q23" s="92">
        <f>SUM(I23:N23)</f>
        <v>647.45717394506687</v>
      </c>
      <c r="R23" s="251">
        <f t="shared" ref="R23:R29" si="23">P23/$P$21</f>
        <v>6.8034802395031208E-2</v>
      </c>
      <c r="S23" s="251">
        <f t="shared" ref="S23:S29" si="24">Q23/$Q$21</f>
        <v>9.8129307963787035E-2</v>
      </c>
      <c r="T23" s="251">
        <f t="shared" ref="T23:T29" si="25">U23/$U$21</f>
        <v>8.1544037968503208E-2</v>
      </c>
      <c r="U23" s="94">
        <f>SUM(C23:N23)</f>
        <v>1198.5632634967824</v>
      </c>
      <c r="V23" s="79"/>
      <c r="W23" s="252">
        <f t="shared" ref="W23:W29" si="26">$W$21*T23</f>
        <v>89.078386183206177</v>
      </c>
      <c r="X23" s="252">
        <f t="shared" ref="X23:X29" si="27">$X$21*T23</f>
        <v>67.868162621148684</v>
      </c>
      <c r="Y23" s="252">
        <f t="shared" ref="Y23:Y29" si="28">$Y$21*T23</f>
        <v>72.179055089808912</v>
      </c>
      <c r="Z23" s="252">
        <f t="shared" ref="Z23:Z29" si="29">$Z$21*T23</f>
        <v>73.603244079473853</v>
      </c>
      <c r="AA23" s="252">
        <f t="shared" ref="AA23:AA29" si="30">$AA$21*T23</f>
        <v>81.605432338782961</v>
      </c>
      <c r="AB23" s="252">
        <f t="shared" ref="AB23:AB29" si="31">$AB$21*T23</f>
        <v>84.114981598493955</v>
      </c>
      <c r="AC23" s="252">
        <f t="shared" ref="AC23:AC29" si="32">$AC$21*T23</f>
        <v>77.727786054831014</v>
      </c>
      <c r="AD23" s="252">
        <f t="shared" ref="AD23:AD29" si="33">$AD$21*T23</f>
        <v>52.54126155802841</v>
      </c>
      <c r="AE23" s="252">
        <f t="shared" ref="AE23:AE29" si="34">$AE$21*T23</f>
        <v>96.209756184791104</v>
      </c>
      <c r="AF23" s="252">
        <f t="shared" ref="AF23:AF29" si="35">$AF$21*T23</f>
        <v>118.85351834079142</v>
      </c>
      <c r="AG23" s="252">
        <f t="shared" ref="AG23:AG29" si="36">$AG$21*T23</f>
        <v>259.09167761985304</v>
      </c>
      <c r="AH23" s="252">
        <f t="shared" ref="AH23:AH29" si="37">$AH$21*T23</f>
        <v>120.9723349195325</v>
      </c>
      <c r="AI23" s="95"/>
      <c r="AJ23" s="91">
        <f>SUM(W23:AB23)</f>
        <v>468.44926191091452</v>
      </c>
      <c r="AK23" s="92">
        <f>SUM(AC23:AH23)</f>
        <v>725.39633467782744</v>
      </c>
      <c r="AL23" s="94">
        <f>SUM(W23:AH23)</f>
        <v>1193.845596588742</v>
      </c>
      <c r="AM23" s="96">
        <f>[2]Producto!X13</f>
        <v>0</v>
      </c>
      <c r="AN23" s="61"/>
      <c r="AO23" s="61"/>
      <c r="AP23" s="61"/>
      <c r="AQ23" s="61"/>
      <c r="AR23" s="61"/>
      <c r="AS23" s="61"/>
      <c r="AT23" s="61"/>
      <c r="AU23" s="61"/>
    </row>
    <row r="24" spans="2:47" ht="15.75" customHeight="1">
      <c r="B24" s="79" t="s">
        <v>165</v>
      </c>
      <c r="C24" s="91">
        <v>16.333333333333332</v>
      </c>
      <c r="D24" s="91">
        <v>3.4905660377358489</v>
      </c>
      <c r="E24" s="91">
        <v>11.511111111111111</v>
      </c>
      <c r="F24" s="91">
        <v>23.025423728813561</v>
      </c>
      <c r="G24" s="91">
        <v>16.149532710280372</v>
      </c>
      <c r="H24" s="91">
        <v>51.707317073170735</v>
      </c>
      <c r="I24" s="91">
        <v>26.371428571428574</v>
      </c>
      <c r="J24" s="91">
        <v>4.76</v>
      </c>
      <c r="K24" s="91">
        <v>28.454545454545457</v>
      </c>
      <c r="L24" s="91">
        <v>24.735849056603776</v>
      </c>
      <c r="M24" s="91">
        <v>72.395833333333343</v>
      </c>
      <c r="N24" s="91">
        <v>26.238805970149251</v>
      </c>
      <c r="O24" s="248"/>
      <c r="P24" s="91">
        <f t="shared" ref="P24:P29" si="38">SUM(C24:H24)</f>
        <v>122.21728399444495</v>
      </c>
      <c r="Q24" s="92">
        <f t="shared" ref="Q24:Q29" si="39">SUM(I24:N24)</f>
        <v>182.95646238606039</v>
      </c>
      <c r="R24" s="251">
        <f t="shared" si="23"/>
        <v>1.5087891285293437E-2</v>
      </c>
      <c r="S24" s="251">
        <f t="shared" si="24"/>
        <v>2.7729078870272868E-2</v>
      </c>
      <c r="T24" s="251">
        <f t="shared" si="25"/>
        <v>2.076244143278725E-2</v>
      </c>
      <c r="U24" s="94">
        <f t="shared" ref="U24:U29" si="40">SUM(C24:N24)</f>
        <v>305.17374638050535</v>
      </c>
      <c r="V24" s="79"/>
      <c r="W24" s="252">
        <f t="shared" si="26"/>
        <v>22.680809316438268</v>
      </c>
      <c r="X24" s="252">
        <f t="shared" si="27"/>
        <v>17.280340619344308</v>
      </c>
      <c r="Y24" s="252">
        <f t="shared" si="28"/>
        <v>18.377964119889782</v>
      </c>
      <c r="Z24" s="252">
        <f t="shared" si="29"/>
        <v>18.740585854400404</v>
      </c>
      <c r="AA24" s="252">
        <f t="shared" si="30"/>
        <v>20.778073440337927</v>
      </c>
      <c r="AB24" s="252">
        <f t="shared" si="31"/>
        <v>21.417045593612574</v>
      </c>
      <c r="AC24" s="252">
        <f t="shared" si="32"/>
        <v>19.790761481384965</v>
      </c>
      <c r="AD24" s="252">
        <f t="shared" si="33"/>
        <v>13.377861742935526</v>
      </c>
      <c r="AE24" s="252">
        <f t="shared" si="34"/>
        <v>24.496572377505142</v>
      </c>
      <c r="AF24" s="252">
        <f t="shared" si="35"/>
        <v>30.262043370780148</v>
      </c>
      <c r="AG24" s="252">
        <f t="shared" si="36"/>
        <v>65.968964946065157</v>
      </c>
      <c r="AH24" s="252">
        <f t="shared" si="37"/>
        <v>30.801528613587504</v>
      </c>
      <c r="AI24" s="95"/>
      <c r="AJ24" s="91">
        <f t="shared" ref="AJ24:AJ29" si="41">SUM(W24:AB24)</f>
        <v>119.27481894402327</v>
      </c>
      <c r="AK24" s="92">
        <f t="shared" ref="AK24:AK29" si="42">SUM(AC24:AH24)</f>
        <v>184.69773253225844</v>
      </c>
      <c r="AL24" s="94">
        <f t="shared" ref="AL24:AL29" si="43">SUM(W24:AH24)</f>
        <v>303.97255147628169</v>
      </c>
      <c r="AM24" s="96"/>
      <c r="AN24" s="61"/>
      <c r="AO24" s="61"/>
      <c r="AP24" s="61"/>
      <c r="AQ24" s="61"/>
      <c r="AR24" s="61"/>
      <c r="AS24" s="61"/>
      <c r="AT24" s="61"/>
      <c r="AU24" s="61"/>
    </row>
    <row r="25" spans="2:47" ht="15.75" customHeight="1">
      <c r="B25" s="79" t="s">
        <v>166</v>
      </c>
      <c r="C25" s="91">
        <v>65.333333333333329</v>
      </c>
      <c r="D25" s="91">
        <v>153.58490566037736</v>
      </c>
      <c r="E25" s="91">
        <v>220.35555555555553</v>
      </c>
      <c r="F25" s="91">
        <v>180.66101694915255</v>
      </c>
      <c r="G25" s="91">
        <v>166.87850467289718</v>
      </c>
      <c r="H25" s="91">
        <v>245.60975609756099</v>
      </c>
      <c r="I25" s="91">
        <v>150.11428571428573</v>
      </c>
      <c r="J25" s="91">
        <v>52.36</v>
      </c>
      <c r="K25" s="91">
        <v>128.04545454545456</v>
      </c>
      <c r="L25" s="91">
        <v>288.58490566037733</v>
      </c>
      <c r="M25" s="91">
        <v>453.68055555555554</v>
      </c>
      <c r="N25" s="91">
        <v>323.61194029850748</v>
      </c>
      <c r="O25" s="248"/>
      <c r="P25" s="91">
        <f t="shared" si="38"/>
        <v>1032.4230722688769</v>
      </c>
      <c r="Q25" s="92">
        <f t="shared" si="39"/>
        <v>1396.3971417741807</v>
      </c>
      <c r="R25" s="251">
        <f t="shared" si="23"/>
        <v>0.12745404386117334</v>
      </c>
      <c r="S25" s="251">
        <f t="shared" si="24"/>
        <v>0.21163945768023351</v>
      </c>
      <c r="T25" s="251">
        <f t="shared" si="25"/>
        <v>0.16524435028550066</v>
      </c>
      <c r="U25" s="94">
        <f t="shared" si="40"/>
        <v>2428.8202140430571</v>
      </c>
      <c r="V25" s="79"/>
      <c r="W25" s="252">
        <f t="shared" si="26"/>
        <v>180.51227797929729</v>
      </c>
      <c r="X25" s="252">
        <f t="shared" si="27"/>
        <v>137.53096752130674</v>
      </c>
      <c r="Y25" s="252">
        <f t="shared" si="28"/>
        <v>146.26674567113989</v>
      </c>
      <c r="Z25" s="252">
        <f t="shared" si="29"/>
        <v>149.15278357340623</v>
      </c>
      <c r="AA25" s="252">
        <f t="shared" si="30"/>
        <v>165.36876248142335</v>
      </c>
      <c r="AB25" s="252">
        <f t="shared" si="31"/>
        <v>170.45422117664495</v>
      </c>
      <c r="AC25" s="252">
        <f t="shared" si="32"/>
        <v>157.51093305830696</v>
      </c>
      <c r="AD25" s="252">
        <f t="shared" si="33"/>
        <v>106.4718751442071</v>
      </c>
      <c r="AE25" s="252">
        <f t="shared" si="34"/>
        <v>194.96359326751715</v>
      </c>
      <c r="AF25" s="252">
        <f t="shared" si="35"/>
        <v>240.84988806852948</v>
      </c>
      <c r="AG25" s="252">
        <f t="shared" si="36"/>
        <v>525.03453347760285</v>
      </c>
      <c r="AH25" s="252">
        <f t="shared" si="37"/>
        <v>245.14354923188091</v>
      </c>
      <c r="AI25" s="95"/>
      <c r="AJ25" s="91">
        <f t="shared" si="41"/>
        <v>949.28575840321855</v>
      </c>
      <c r="AK25" s="92">
        <f t="shared" si="42"/>
        <v>1469.9743722480443</v>
      </c>
      <c r="AL25" s="94">
        <f t="shared" si="43"/>
        <v>2419.2601306512634</v>
      </c>
      <c r="AM25" s="96"/>
      <c r="AN25" s="61"/>
      <c r="AO25" s="61"/>
      <c r="AP25" s="61"/>
      <c r="AQ25" s="61"/>
      <c r="AR25" s="61"/>
      <c r="AS25" s="61"/>
      <c r="AT25" s="61"/>
      <c r="AU25" s="61"/>
    </row>
    <row r="26" spans="2:47" ht="15.75" customHeight="1">
      <c r="B26" s="79" t="s">
        <v>167</v>
      </c>
      <c r="C26" s="91">
        <v>275</v>
      </c>
      <c r="D26" s="91">
        <v>602.07765754296634</v>
      </c>
      <c r="E26" s="91">
        <v>1196.1784548422199</v>
      </c>
      <c r="F26" s="91">
        <v>323.67281475541301</v>
      </c>
      <c r="G26" s="91">
        <v>347.86956521739131</v>
      </c>
      <c r="H26" s="91">
        <v>338.29415011037531</v>
      </c>
      <c r="I26" s="91">
        <v>276.69491525423729</v>
      </c>
      <c r="J26" s="91">
        <v>217.74672489082968</v>
      </c>
      <c r="K26" s="91">
        <v>337.42911153119093</v>
      </c>
      <c r="L26" s="91">
        <v>360.84888888888889</v>
      </c>
      <c r="M26" s="91">
        <v>933.9283489096573</v>
      </c>
      <c r="N26" s="91">
        <v>222.88161993769469</v>
      </c>
      <c r="O26" s="248"/>
      <c r="P26" s="91">
        <f t="shared" si="38"/>
        <v>3083.0926424683666</v>
      </c>
      <c r="Q26" s="92">
        <f t="shared" si="39"/>
        <v>2349.5296094124988</v>
      </c>
      <c r="R26" s="251">
        <f t="shared" si="23"/>
        <v>0.38061201404348916</v>
      </c>
      <c r="S26" s="251">
        <f t="shared" si="24"/>
        <v>0.35609724301492857</v>
      </c>
      <c r="T26" s="251">
        <v>0.4</v>
      </c>
      <c r="U26" s="94">
        <f t="shared" si="40"/>
        <v>5432.6222518808645</v>
      </c>
      <c r="V26" s="79"/>
      <c r="W26" s="252">
        <f t="shared" si="26"/>
        <v>436.95842591269843</v>
      </c>
      <c r="X26" s="252">
        <f t="shared" si="27"/>
        <v>332.91538811145512</v>
      </c>
      <c r="Y26" s="252">
        <f t="shared" si="28"/>
        <v>354.06171628482974</v>
      </c>
      <c r="Z26" s="252">
        <f t="shared" si="29"/>
        <v>361.04782599999999</v>
      </c>
      <c r="AA26" s="252">
        <f t="shared" si="30"/>
        <v>400.30115933333332</v>
      </c>
      <c r="AB26" s="252">
        <f t="shared" si="31"/>
        <v>412.61131380804954</v>
      </c>
      <c r="AC26" s="252">
        <f t="shared" si="32"/>
        <v>381.28004445820437</v>
      </c>
      <c r="AD26" s="252">
        <f t="shared" si="33"/>
        <v>257.73195866666669</v>
      </c>
      <c r="AE26" s="252">
        <f t="shared" si="34"/>
        <v>471.94011276190469</v>
      </c>
      <c r="AF26" s="252">
        <f t="shared" si="35"/>
        <v>583.01512312500006</v>
      </c>
      <c r="AG26" s="252">
        <f t="shared" si="36"/>
        <v>1270.9288579500001</v>
      </c>
      <c r="AH26" s="252">
        <f t="shared" si="37"/>
        <v>593.40860685000007</v>
      </c>
      <c r="AI26" s="95"/>
      <c r="AJ26" s="91">
        <f t="shared" si="41"/>
        <v>2297.8958294503664</v>
      </c>
      <c r="AK26" s="92">
        <f t="shared" si="42"/>
        <v>3558.3047038117757</v>
      </c>
      <c r="AL26" s="94">
        <f t="shared" si="43"/>
        <v>5856.2005332621429</v>
      </c>
      <c r="AM26" s="96"/>
      <c r="AN26" s="61"/>
      <c r="AO26" s="61"/>
      <c r="AP26" s="61"/>
      <c r="AQ26" s="61"/>
      <c r="AR26" s="61"/>
      <c r="AS26" s="61"/>
      <c r="AT26" s="61"/>
      <c r="AU26" s="61"/>
    </row>
    <row r="27" spans="2:47" ht="15.75" customHeight="1">
      <c r="B27" s="79" t="s">
        <v>168</v>
      </c>
      <c r="C27" s="91">
        <v>0</v>
      </c>
      <c r="D27" s="91">
        <v>441.92234245703372</v>
      </c>
      <c r="E27" s="91">
        <v>1132.8215451577801</v>
      </c>
      <c r="F27" s="91">
        <v>429.63712910986362</v>
      </c>
      <c r="G27" s="91">
        <v>261.61619190404798</v>
      </c>
      <c r="H27" s="91">
        <v>312.91114790286974</v>
      </c>
      <c r="I27" s="91">
        <v>124.57627118644068</v>
      </c>
      <c r="J27" s="91">
        <v>120.52401746724891</v>
      </c>
      <c r="K27" s="91">
        <v>93.580340264650275</v>
      </c>
      <c r="L27" s="91">
        <v>235.59555555555553</v>
      </c>
      <c r="M27" s="91">
        <v>604.77881619937693</v>
      </c>
      <c r="N27" s="91">
        <v>144.33021806853583</v>
      </c>
      <c r="O27" s="248"/>
      <c r="P27" s="91">
        <f t="shared" si="38"/>
        <v>2578.908356531595</v>
      </c>
      <c r="Q27" s="92">
        <f t="shared" si="39"/>
        <v>1323.3852187418083</v>
      </c>
      <c r="R27" s="251">
        <f t="shared" si="23"/>
        <v>0.31836977264076688</v>
      </c>
      <c r="S27" s="251">
        <f t="shared" si="24"/>
        <v>0.20057369183719434</v>
      </c>
      <c r="T27" s="251">
        <f t="shared" si="25"/>
        <v>0.26549184774608675</v>
      </c>
      <c r="U27" s="94">
        <f t="shared" si="40"/>
        <v>3902.2935752734038</v>
      </c>
      <c r="V27" s="79"/>
      <c r="W27" s="252">
        <f t="shared" si="26"/>
        <v>290.02224970945963</v>
      </c>
      <c r="X27" s="252">
        <f t="shared" si="27"/>
        <v>220.96580383203954</v>
      </c>
      <c r="Y27" s="252">
        <f t="shared" si="28"/>
        <v>235.00124818152543</v>
      </c>
      <c r="Z27" s="252">
        <f t="shared" si="29"/>
        <v>239.63813612361903</v>
      </c>
      <c r="AA27" s="252">
        <f t="shared" si="30"/>
        <v>265.69173611576838</v>
      </c>
      <c r="AB27" s="252">
        <f t="shared" si="31"/>
        <v>273.86235025959877</v>
      </c>
      <c r="AC27" s="252">
        <f t="shared" si="32"/>
        <v>253.06685877979695</v>
      </c>
      <c r="AD27" s="252">
        <f t="shared" si="33"/>
        <v>171.06433482407846</v>
      </c>
      <c r="AE27" s="252">
        <f t="shared" si="34"/>
        <v>313.24063140663651</v>
      </c>
      <c r="AF27" s="252">
        <f t="shared" si="35"/>
        <v>386.96440575592129</v>
      </c>
      <c r="AG27" s="252">
        <f t="shared" si="36"/>
        <v>843.55312712742329</v>
      </c>
      <c r="AH27" s="252">
        <f t="shared" si="37"/>
        <v>393.86286875259418</v>
      </c>
      <c r="AI27" s="95"/>
      <c r="AJ27" s="91">
        <f t="shared" si="41"/>
        <v>1525.1815242220107</v>
      </c>
      <c r="AK27" s="92">
        <f t="shared" si="42"/>
        <v>2361.7522266464507</v>
      </c>
      <c r="AL27" s="94">
        <f t="shared" si="43"/>
        <v>3886.9337508684612</v>
      </c>
      <c r="AM27" s="96"/>
      <c r="AN27" s="61"/>
      <c r="AO27" s="61"/>
      <c r="AP27" s="61"/>
      <c r="AQ27" s="61"/>
      <c r="AR27" s="61"/>
      <c r="AS27" s="61"/>
      <c r="AT27" s="61"/>
      <c r="AU27" s="61"/>
    </row>
    <row r="28" spans="2:47" ht="15.75" customHeight="1">
      <c r="B28" s="79" t="s">
        <v>169</v>
      </c>
      <c r="C28" s="91">
        <v>0</v>
      </c>
      <c r="D28" s="91">
        <v>0</v>
      </c>
      <c r="E28" s="91">
        <v>0</v>
      </c>
      <c r="F28" s="91">
        <v>129.85445068163591</v>
      </c>
      <c r="G28" s="91">
        <v>89.109445277361317</v>
      </c>
      <c r="H28" s="91">
        <v>61.7069536423841</v>
      </c>
      <c r="I28" s="91">
        <v>25.847457627118644</v>
      </c>
      <c r="J28" s="91">
        <v>12.052401746724891</v>
      </c>
      <c r="K28" s="91">
        <v>11.697542533081284</v>
      </c>
      <c r="L28" s="91">
        <v>33.550000000000004</v>
      </c>
      <c r="M28" s="91">
        <v>56.196261682242984</v>
      </c>
      <c r="N28" s="91">
        <v>13.411214953271026</v>
      </c>
      <c r="O28" s="248"/>
      <c r="P28" s="91">
        <f t="shared" si="38"/>
        <v>280.67084960138135</v>
      </c>
      <c r="Q28" s="92">
        <f t="shared" si="39"/>
        <v>152.7548785424388</v>
      </c>
      <c r="R28" s="251">
        <f t="shared" si="23"/>
        <v>3.464920122041875E-2</v>
      </c>
      <c r="S28" s="251">
        <f t="shared" si="24"/>
        <v>2.3151694231954956E-2</v>
      </c>
      <c r="T28" s="251">
        <f t="shared" si="25"/>
        <v>2.9488042149041483E-2</v>
      </c>
      <c r="U28" s="94">
        <f t="shared" si="40"/>
        <v>433.42572814382027</v>
      </c>
      <c r="V28" s="79"/>
      <c r="W28" s="252">
        <f t="shared" si="26"/>
        <v>32.212621201731174</v>
      </c>
      <c r="X28" s="252">
        <f t="shared" si="27"/>
        <v>24.542557491737728</v>
      </c>
      <c r="Y28" s="252">
        <f t="shared" si="28"/>
        <v>26.101467032922564</v>
      </c>
      <c r="Z28" s="252">
        <f t="shared" si="29"/>
        <v>26.616483777269487</v>
      </c>
      <c r="AA28" s="252">
        <f t="shared" si="30"/>
        <v>29.510243646828759</v>
      </c>
      <c r="AB28" s="252">
        <f t="shared" si="31"/>
        <v>30.417749531857869</v>
      </c>
      <c r="AC28" s="252">
        <f t="shared" si="32"/>
        <v>28.108005053929851</v>
      </c>
      <c r="AD28" s="252">
        <f t="shared" si="33"/>
        <v>19.00002715079421</v>
      </c>
      <c r="AE28" s="252">
        <f t="shared" si="34"/>
        <v>34.791474842366085</v>
      </c>
      <c r="AF28" s="252">
        <f t="shared" si="35"/>
        <v>42.979936310596521</v>
      </c>
      <c r="AG28" s="252">
        <f t="shared" si="36"/>
        <v>93.693009329156894</v>
      </c>
      <c r="AH28" s="252">
        <f t="shared" si="37"/>
        <v>43.746145025991972</v>
      </c>
      <c r="AI28" s="95"/>
      <c r="AJ28" s="91">
        <f t="shared" si="41"/>
        <v>169.40112268234759</v>
      </c>
      <c r="AK28" s="92">
        <f t="shared" si="42"/>
        <v>262.31859771283553</v>
      </c>
      <c r="AL28" s="94">
        <f t="shared" si="43"/>
        <v>431.71972039518312</v>
      </c>
      <c r="AM28" s="96"/>
      <c r="AN28" s="61"/>
      <c r="AO28" s="61"/>
      <c r="AP28" s="61"/>
      <c r="AQ28" s="61"/>
      <c r="AR28" s="61"/>
      <c r="AS28" s="61"/>
      <c r="AT28" s="61"/>
      <c r="AU28" s="61"/>
    </row>
    <row r="29" spans="2:47" ht="15.75" customHeight="1">
      <c r="B29" s="79" t="s">
        <v>170</v>
      </c>
      <c r="C29" s="91">
        <v>0</v>
      </c>
      <c r="D29" s="91">
        <v>0</v>
      </c>
      <c r="E29" s="91">
        <v>0</v>
      </c>
      <c r="F29" s="91">
        <v>77.83560545308741</v>
      </c>
      <c r="G29" s="91">
        <v>63.404797601199398</v>
      </c>
      <c r="H29" s="91">
        <v>80.087748344370866</v>
      </c>
      <c r="I29" s="91">
        <v>22.881355932203391</v>
      </c>
      <c r="J29" s="91">
        <v>17.676855895196507</v>
      </c>
      <c r="K29" s="91">
        <v>33.293005671077509</v>
      </c>
      <c r="L29" s="91">
        <v>41.005555555555553</v>
      </c>
      <c r="M29" s="91">
        <v>123.09657320872273</v>
      </c>
      <c r="N29" s="91">
        <v>29.37694704049844</v>
      </c>
      <c r="O29" s="248"/>
      <c r="P29" s="91">
        <f t="shared" si="38"/>
        <v>221.32815139865767</v>
      </c>
      <c r="Q29" s="92">
        <f t="shared" si="39"/>
        <v>267.33029330325417</v>
      </c>
      <c r="R29" s="251">
        <f t="shared" si="23"/>
        <v>2.7323263760547122E-2</v>
      </c>
      <c r="S29" s="251">
        <f t="shared" si="24"/>
        <v>4.0516867733139464E-2</v>
      </c>
      <c r="T29" s="251">
        <f t="shared" si="25"/>
        <v>3.3245790173936363E-2</v>
      </c>
      <c r="U29" s="94">
        <f t="shared" si="40"/>
        <v>488.65844470191183</v>
      </c>
      <c r="V29" s="79"/>
      <c r="W29" s="252">
        <f t="shared" si="26"/>
        <v>36.317570356567721</v>
      </c>
      <c r="X29" s="252">
        <f t="shared" si="27"/>
        <v>27.670087847070061</v>
      </c>
      <c r="Y29" s="252">
        <f t="shared" si="28"/>
        <v>29.427653820573088</v>
      </c>
      <c r="Z29" s="252">
        <f t="shared" si="29"/>
        <v>30.008300664879712</v>
      </c>
      <c r="AA29" s="252">
        <f t="shared" si="30"/>
        <v>33.270820873948665</v>
      </c>
      <c r="AB29" s="252">
        <f t="shared" si="31"/>
        <v>34.293972905636565</v>
      </c>
      <c r="AC29" s="252">
        <f t="shared" si="32"/>
        <v>31.689890888916473</v>
      </c>
      <c r="AD29" s="252">
        <f t="shared" si="33"/>
        <v>21.421256547374096</v>
      </c>
      <c r="AE29" s="252">
        <f t="shared" si="34"/>
        <v>39.225054908865374</v>
      </c>
      <c r="AF29" s="252">
        <f t="shared" si="35"/>
        <v>48.456996129113556</v>
      </c>
      <c r="AG29" s="252">
        <f t="shared" si="36"/>
        <v>105.63258534351569</v>
      </c>
      <c r="AH29" s="252">
        <f t="shared" si="37"/>
        <v>49.320845076857495</v>
      </c>
      <c r="AI29" s="95"/>
      <c r="AJ29" s="91">
        <f t="shared" si="41"/>
        <v>190.98840646867581</v>
      </c>
      <c r="AK29" s="92">
        <f t="shared" si="42"/>
        <v>295.7466288946427</v>
      </c>
      <c r="AL29" s="94">
        <f t="shared" si="43"/>
        <v>486.7350353633185</v>
      </c>
      <c r="AM29" s="96"/>
      <c r="AN29" s="61"/>
      <c r="AO29" s="61"/>
      <c r="AP29" s="61"/>
      <c r="AQ29" s="61"/>
      <c r="AR29" s="61"/>
      <c r="AS29" s="61"/>
      <c r="AT29" s="61"/>
      <c r="AU29" s="61"/>
    </row>
    <row r="30" spans="2:47" ht="15.75" customHeight="1">
      <c r="B30" s="74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74"/>
      <c r="O30" s="248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61"/>
      <c r="AN30" s="61"/>
      <c r="AO30" s="61"/>
      <c r="AP30" s="61"/>
      <c r="AQ30" s="61"/>
      <c r="AR30" s="61"/>
      <c r="AS30" s="61"/>
      <c r="AT30" s="61"/>
      <c r="AU30" s="61"/>
    </row>
    <row r="31" spans="2:47" ht="15.75" customHeight="1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248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61"/>
      <c r="AN31" s="61"/>
      <c r="AO31" s="61"/>
      <c r="AP31" s="61"/>
      <c r="AQ31" s="61"/>
      <c r="AR31" s="61"/>
      <c r="AS31" s="61"/>
      <c r="AT31" s="61"/>
      <c r="AU31" s="61"/>
    </row>
    <row r="32" spans="2:47" ht="15.75" customHeight="1">
      <c r="B32" s="74" t="s">
        <v>19</v>
      </c>
      <c r="C32" s="97">
        <f t="shared" ref="C32:N32" si="44">C9/C21</f>
        <v>78.246445497630333</v>
      </c>
      <c r="D32" s="97">
        <f t="shared" si="44"/>
        <v>54.583401139137507</v>
      </c>
      <c r="E32" s="97">
        <f t="shared" si="44"/>
        <v>46.555968397030831</v>
      </c>
      <c r="F32" s="97">
        <f t="shared" si="44"/>
        <v>82.48005801305294</v>
      </c>
      <c r="G32" s="97">
        <f t="shared" si="44"/>
        <v>138.87238095238095</v>
      </c>
      <c r="H32" s="97">
        <f t="shared" si="44"/>
        <v>90.61829176114891</v>
      </c>
      <c r="I32" s="97">
        <f t="shared" si="44"/>
        <v>67.354037267080756</v>
      </c>
      <c r="J32" s="97">
        <f t="shared" si="44"/>
        <v>63.728952772073924</v>
      </c>
      <c r="K32" s="97">
        <f t="shared" si="44"/>
        <v>82.102661596958157</v>
      </c>
      <c r="L32" s="97">
        <f t="shared" si="44"/>
        <v>86.879963898916969</v>
      </c>
      <c r="M32" s="97">
        <f t="shared" si="44"/>
        <v>62.725652714463315</v>
      </c>
      <c r="N32" s="97">
        <f t="shared" si="44"/>
        <v>94.783132530120483</v>
      </c>
      <c r="O32" s="248"/>
      <c r="P32" s="75">
        <f t="shared" ref="P32:Q36" si="45">P9/P21</f>
        <v>74.703510956995032</v>
      </c>
      <c r="Q32" s="76">
        <f t="shared" si="45"/>
        <v>74.576993028190358</v>
      </c>
      <c r="R32" s="76"/>
      <c r="S32" s="76"/>
      <c r="T32" s="76"/>
      <c r="U32" s="99">
        <f>U9/U21</f>
        <v>74.646717849011068</v>
      </c>
      <c r="V32" s="74"/>
      <c r="W32" s="76">
        <f t="shared" ref="W32:AH32" si="46">W9/W21</f>
        <v>83.945850279423624</v>
      </c>
      <c r="X32" s="76">
        <f t="shared" si="46"/>
        <v>99.34533572514664</v>
      </c>
      <c r="Y32" s="76">
        <f t="shared" si="46"/>
        <v>98.762078450384124</v>
      </c>
      <c r="Z32" s="76">
        <f t="shared" si="46"/>
        <v>103.52720140738363</v>
      </c>
      <c r="AA32" s="76">
        <f t="shared" si="46"/>
        <v>102.54547118565344</v>
      </c>
      <c r="AB32" s="76">
        <f t="shared" si="46"/>
        <v>97.278648589535962</v>
      </c>
      <c r="AC32" s="76">
        <f t="shared" si="46"/>
        <v>93.837250388597212</v>
      </c>
      <c r="AD32" s="76">
        <f t="shared" si="46"/>
        <v>55.393052820680076</v>
      </c>
      <c r="AE32" s="76">
        <f t="shared" si="46"/>
        <v>75.811040495407624</v>
      </c>
      <c r="AF32" s="76">
        <f t="shared" si="46"/>
        <v>82.846334398849223</v>
      </c>
      <c r="AG32" s="76">
        <f t="shared" si="46"/>
        <v>51.305703296938823</v>
      </c>
      <c r="AH32" s="76">
        <f t="shared" si="46"/>
        <v>92.536532134223791</v>
      </c>
      <c r="AI32" s="98"/>
      <c r="AJ32" s="75">
        <f t="shared" ref="AJ32:AL40" si="47">AJ9/AJ21</f>
        <v>97.170602225866901</v>
      </c>
      <c r="AK32" s="76">
        <f t="shared" si="47"/>
        <v>71.453026799991875</v>
      </c>
      <c r="AL32" s="99">
        <f t="shared" si="47"/>
        <v>81.544264109752234</v>
      </c>
      <c r="AM32" s="100"/>
      <c r="AN32" s="61"/>
      <c r="AO32" s="61"/>
      <c r="AP32" s="61"/>
      <c r="AQ32" s="61"/>
      <c r="AR32" s="61"/>
      <c r="AS32" s="61"/>
      <c r="AT32" s="61"/>
      <c r="AU32" s="61"/>
    </row>
    <row r="33" spans="2:47" ht="15.75" customHeight="1">
      <c r="B33" s="79" t="s">
        <v>171</v>
      </c>
      <c r="C33" s="101">
        <f t="shared" ref="C33:N33" si="48">C10/C22</f>
        <v>129.91836734693879</v>
      </c>
      <c r="D33" s="101">
        <f t="shared" si="48"/>
        <v>2545.4324324324325</v>
      </c>
      <c r="E33" s="101">
        <f t="shared" si="48"/>
        <v>361.93291505791507</v>
      </c>
      <c r="F33" s="101">
        <f t="shared" si="48"/>
        <v>219.09191639385546</v>
      </c>
      <c r="G33" s="101">
        <f t="shared" si="48"/>
        <v>838.45563271604942</v>
      </c>
      <c r="H33" s="101">
        <f t="shared" si="48"/>
        <v>283.04416809605488</v>
      </c>
      <c r="I33" s="101">
        <f t="shared" si="48"/>
        <v>175.86267605633805</v>
      </c>
      <c r="J33" s="101" t="e">
        <f t="shared" si="48"/>
        <v>#DIV/0!</v>
      </c>
      <c r="K33" s="101">
        <f t="shared" si="48"/>
        <v>148.48744865358285</v>
      </c>
      <c r="L33" s="101">
        <f t="shared" si="48"/>
        <v>166.58009153318076</v>
      </c>
      <c r="M33" s="101">
        <f t="shared" si="48"/>
        <v>198.87194244604316</v>
      </c>
      <c r="N33" s="101">
        <f t="shared" si="48"/>
        <v>308.01706484641642</v>
      </c>
      <c r="O33" s="248"/>
      <c r="P33" s="80">
        <f t="shared" si="45"/>
        <v>351.02689608006011</v>
      </c>
      <c r="Q33" s="81">
        <f t="shared" si="45"/>
        <v>205.30270587413332</v>
      </c>
      <c r="R33" s="81"/>
      <c r="S33" s="81"/>
      <c r="T33" s="81"/>
      <c r="U33" s="102">
        <f>U10/U22</f>
        <v>271.35112561451189</v>
      </c>
      <c r="V33" s="79"/>
      <c r="W33" s="81">
        <f t="shared" ref="W33:AH33" si="49">W10/W22</f>
        <v>305.15475590050556</v>
      </c>
      <c r="X33" s="81">
        <f t="shared" si="49"/>
        <v>361.13401165336376</v>
      </c>
      <c r="Y33" s="81">
        <f t="shared" si="49"/>
        <v>359.01379093113735</v>
      </c>
      <c r="Z33" s="81">
        <f t="shared" si="49"/>
        <v>376.33567078510202</v>
      </c>
      <c r="AA33" s="81">
        <f t="shared" si="49"/>
        <v>372.76694588476397</v>
      </c>
      <c r="AB33" s="81">
        <f t="shared" si="49"/>
        <v>353.6213185745425</v>
      </c>
      <c r="AC33" s="81">
        <f t="shared" si="49"/>
        <v>341.11136097129804</v>
      </c>
      <c r="AD33" s="81">
        <f t="shared" si="49"/>
        <v>201.36139494463768</v>
      </c>
      <c r="AE33" s="81">
        <f t="shared" si="49"/>
        <v>275.58359918846367</v>
      </c>
      <c r="AF33" s="81">
        <f t="shared" si="49"/>
        <v>301.1578638679801</v>
      </c>
      <c r="AG33" s="81">
        <f t="shared" si="49"/>
        <v>186.50331509857486</v>
      </c>
      <c r="AH33" s="81">
        <f t="shared" si="49"/>
        <v>336.3830705306454</v>
      </c>
      <c r="AI33" s="77"/>
      <c r="AJ33" s="80">
        <f t="shared" si="47"/>
        <v>353.22855512498995</v>
      </c>
      <c r="AK33" s="81">
        <f t="shared" si="47"/>
        <v>259.74161770862844</v>
      </c>
      <c r="AL33" s="102">
        <f t="shared" si="47"/>
        <v>296.42465859443621</v>
      </c>
      <c r="AM33" s="61"/>
      <c r="AN33" s="61"/>
      <c r="AO33" s="61"/>
      <c r="AP33" s="61"/>
      <c r="AQ33" s="61"/>
      <c r="AR33" s="61"/>
      <c r="AS33" s="61"/>
      <c r="AT33" s="61"/>
      <c r="AU33" s="61"/>
    </row>
    <row r="34" spans="2:47" ht="15.75" customHeight="1">
      <c r="B34" s="79" t="s">
        <v>172</v>
      </c>
      <c r="C34" s="101">
        <f t="shared" ref="C34:N34" si="50">C11/C23</f>
        <v>103.4387755102041</v>
      </c>
      <c r="D34" s="101">
        <f t="shared" si="50"/>
        <v>289.55598455598459</v>
      </c>
      <c r="E34" s="101">
        <f t="shared" si="50"/>
        <v>146.70884520884522</v>
      </c>
      <c r="F34" s="101">
        <f t="shared" si="50"/>
        <v>79.866144001844688</v>
      </c>
      <c r="G34" s="101">
        <f t="shared" si="50"/>
        <v>200.27824074074078</v>
      </c>
      <c r="H34" s="101">
        <f t="shared" si="50"/>
        <v>72.910377358490564</v>
      </c>
      <c r="I34" s="101">
        <f t="shared" si="50"/>
        <v>41.183719966859982</v>
      </c>
      <c r="J34" s="101">
        <f t="shared" si="50"/>
        <v>45.588235294117645</v>
      </c>
      <c r="K34" s="101">
        <f t="shared" si="50"/>
        <v>55.171033013844514</v>
      </c>
      <c r="L34" s="101">
        <f t="shared" si="50"/>
        <v>151.56717881660674</v>
      </c>
      <c r="M34" s="101">
        <f t="shared" si="50"/>
        <v>167.64451967837493</v>
      </c>
      <c r="N34" s="101">
        <f t="shared" si="50"/>
        <v>42.651728743136964</v>
      </c>
      <c r="O34" s="248"/>
      <c r="P34" s="80">
        <f t="shared" si="45"/>
        <v>116.95388822944891</v>
      </c>
      <c r="Q34" s="81">
        <f t="shared" si="45"/>
        <v>70.231672193747357</v>
      </c>
      <c r="R34" s="81"/>
      <c r="S34" s="81"/>
      <c r="T34" s="81"/>
      <c r="U34" s="102">
        <f>U11/U23</f>
        <v>91.714808344194765</v>
      </c>
      <c r="V34" s="79"/>
      <c r="W34" s="81">
        <f t="shared" ref="W34:AH34" si="51">W11/W23</f>
        <v>103.14020216187983</v>
      </c>
      <c r="X34" s="81">
        <f t="shared" si="51"/>
        <v>122.06080439265047</v>
      </c>
      <c r="Y34" s="81">
        <f t="shared" si="51"/>
        <v>121.34418441642586</v>
      </c>
      <c r="Z34" s="81">
        <f t="shared" si="51"/>
        <v>127.19886029945293</v>
      </c>
      <c r="AA34" s="81">
        <f t="shared" si="51"/>
        <v>125.99265590458845</v>
      </c>
      <c r="AB34" s="81">
        <f t="shared" si="51"/>
        <v>119.52156596379757</v>
      </c>
      <c r="AC34" s="81">
        <f t="shared" si="51"/>
        <v>115.29328660296116</v>
      </c>
      <c r="AD34" s="81">
        <f t="shared" si="51"/>
        <v>68.058762252945272</v>
      </c>
      <c r="AE34" s="81">
        <f t="shared" si="51"/>
        <v>93.145355211386743</v>
      </c>
      <c r="AF34" s="81">
        <f t="shared" si="51"/>
        <v>101.78928023035897</v>
      </c>
      <c r="AG34" s="81">
        <f t="shared" si="51"/>
        <v>63.036833774268956</v>
      </c>
      <c r="AH34" s="81">
        <f t="shared" si="51"/>
        <v>113.69515705557831</v>
      </c>
      <c r="AI34" s="77"/>
      <c r="AJ34" s="80">
        <f t="shared" si="47"/>
        <v>119.38881462761373</v>
      </c>
      <c r="AK34" s="81">
        <f t="shared" si="47"/>
        <v>87.790874768657872</v>
      </c>
      <c r="AL34" s="102">
        <f t="shared" si="47"/>
        <v>100.18948950336747</v>
      </c>
      <c r="AM34" s="61"/>
      <c r="AN34" s="61"/>
      <c r="AO34" s="61"/>
      <c r="AP34" s="61"/>
      <c r="AQ34" s="61"/>
      <c r="AR34" s="61"/>
      <c r="AS34" s="61"/>
      <c r="AT34" s="61"/>
      <c r="AU34" s="61"/>
    </row>
    <row r="35" spans="2:47" ht="15.75" customHeight="1">
      <c r="B35" s="79" t="s">
        <v>173</v>
      </c>
      <c r="C35" s="101">
        <f t="shared" ref="C35:N35" si="52">C12/C24</f>
        <v>146.14285714285717</v>
      </c>
      <c r="D35" s="101">
        <f t="shared" si="52"/>
        <v>1431.8594594594595</v>
      </c>
      <c r="E35" s="101">
        <f t="shared" si="52"/>
        <v>814.34362934362935</v>
      </c>
      <c r="F35" s="101">
        <f t="shared" si="52"/>
        <v>360.25395656974604</v>
      </c>
      <c r="G35" s="101">
        <f t="shared" si="52"/>
        <v>88.237847222222229</v>
      </c>
      <c r="H35" s="101">
        <f t="shared" si="52"/>
        <v>175.13962264150942</v>
      </c>
      <c r="I35" s="101">
        <f t="shared" si="52"/>
        <v>152.17226435536293</v>
      </c>
      <c r="J35" s="101">
        <f t="shared" si="52"/>
        <v>418.69747899159665</v>
      </c>
      <c r="K35" s="101">
        <f t="shared" si="52"/>
        <v>146.16293929712458</v>
      </c>
      <c r="L35" s="101">
        <f t="shared" si="52"/>
        <v>249.88024408848204</v>
      </c>
      <c r="M35" s="101">
        <f t="shared" si="52"/>
        <v>134.23424460431653</v>
      </c>
      <c r="N35" s="101">
        <f t="shared" si="52"/>
        <v>230.99374288964736</v>
      </c>
      <c r="O35" s="248"/>
      <c r="P35" s="80">
        <f t="shared" si="45"/>
        <v>290.75265656873165</v>
      </c>
      <c r="Q35" s="81">
        <f t="shared" si="45"/>
        <v>175.58822236195374</v>
      </c>
      <c r="R35" s="81"/>
      <c r="S35" s="81"/>
      <c r="T35" s="81"/>
      <c r="U35" s="102">
        <f>U12/U24</f>
        <v>221.70976632976235</v>
      </c>
      <c r="V35" s="79"/>
      <c r="W35" s="81">
        <f t="shared" ref="W35:AH35" si="53">W12/W24</f>
        <v>249.32931260889717</v>
      </c>
      <c r="X35" s="81">
        <f t="shared" si="53"/>
        <v>295.06764402054483</v>
      </c>
      <c r="Y35" s="81">
        <f t="shared" si="53"/>
        <v>293.33529948050364</v>
      </c>
      <c r="Z35" s="81">
        <f t="shared" si="53"/>
        <v>307.48829009779899</v>
      </c>
      <c r="AA35" s="81">
        <f t="shared" si="53"/>
        <v>304.57243278577448</v>
      </c>
      <c r="AB35" s="81">
        <f t="shared" si="53"/>
        <v>288.92933365518115</v>
      </c>
      <c r="AC35" s="81">
        <f t="shared" si="53"/>
        <v>278.7079654160429</v>
      </c>
      <c r="AD35" s="81">
        <f t="shared" si="53"/>
        <v>164.52405612804671</v>
      </c>
      <c r="AE35" s="81">
        <f t="shared" si="53"/>
        <v>225.16794519285955</v>
      </c>
      <c r="AF35" s="81">
        <f t="shared" si="53"/>
        <v>246.06361766633998</v>
      </c>
      <c r="AG35" s="81">
        <f t="shared" si="53"/>
        <v>152.38413445527158</v>
      </c>
      <c r="AH35" s="81">
        <f t="shared" si="53"/>
        <v>274.84467512615629</v>
      </c>
      <c r="AI35" s="77"/>
      <c r="AJ35" s="80">
        <f t="shared" si="47"/>
        <v>288.60842290743324</v>
      </c>
      <c r="AK35" s="81">
        <f t="shared" si="47"/>
        <v>212.22411824487637</v>
      </c>
      <c r="AL35" s="102">
        <f t="shared" si="47"/>
        <v>242.19631167005303</v>
      </c>
      <c r="AM35" s="61"/>
      <c r="AN35" s="61"/>
      <c r="AO35" s="61"/>
      <c r="AP35" s="61"/>
      <c r="AQ35" s="61"/>
      <c r="AR35" s="61"/>
      <c r="AS35" s="61"/>
      <c r="AT35" s="61"/>
      <c r="AU35" s="61"/>
    </row>
    <row r="36" spans="2:47" ht="15.75" customHeight="1">
      <c r="B36" s="79" t="s">
        <v>174</v>
      </c>
      <c r="C36" s="101">
        <f t="shared" ref="C36:N36" si="54">C13/C25</f>
        <v>197.35714285714286</v>
      </c>
      <c r="D36" s="101">
        <f t="shared" si="54"/>
        <v>112.52407862407863</v>
      </c>
      <c r="E36" s="101">
        <f t="shared" si="54"/>
        <v>131.91407825736187</v>
      </c>
      <c r="F36" s="101">
        <f t="shared" si="54"/>
        <v>116.2121212121212</v>
      </c>
      <c r="G36" s="101">
        <f t="shared" si="54"/>
        <v>192.16375448028677</v>
      </c>
      <c r="H36" s="101">
        <f t="shared" si="54"/>
        <v>90.839225422045672</v>
      </c>
      <c r="I36" s="101">
        <f t="shared" si="54"/>
        <v>78.700038066235237</v>
      </c>
      <c r="J36" s="101">
        <f t="shared" si="54"/>
        <v>112.03208556149733</v>
      </c>
      <c r="K36" s="101">
        <f t="shared" si="54"/>
        <v>95.622293219737301</v>
      </c>
      <c r="L36" s="101">
        <f t="shared" si="54"/>
        <v>63.049035632559665</v>
      </c>
      <c r="M36" s="101">
        <f t="shared" si="54"/>
        <v>63.05758457064136</v>
      </c>
      <c r="N36" s="101">
        <f t="shared" si="54"/>
        <v>55.137026104602896</v>
      </c>
      <c r="O36" s="248"/>
      <c r="P36" s="80">
        <f t="shared" si="45"/>
        <v>130.3903444390877</v>
      </c>
      <c r="Q36" s="81">
        <f t="shared" si="45"/>
        <v>67.724286430323744</v>
      </c>
      <c r="R36" s="81"/>
      <c r="S36" s="81"/>
      <c r="T36" s="81"/>
      <c r="U36" s="102">
        <f>U13/U25</f>
        <v>94.361862880945637</v>
      </c>
      <c r="V36" s="79"/>
      <c r="W36" s="81">
        <f t="shared" ref="W36:AH36" si="55">W13/W25</f>
        <v>106.11701414004375</v>
      </c>
      <c r="X36" s="81">
        <f t="shared" si="55"/>
        <v>125.58369902504681</v>
      </c>
      <c r="Y36" s="81">
        <f t="shared" si="55"/>
        <v>124.84639610575735</v>
      </c>
      <c r="Z36" s="81">
        <f t="shared" si="55"/>
        <v>130.87004847837389</v>
      </c>
      <c r="AA36" s="81">
        <f t="shared" si="55"/>
        <v>129.6290308524367</v>
      </c>
      <c r="AB36" s="81">
        <f t="shared" si="55"/>
        <v>122.97117360225769</v>
      </c>
      <c r="AC36" s="81">
        <f t="shared" si="55"/>
        <v>118.62085848441734</v>
      </c>
      <c r="AD36" s="81">
        <f t="shared" si="55"/>
        <v>70.023060697654515</v>
      </c>
      <c r="AE36" s="81">
        <f t="shared" si="55"/>
        <v>95.833697906976951</v>
      </c>
      <c r="AF36" s="81">
        <f t="shared" si="55"/>
        <v>104.72710216872247</v>
      </c>
      <c r="AG36" s="81">
        <f t="shared" si="55"/>
        <v>64.856190319161641</v>
      </c>
      <c r="AH36" s="81">
        <f t="shared" si="55"/>
        <v>116.97660404024752</v>
      </c>
      <c r="AI36" s="77"/>
      <c r="AJ36" s="80">
        <f t="shared" si="47"/>
        <v>122.83459082344149</v>
      </c>
      <c r="AK36" s="81">
        <f t="shared" si="47"/>
        <v>90.324677515860728</v>
      </c>
      <c r="AL36" s="102">
        <f t="shared" si="47"/>
        <v>103.08113860030882</v>
      </c>
      <c r="AM36" s="61"/>
      <c r="AN36" s="61"/>
      <c r="AO36" s="61"/>
      <c r="AP36" s="61"/>
      <c r="AQ36" s="61"/>
      <c r="AR36" s="61"/>
      <c r="AS36" s="61"/>
      <c r="AT36" s="61"/>
      <c r="AU36" s="61"/>
    </row>
    <row r="37" spans="2:47" ht="15.75" customHeight="1">
      <c r="B37" s="79" t="s">
        <v>175</v>
      </c>
      <c r="C37" s="101">
        <f t="shared" ref="C37:N37" si="56">(C18+C14)/C26</f>
        <v>36.785454545454549</v>
      </c>
      <c r="D37" s="101">
        <f t="shared" si="56"/>
        <v>35.178186293166881</v>
      </c>
      <c r="E37" s="101">
        <f t="shared" si="56"/>
        <v>33.209091702993206</v>
      </c>
      <c r="F37" s="101">
        <f t="shared" si="56"/>
        <v>83.309437094296612</v>
      </c>
      <c r="G37" s="101">
        <f t="shared" si="56"/>
        <v>106.76702912135983</v>
      </c>
      <c r="H37" s="101">
        <f t="shared" si="56"/>
        <v>87.02190088239756</v>
      </c>
      <c r="I37" s="101">
        <f t="shared" si="56"/>
        <v>52.209127105666155</v>
      </c>
      <c r="J37" s="101">
        <f t="shared" si="56"/>
        <v>32.941942082464301</v>
      </c>
      <c r="K37" s="101">
        <f t="shared" si="56"/>
        <v>44.370801120448178</v>
      </c>
      <c r="L37" s="101">
        <f t="shared" si="56"/>
        <v>61.654616891034721</v>
      </c>
      <c r="M37" s="101">
        <f t="shared" si="56"/>
        <v>37.456834928333407</v>
      </c>
      <c r="N37" s="101">
        <f t="shared" si="56"/>
        <v>97.895017122090991</v>
      </c>
      <c r="O37" s="248"/>
      <c r="P37" s="80">
        <f>(P18+P14)/P26</f>
        <v>55.246474807072758</v>
      </c>
      <c r="Q37" s="81">
        <f>(Q18+Q14)/Q26</f>
        <v>49.218362491254517</v>
      </c>
      <c r="R37" s="81"/>
      <c r="S37" s="81"/>
      <c r="T37" s="81"/>
      <c r="U37" s="102">
        <f>(U18+U14)/U26</f>
        <v>51.578222635116653</v>
      </c>
      <c r="V37" s="79"/>
      <c r="W37" s="81">
        <f t="shared" ref="W37:AH37" si="57">W14/W26</f>
        <v>54.564802681625352</v>
      </c>
      <c r="X37" s="81">
        <f t="shared" si="57"/>
        <v>64.574468221345313</v>
      </c>
      <c r="Y37" s="81">
        <f t="shared" si="57"/>
        <v>64.195350992749667</v>
      </c>
      <c r="Z37" s="81">
        <f t="shared" si="57"/>
        <v>67.292680914799362</v>
      </c>
      <c r="AA37" s="81">
        <f t="shared" si="57"/>
        <v>66.654556270674732</v>
      </c>
      <c r="AB37" s="81">
        <f t="shared" si="57"/>
        <v>63.23112158319838</v>
      </c>
      <c r="AC37" s="81">
        <f t="shared" si="57"/>
        <v>60.99421275258819</v>
      </c>
      <c r="AD37" s="81">
        <f t="shared" si="57"/>
        <v>36.005484333442048</v>
      </c>
      <c r="AE37" s="81">
        <f t="shared" si="57"/>
        <v>49.277176322014959</v>
      </c>
      <c r="AF37" s="81">
        <f t="shared" si="57"/>
        <v>53.850117359251989</v>
      </c>
      <c r="AG37" s="81">
        <f t="shared" si="57"/>
        <v>33.348707143010238</v>
      </c>
      <c r="AH37" s="81">
        <f t="shared" si="57"/>
        <v>60.148745887245468</v>
      </c>
      <c r="AI37" s="77"/>
      <c r="AJ37" s="80">
        <f t="shared" si="47"/>
        <v>63.160891446813473</v>
      </c>
      <c r="AK37" s="81">
        <f t="shared" si="47"/>
        <v>46.44446741999473</v>
      </c>
      <c r="AL37" s="102">
        <f t="shared" si="47"/>
        <v>53.003771671338946</v>
      </c>
      <c r="AM37" s="61"/>
      <c r="AN37" s="61"/>
      <c r="AO37" s="61"/>
      <c r="AP37" s="61"/>
      <c r="AQ37" s="61"/>
      <c r="AR37" s="61"/>
      <c r="AS37" s="61"/>
      <c r="AT37" s="61"/>
      <c r="AU37" s="61"/>
    </row>
    <row r="38" spans="2:47" ht="15.75" customHeight="1">
      <c r="B38" s="79" t="s">
        <v>176</v>
      </c>
      <c r="C38" s="101"/>
      <c r="D38" s="101">
        <f t="shared" ref="D38:N38" si="58">D15/D27</f>
        <v>17.340150664016363</v>
      </c>
      <c r="E38" s="101">
        <f t="shared" si="58"/>
        <v>15.42873197875633</v>
      </c>
      <c r="F38" s="101">
        <f t="shared" si="58"/>
        <v>38.725703326598328</v>
      </c>
      <c r="G38" s="101">
        <f t="shared" si="58"/>
        <v>72.319682747080194</v>
      </c>
      <c r="H38" s="101">
        <f t="shared" si="58"/>
        <v>46.300683427543454</v>
      </c>
      <c r="I38" s="101">
        <f t="shared" si="58"/>
        <v>53.284625850340134</v>
      </c>
      <c r="J38" s="101">
        <f t="shared" si="58"/>
        <v>61.481521739130436</v>
      </c>
      <c r="K38" s="101">
        <f t="shared" si="58"/>
        <v>165.28044198448612</v>
      </c>
      <c r="L38" s="101">
        <f t="shared" si="58"/>
        <v>97.561263181723874</v>
      </c>
      <c r="M38" s="101">
        <f t="shared" si="58"/>
        <v>59.757384074917326</v>
      </c>
      <c r="N38" s="101">
        <f t="shared" si="58"/>
        <v>156.17658104899633</v>
      </c>
      <c r="O38" s="248"/>
      <c r="P38" s="80">
        <f t="shared" ref="P38:Q40" si="59">P15/P27</f>
        <v>29.154583880258507</v>
      </c>
      <c r="Q38" s="81">
        <f t="shared" si="59"/>
        <v>84.012575042740707</v>
      </c>
      <c r="R38" s="81"/>
      <c r="S38" s="81"/>
      <c r="T38" s="81"/>
      <c r="U38" s="102">
        <f>U15/U27</f>
        <v>47.758580026092126</v>
      </c>
      <c r="V38" s="79"/>
      <c r="W38" s="81">
        <f t="shared" ref="W38:AH38" si="60">W15/W27</f>
        <v>53.708116364038013</v>
      </c>
      <c r="X38" s="81">
        <f t="shared" si="60"/>
        <v>63.5606266848243</v>
      </c>
      <c r="Y38" s="81">
        <f t="shared" si="60"/>
        <v>63.187461728142758</v>
      </c>
      <c r="Z38" s="81">
        <f t="shared" si="60"/>
        <v>66.236162496692955</v>
      </c>
      <c r="AA38" s="81">
        <f t="shared" si="60"/>
        <v>65.608056630693966</v>
      </c>
      <c r="AB38" s="81">
        <f t="shared" si="60"/>
        <v>62.238371054582075</v>
      </c>
      <c r="AC38" s="81">
        <f t="shared" si="60"/>
        <v>60.036582468061383</v>
      </c>
      <c r="AD38" s="81">
        <f t="shared" si="60"/>
        <v>35.440185747711951</v>
      </c>
      <c r="AE38" s="81">
        <f t="shared" si="60"/>
        <v>48.503507571287031</v>
      </c>
      <c r="AF38" s="81">
        <f t="shared" si="60"/>
        <v>53.004651848979407</v>
      </c>
      <c r="AG38" s="81">
        <f t="shared" si="60"/>
        <v>32.825120880170786</v>
      </c>
      <c r="AH38" s="81">
        <f t="shared" si="60"/>
        <v>59.204389725594886</v>
      </c>
      <c r="AI38" s="77"/>
      <c r="AJ38" s="80">
        <f t="shared" si="47"/>
        <v>62.169243555684474</v>
      </c>
      <c r="AK38" s="81">
        <f t="shared" si="47"/>
        <v>45.715273181018048</v>
      </c>
      <c r="AL38" s="102">
        <f t="shared" si="47"/>
        <v>52.171594081761604</v>
      </c>
      <c r="AM38" s="61"/>
      <c r="AN38" s="61"/>
      <c r="AO38" s="61"/>
      <c r="AP38" s="61"/>
      <c r="AQ38" s="61"/>
      <c r="AR38" s="61"/>
      <c r="AS38" s="61"/>
      <c r="AT38" s="61"/>
      <c r="AU38" s="61"/>
    </row>
    <row r="39" spans="2:47" ht="15.75" customHeight="1">
      <c r="B39" s="79" t="s">
        <v>177</v>
      </c>
      <c r="C39" s="101"/>
      <c r="D39" s="101"/>
      <c r="E39" s="101"/>
      <c r="F39" s="101">
        <f t="shared" ref="F39:N39" si="61">F16/F28</f>
        <v>63.032109850952743</v>
      </c>
      <c r="G39" s="101">
        <f t="shared" si="61"/>
        <v>126.51857460125177</v>
      </c>
      <c r="H39" s="101">
        <f t="shared" si="61"/>
        <v>144.81350111346626</v>
      </c>
      <c r="I39" s="101">
        <f t="shared" si="61"/>
        <v>99.081311475409834</v>
      </c>
      <c r="J39" s="101">
        <f t="shared" si="61"/>
        <v>105.45615942028985</v>
      </c>
      <c r="K39" s="101">
        <f t="shared" si="61"/>
        <v>226.88526179702652</v>
      </c>
      <c r="L39" s="101">
        <f t="shared" si="61"/>
        <v>117.52608047690013</v>
      </c>
      <c r="M39" s="101">
        <f t="shared" si="61"/>
        <v>110.3276234824547</v>
      </c>
      <c r="N39" s="101">
        <f t="shared" si="61"/>
        <v>288.34076655052269</v>
      </c>
      <c r="O39" s="248"/>
      <c r="P39" s="80">
        <f t="shared" si="59"/>
        <v>101.16832596020421</v>
      </c>
      <c r="Q39" s="81">
        <f t="shared" si="59"/>
        <v>134.17574741683777</v>
      </c>
      <c r="R39" s="81"/>
      <c r="S39" s="81"/>
      <c r="T39" s="81"/>
      <c r="U39" s="102">
        <f>U16/U28</f>
        <v>112.80133325121135</v>
      </c>
      <c r="V39" s="79"/>
      <c r="W39" s="81">
        <f t="shared" ref="W39:AH39" si="62">W16/W28</f>
        <v>126.85358586802226</v>
      </c>
      <c r="X39" s="81">
        <f t="shared" si="62"/>
        <v>150.12430077304731</v>
      </c>
      <c r="Y39" s="81">
        <f t="shared" si="62"/>
        <v>149.24291978112268</v>
      </c>
      <c r="Z39" s="81">
        <f t="shared" si="62"/>
        <v>156.44366802758586</v>
      </c>
      <c r="AA39" s="81">
        <f t="shared" si="62"/>
        <v>154.96014027050256</v>
      </c>
      <c r="AB39" s="81">
        <f t="shared" si="62"/>
        <v>147.00125570117211</v>
      </c>
      <c r="AC39" s="81">
        <f t="shared" si="62"/>
        <v>141.80083542148324</v>
      </c>
      <c r="AD39" s="81">
        <f t="shared" si="62"/>
        <v>83.706429312354089</v>
      </c>
      <c r="AE39" s="81">
        <f t="shared" si="62"/>
        <v>114.56078297160987</v>
      </c>
      <c r="AF39" s="81">
        <f t="shared" si="62"/>
        <v>125.19206797636437</v>
      </c>
      <c r="AG39" s="81">
        <f t="shared" si="62"/>
        <v>77.529888815633171</v>
      </c>
      <c r="AH39" s="81">
        <f t="shared" si="62"/>
        <v>139.83527340475413</v>
      </c>
      <c r="AI39" s="77"/>
      <c r="AJ39" s="80">
        <f t="shared" si="47"/>
        <v>146.83798296492847</v>
      </c>
      <c r="AK39" s="81">
        <f t="shared" si="47"/>
        <v>107.97523213514471</v>
      </c>
      <c r="AL39" s="102">
        <f t="shared" si="47"/>
        <v>123.22446285146101</v>
      </c>
      <c r="AM39" s="61"/>
      <c r="AN39" s="61"/>
      <c r="AO39" s="61"/>
      <c r="AP39" s="61"/>
      <c r="AQ39" s="61"/>
      <c r="AR39" s="61"/>
      <c r="AS39" s="61"/>
      <c r="AT39" s="61"/>
      <c r="AU39" s="61"/>
    </row>
    <row r="40" spans="2:47" ht="15.75" customHeight="1">
      <c r="B40" s="79" t="s">
        <v>178</v>
      </c>
      <c r="C40" s="101"/>
      <c r="D40" s="101"/>
      <c r="E40" s="101"/>
      <c r="F40" s="101">
        <f t="shared" ref="F40:N40" si="63">F17/F29</f>
        <v>79.333872513161822</v>
      </c>
      <c r="G40" s="101">
        <f t="shared" si="63"/>
        <v>134.1381144924452</v>
      </c>
      <c r="H40" s="101">
        <f t="shared" si="63"/>
        <v>84.170177578401166</v>
      </c>
      <c r="I40" s="101">
        <f t="shared" si="63"/>
        <v>84.435555555555553</v>
      </c>
      <c r="J40" s="101">
        <f t="shared" si="63"/>
        <v>54.251729249011859</v>
      </c>
      <c r="K40" s="101">
        <f t="shared" si="63"/>
        <v>60.13275039745627</v>
      </c>
      <c r="L40" s="101">
        <f t="shared" si="63"/>
        <v>72.551144831323668</v>
      </c>
      <c r="M40" s="101">
        <f t="shared" si="63"/>
        <v>37.994558890519819</v>
      </c>
      <c r="N40" s="101">
        <f t="shared" si="63"/>
        <v>99.295546129374344</v>
      </c>
      <c r="O40" s="248"/>
      <c r="P40" s="80">
        <f t="shared" si="59"/>
        <v>96.783892444917043</v>
      </c>
      <c r="Q40" s="81">
        <f t="shared" si="59"/>
        <v>57.838562958744873</v>
      </c>
      <c r="R40" s="81"/>
      <c r="S40" s="81"/>
      <c r="T40" s="81"/>
      <c r="U40" s="102">
        <f>U17/U29</f>
        <v>75.478077581364872</v>
      </c>
      <c r="V40" s="79"/>
      <c r="W40" s="81">
        <f t="shared" ref="W40:AH40" si="64">W17/W29</f>
        <v>84.880776845942947</v>
      </c>
      <c r="X40" s="81">
        <f t="shared" si="64"/>
        <v>100.45177032935946</v>
      </c>
      <c r="Y40" s="81">
        <f t="shared" si="64"/>
        <v>99.862017168028686</v>
      </c>
      <c r="Z40" s="81">
        <f t="shared" si="64"/>
        <v>104.68021052732206</v>
      </c>
      <c r="AA40" s="81">
        <f t="shared" si="64"/>
        <v>103.68754652313098</v>
      </c>
      <c r="AB40" s="81">
        <f t="shared" si="64"/>
        <v>98.362065966556074</v>
      </c>
      <c r="AC40" s="81">
        <f t="shared" si="64"/>
        <v>94.882340027041565</v>
      </c>
      <c r="AD40" s="81">
        <f t="shared" si="64"/>
        <v>56.009979524147603</v>
      </c>
      <c r="AE40" s="81">
        <f t="shared" si="64"/>
        <v>76.655367589107968</v>
      </c>
      <c r="AF40" s="81">
        <f t="shared" si="64"/>
        <v>83.769015373673</v>
      </c>
      <c r="AG40" s="81">
        <f t="shared" si="64"/>
        <v>51.877108135493714</v>
      </c>
      <c r="AH40" s="81">
        <f t="shared" si="64"/>
        <v>93.567135338287855</v>
      </c>
      <c r="AI40" s="77"/>
      <c r="AJ40" s="80">
        <f t="shared" si="47"/>
        <v>98.25281626269242</v>
      </c>
      <c r="AK40" s="81">
        <f t="shared" si="47"/>
        <v>72.248817572152376</v>
      </c>
      <c r="AL40" s="102">
        <f t="shared" si="47"/>
        <v>82.452443592236605</v>
      </c>
      <c r="AM40" s="61"/>
      <c r="AN40" s="61"/>
      <c r="AO40" s="61"/>
      <c r="AP40" s="61"/>
      <c r="AQ40" s="61"/>
      <c r="AR40" s="61"/>
      <c r="AS40" s="61"/>
      <c r="AT40" s="61"/>
      <c r="AU40" s="61"/>
    </row>
    <row r="41" spans="2:47" ht="15.75" customHeight="1">
      <c r="B41" s="79"/>
      <c r="C41" s="74"/>
      <c r="D41" s="74"/>
      <c r="E41" s="74"/>
      <c r="F41" s="103">
        <f>AVERAGE(F44:H44)</f>
        <v>1.814790733208846</v>
      </c>
      <c r="G41" s="104"/>
      <c r="H41" s="104"/>
      <c r="I41" s="104"/>
      <c r="J41" s="104"/>
      <c r="K41" s="104"/>
      <c r="L41" s="104"/>
      <c r="M41" s="104"/>
      <c r="N41" s="104"/>
      <c r="O41" s="248"/>
      <c r="P41" s="104"/>
      <c r="Q41" s="104"/>
      <c r="R41" s="104"/>
      <c r="S41" s="104"/>
      <c r="T41" s="104"/>
      <c r="U41" s="104"/>
      <c r="V41" s="79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61"/>
      <c r="AN41" s="61"/>
      <c r="AO41" s="61"/>
      <c r="AP41" s="61"/>
      <c r="AQ41" s="61"/>
      <c r="AR41" s="61"/>
      <c r="AS41" s="61"/>
      <c r="AT41" s="61"/>
      <c r="AU41" s="61"/>
    </row>
    <row r="42" spans="2:47" ht="15.75" customHeight="1">
      <c r="B42" s="79"/>
      <c r="C42" s="74"/>
      <c r="D42" s="74"/>
      <c r="E42" s="74"/>
      <c r="F42" s="103">
        <f>AVERAGE(F45:H45)</f>
        <v>0.6685643219431272</v>
      </c>
      <c r="G42" s="104"/>
      <c r="H42" s="104"/>
      <c r="I42" s="104">
        <v>0.7</v>
      </c>
      <c r="J42" s="104">
        <v>0.4</v>
      </c>
      <c r="K42" s="104">
        <v>0.8</v>
      </c>
      <c r="L42" s="104">
        <v>1</v>
      </c>
      <c r="M42" s="104">
        <v>1.2</v>
      </c>
      <c r="N42" s="71"/>
      <c r="O42" s="248"/>
      <c r="P42" s="104"/>
      <c r="Q42" s="104"/>
      <c r="R42" s="104"/>
      <c r="S42" s="104"/>
      <c r="T42" s="104"/>
      <c r="U42" s="105"/>
      <c r="V42" s="79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104"/>
      <c r="AJ42" s="104"/>
      <c r="AK42" s="104"/>
      <c r="AL42" s="105"/>
      <c r="AM42" s="61"/>
      <c r="AN42" s="61"/>
      <c r="AO42" s="61"/>
      <c r="AP42" s="61"/>
      <c r="AQ42" s="61"/>
      <c r="AR42" s="61"/>
      <c r="AS42" s="61"/>
      <c r="AT42" s="61"/>
      <c r="AU42" s="61"/>
    </row>
    <row r="43" spans="2:47" ht="15.75" customHeight="1">
      <c r="B43" s="74" t="s">
        <v>22</v>
      </c>
      <c r="C43" s="106">
        <f t="shared" ref="C43:H47" si="65">C54/C21</f>
        <v>0.74644549763033174</v>
      </c>
      <c r="D43" s="106">
        <f t="shared" si="65"/>
        <v>0.67209113100081364</v>
      </c>
      <c r="E43" s="106">
        <f t="shared" si="65"/>
        <v>0.24950362906879986</v>
      </c>
      <c r="F43" s="106">
        <f t="shared" si="65"/>
        <v>0.41044234952864395</v>
      </c>
      <c r="G43" s="106">
        <f t="shared" si="65"/>
        <v>0.5971428571428572</v>
      </c>
      <c r="H43" s="106">
        <f t="shared" si="65"/>
        <v>0.46485260770975056</v>
      </c>
      <c r="I43" s="106">
        <v>0.61021170610211706</v>
      </c>
      <c r="J43" s="106">
        <f t="shared" ref="J43:N47" si="66">J54/J21</f>
        <v>0</v>
      </c>
      <c r="K43" s="106">
        <f t="shared" si="66"/>
        <v>0.90114068441064621</v>
      </c>
      <c r="L43" s="106">
        <f t="shared" si="66"/>
        <v>0.46750902527075811</v>
      </c>
      <c r="M43" s="106">
        <f t="shared" si="66"/>
        <v>0.46705346042271023</v>
      </c>
      <c r="N43" s="106">
        <f t="shared" si="66"/>
        <v>0.59839357429718876</v>
      </c>
      <c r="O43" s="248"/>
      <c r="P43" s="109">
        <f t="shared" ref="P43:Q47" si="67">P54/P21</f>
        <v>0.4471408662445544</v>
      </c>
      <c r="Q43" s="107">
        <f t="shared" si="67"/>
        <v>0.5190966959684753</v>
      </c>
      <c r="R43" s="107"/>
      <c r="S43" s="107"/>
      <c r="T43" s="107"/>
      <c r="U43" s="110">
        <f>U54/U21</f>
        <v>0.47944138875701892</v>
      </c>
      <c r="V43" s="74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8"/>
      <c r="AJ43" s="109">
        <f t="shared" ref="AJ43:AL51" si="68">AJ54/AJ21</f>
        <v>0.55162512299685873</v>
      </c>
      <c r="AK43" s="107">
        <f t="shared" si="68"/>
        <v>0.63361956653162055</v>
      </c>
      <c r="AL43" s="110">
        <f t="shared" si="68"/>
        <v>0.60144602862654517</v>
      </c>
      <c r="AM43" s="61"/>
      <c r="AN43" s="61"/>
      <c r="AO43" s="61"/>
      <c r="AP43" s="61"/>
      <c r="AQ43" s="61"/>
      <c r="AR43" s="61"/>
      <c r="AS43" s="61"/>
      <c r="AT43" s="61"/>
      <c r="AU43" s="61"/>
    </row>
    <row r="44" spans="2:47" ht="15.75" customHeight="1">
      <c r="B44" s="79" t="s">
        <v>179</v>
      </c>
      <c r="C44" s="111">
        <f t="shared" si="65"/>
        <v>1.4693877551020409</v>
      </c>
      <c r="D44" s="111">
        <f t="shared" si="65"/>
        <v>48.129729729729732</v>
      </c>
      <c r="E44" s="111">
        <f t="shared" si="65"/>
        <v>2.3021235521235521</v>
      </c>
      <c r="F44" s="111">
        <f t="shared" si="65"/>
        <v>0.81717451523545703</v>
      </c>
      <c r="G44" s="111">
        <f t="shared" si="65"/>
        <v>3.34375</v>
      </c>
      <c r="H44" s="111">
        <f t="shared" si="65"/>
        <v>1.2834476843910807</v>
      </c>
      <c r="I44" s="111">
        <f>I55/I22</f>
        <v>1.9471830985915495</v>
      </c>
      <c r="J44" s="111" t="e">
        <f t="shared" si="66"/>
        <v>#DIV/0!</v>
      </c>
      <c r="K44" s="111">
        <f t="shared" si="66"/>
        <v>2.028297581013236</v>
      </c>
      <c r="L44" s="111">
        <f t="shared" si="66"/>
        <v>0.81864988558352403</v>
      </c>
      <c r="M44" s="111">
        <f t="shared" si="66"/>
        <v>1.2086330935251799</v>
      </c>
      <c r="N44" s="111">
        <f t="shared" si="66"/>
        <v>1.8293515358361776</v>
      </c>
      <c r="O44" s="248"/>
      <c r="P44" s="114">
        <f t="shared" si="67"/>
        <v>2.302597675336775</v>
      </c>
      <c r="Q44" s="112">
        <f t="shared" si="67"/>
        <v>1.4486542550255761</v>
      </c>
      <c r="R44" s="112"/>
      <c r="S44" s="112"/>
      <c r="T44" s="112"/>
      <c r="U44" s="115">
        <f>U55/U22</f>
        <v>1.835697843187198</v>
      </c>
      <c r="V44" s="79"/>
      <c r="W44" s="112">
        <f t="shared" ref="W44:AH44" si="69">W55/W22</f>
        <v>1.7324349157615115</v>
      </c>
      <c r="X44" s="112">
        <f t="shared" si="69"/>
        <v>2.0405492690491731</v>
      </c>
      <c r="Y44" s="112">
        <f t="shared" si="69"/>
        <v>1.9543765740951249</v>
      </c>
      <c r="Z44" s="112">
        <f t="shared" si="69"/>
        <v>2.2439824310595435</v>
      </c>
      <c r="AA44" s="112">
        <f t="shared" si="69"/>
        <v>2.3137017354739409</v>
      </c>
      <c r="AB44" s="112">
        <f t="shared" si="69"/>
        <v>2.3961239813614124</v>
      </c>
      <c r="AC44" s="112">
        <f t="shared" si="69"/>
        <v>2.1436075565994512</v>
      </c>
      <c r="AD44" s="112">
        <f t="shared" si="69"/>
        <v>0</v>
      </c>
      <c r="AE44" s="112">
        <f t="shared" si="69"/>
        <v>2.3689988771581678</v>
      </c>
      <c r="AF44" s="112">
        <f t="shared" si="69"/>
        <v>2.4807439643182243</v>
      </c>
      <c r="AG44" s="112">
        <f t="shared" si="69"/>
        <v>2.7680270717254678</v>
      </c>
      <c r="AH44" s="112">
        <f t="shared" si="69"/>
        <v>2.9202455466642396</v>
      </c>
      <c r="AI44" s="113"/>
      <c r="AJ44" s="114">
        <f t="shared" si="68"/>
        <v>2.1120768299926671</v>
      </c>
      <c r="AK44" s="112">
        <f t="shared" si="68"/>
        <v>2.4260193194809472</v>
      </c>
      <c r="AL44" s="115">
        <f t="shared" si="68"/>
        <v>2.3028324283926174</v>
      </c>
      <c r="AM44" s="61"/>
      <c r="AN44" s="61"/>
      <c r="AO44" s="61"/>
      <c r="AP44" s="61"/>
      <c r="AQ44" s="61"/>
      <c r="AR44" s="61"/>
      <c r="AS44" s="61"/>
      <c r="AT44" s="61"/>
      <c r="AU44" s="61"/>
    </row>
    <row r="45" spans="2:47" ht="15.75" customHeight="1">
      <c r="B45" s="79" t="s">
        <v>180</v>
      </c>
      <c r="C45" s="111">
        <f t="shared" si="65"/>
        <v>1.5918367346938778</v>
      </c>
      <c r="D45" s="111">
        <f t="shared" si="65"/>
        <v>7.6123552123552125</v>
      </c>
      <c r="E45" s="111">
        <f t="shared" si="65"/>
        <v>1.0393120393120394</v>
      </c>
      <c r="F45" s="111">
        <f t="shared" si="65"/>
        <v>0.60540727503314684</v>
      </c>
      <c r="G45" s="111">
        <f t="shared" si="65"/>
        <v>0.99074074074074092</v>
      </c>
      <c r="H45" s="111">
        <f t="shared" si="65"/>
        <v>0.40954495005549391</v>
      </c>
      <c r="I45" s="111">
        <f>I56/I23</f>
        <v>0.4132145816072908</v>
      </c>
      <c r="J45" s="111">
        <f t="shared" si="66"/>
        <v>0</v>
      </c>
      <c r="K45" s="111">
        <f t="shared" si="66"/>
        <v>0.59041533546325875</v>
      </c>
      <c r="L45" s="111">
        <f t="shared" si="66"/>
        <v>0.22523700555737169</v>
      </c>
      <c r="M45" s="111">
        <f t="shared" si="66"/>
        <v>0.99940753279729155</v>
      </c>
      <c r="N45" s="111">
        <f t="shared" si="66"/>
        <v>0.2137557501112925</v>
      </c>
      <c r="O45" s="248"/>
      <c r="P45" s="114">
        <f t="shared" si="67"/>
        <v>1.0397272156184911</v>
      </c>
      <c r="Q45" s="112">
        <f t="shared" si="67"/>
        <v>0.39848195430125832</v>
      </c>
      <c r="R45" s="112"/>
      <c r="S45" s="112"/>
      <c r="T45" s="112"/>
      <c r="U45" s="115">
        <f>U56/U23</f>
        <v>0.69333011056552452</v>
      </c>
      <c r="V45" s="79"/>
      <c r="W45" s="116">
        <f t="shared" ref="W45:AH45" si="70">W56/W23</f>
        <v>0.65432843218197057</v>
      </c>
      <c r="X45" s="116">
        <f t="shared" si="70"/>
        <v>0.77070104732916556</v>
      </c>
      <c r="Y45" s="116">
        <f t="shared" si="70"/>
        <v>0.73815422904861094</v>
      </c>
      <c r="Z45" s="116">
        <f t="shared" si="70"/>
        <v>0.8475363158526904</v>
      </c>
      <c r="AA45" s="116">
        <f t="shared" si="70"/>
        <v>0.8738688047301949</v>
      </c>
      <c r="AB45" s="116">
        <f t="shared" si="70"/>
        <v>0.90499910488623869</v>
      </c>
      <c r="AC45" s="116">
        <f t="shared" si="70"/>
        <v>0.80962543467706805</v>
      </c>
      <c r="AD45" s="116">
        <f t="shared" si="70"/>
        <v>0</v>
      </c>
      <c r="AE45" s="116">
        <f t="shared" si="70"/>
        <v>0.89475414460253266</v>
      </c>
      <c r="AF45" s="116">
        <f t="shared" si="70"/>
        <v>0.93695947481162634</v>
      </c>
      <c r="AG45" s="116">
        <f t="shared" si="70"/>
        <v>1.0454642755126204</v>
      </c>
      <c r="AH45" s="116">
        <f t="shared" si="70"/>
        <v>1.1029561184382384</v>
      </c>
      <c r="AI45" s="117"/>
      <c r="AJ45" s="114">
        <f t="shared" si="68"/>
        <v>0.79771650192671029</v>
      </c>
      <c r="AK45" s="112">
        <f t="shared" si="68"/>
        <v>0.91629036295506294</v>
      </c>
      <c r="AL45" s="115">
        <f t="shared" si="68"/>
        <v>0.86976354421118662</v>
      </c>
      <c r="AM45" s="61"/>
      <c r="AN45" s="61"/>
      <c r="AO45" s="61"/>
      <c r="AP45" s="61"/>
      <c r="AQ45" s="61"/>
      <c r="AR45" s="61"/>
      <c r="AS45" s="61"/>
      <c r="AT45" s="61"/>
      <c r="AU45" s="61"/>
    </row>
    <row r="46" spans="2:47" ht="15.75" customHeight="1">
      <c r="B46" s="79" t="s">
        <v>181</v>
      </c>
      <c r="C46" s="111">
        <f t="shared" si="65"/>
        <v>1.653061224489796</v>
      </c>
      <c r="D46" s="111">
        <f t="shared" si="65"/>
        <v>26.929729729729729</v>
      </c>
      <c r="E46" s="111">
        <f t="shared" si="65"/>
        <v>4.1698841698841695</v>
      </c>
      <c r="F46" s="111">
        <f t="shared" si="65"/>
        <v>1.4766286345233712</v>
      </c>
      <c r="G46" s="111">
        <f t="shared" si="65"/>
        <v>3.2199074074074079</v>
      </c>
      <c r="H46" s="111">
        <f t="shared" si="65"/>
        <v>0.87028301886792447</v>
      </c>
      <c r="I46" s="111">
        <f>I57/I24</f>
        <v>2.2751895991332609</v>
      </c>
      <c r="J46" s="111">
        <f t="shared" si="66"/>
        <v>0</v>
      </c>
      <c r="K46" s="111">
        <f t="shared" si="66"/>
        <v>2.0734824281150157</v>
      </c>
      <c r="L46" s="111">
        <f t="shared" si="66"/>
        <v>1.7383676582761249</v>
      </c>
      <c r="M46" s="111">
        <f t="shared" si="66"/>
        <v>1.0083453237410072</v>
      </c>
      <c r="N46" s="111">
        <f t="shared" si="66"/>
        <v>1.3720136518771333</v>
      </c>
      <c r="O46" s="248"/>
      <c r="P46" s="114">
        <f t="shared" si="67"/>
        <v>2.4546446312261012</v>
      </c>
      <c r="Q46" s="112">
        <f t="shared" si="67"/>
        <v>1.4812267162673765</v>
      </c>
      <c r="R46" s="112"/>
      <c r="S46" s="112"/>
      <c r="T46" s="112"/>
      <c r="U46" s="115">
        <f>U57/U24</f>
        <v>1.871065276001985</v>
      </c>
      <c r="V46" s="79"/>
      <c r="W46" s="112">
        <f t="shared" ref="W46:AH46" si="71">W57/W24</f>
        <v>1.7658128356172131</v>
      </c>
      <c r="X46" s="112">
        <f t="shared" si="71"/>
        <v>2.0798634674322019</v>
      </c>
      <c r="Y46" s="112">
        <f t="shared" si="71"/>
        <v>1.9920305281135553</v>
      </c>
      <c r="Z46" s="112">
        <f t="shared" si="71"/>
        <v>2.2872160700609743</v>
      </c>
      <c r="AA46" s="112">
        <f t="shared" si="71"/>
        <v>2.3582786199467991</v>
      </c>
      <c r="AB46" s="112">
        <f t="shared" si="71"/>
        <v>2.442288852252998</v>
      </c>
      <c r="AC46" s="112">
        <f t="shared" si="71"/>
        <v>2.1849073252518294</v>
      </c>
      <c r="AD46" s="112">
        <f t="shared" si="71"/>
        <v>0</v>
      </c>
      <c r="AE46" s="112">
        <f t="shared" si="71"/>
        <v>2.4146411428159653</v>
      </c>
      <c r="AF46" s="112">
        <f t="shared" si="71"/>
        <v>2.5285391642822774</v>
      </c>
      <c r="AG46" s="112">
        <f t="shared" si="71"/>
        <v>2.8213572054683871</v>
      </c>
      <c r="AH46" s="112">
        <f t="shared" si="71"/>
        <v>2.9765083943641679</v>
      </c>
      <c r="AI46" s="117"/>
      <c r="AJ46" s="114">
        <f t="shared" si="68"/>
        <v>2.1527691125824524</v>
      </c>
      <c r="AK46" s="112">
        <f t="shared" si="68"/>
        <v>2.472760168258187</v>
      </c>
      <c r="AL46" s="115">
        <f t="shared" si="68"/>
        <v>2.3471998995955468</v>
      </c>
      <c r="AM46" s="61"/>
      <c r="AN46" s="61"/>
      <c r="AO46" s="61"/>
      <c r="AP46" s="61"/>
      <c r="AQ46" s="61"/>
      <c r="AR46" s="61"/>
      <c r="AS46" s="61"/>
      <c r="AT46" s="61"/>
      <c r="AU46" s="61"/>
    </row>
    <row r="47" spans="2:47" ht="15.75" customHeight="1">
      <c r="B47" s="79" t="s">
        <v>182</v>
      </c>
      <c r="C47" s="111">
        <f t="shared" si="65"/>
        <v>1.3316326530612246</v>
      </c>
      <c r="D47" s="111">
        <f t="shared" si="65"/>
        <v>1.451965601965602</v>
      </c>
      <c r="E47" s="111">
        <f t="shared" si="65"/>
        <v>0.71248487293263418</v>
      </c>
      <c r="F47" s="111">
        <f t="shared" si="65"/>
        <v>0.58673421521718727</v>
      </c>
      <c r="G47" s="111">
        <f t="shared" si="65"/>
        <v>0.59923835125448033</v>
      </c>
      <c r="H47" s="111">
        <f t="shared" si="65"/>
        <v>0.29721946375372393</v>
      </c>
      <c r="I47" s="111">
        <f>I58/I25</f>
        <v>0.38637228778073845</v>
      </c>
      <c r="J47" s="111">
        <f t="shared" si="66"/>
        <v>0</v>
      </c>
      <c r="K47" s="111">
        <f t="shared" si="66"/>
        <v>1.1402200922967696</v>
      </c>
      <c r="L47" s="111">
        <f t="shared" si="66"/>
        <v>0.41582216410591699</v>
      </c>
      <c r="M47" s="111">
        <f t="shared" si="66"/>
        <v>0.45626817694780347</v>
      </c>
      <c r="N47" s="111">
        <f t="shared" si="66"/>
        <v>0.29665160040586658</v>
      </c>
      <c r="O47" s="248"/>
      <c r="P47" s="114">
        <f t="shared" si="67"/>
        <v>0.7225719959556629</v>
      </c>
      <c r="Q47" s="112">
        <f t="shared" si="67"/>
        <v>0.4490126635488314</v>
      </c>
      <c r="R47" s="112"/>
      <c r="S47" s="112"/>
      <c r="T47" s="112"/>
      <c r="U47" s="115">
        <f>U58/U25</f>
        <v>0.56529503174484863</v>
      </c>
      <c r="V47" s="79"/>
      <c r="W47" s="116">
        <f t="shared" ref="W47:AH47" si="72">W58/W25</f>
        <v>0.53349566996327225</v>
      </c>
      <c r="X47" s="116">
        <f t="shared" si="72"/>
        <v>0.62837812230650902</v>
      </c>
      <c r="Y47" s="116">
        <f t="shared" si="72"/>
        <v>0.60184162202658786</v>
      </c>
      <c r="Z47" s="116">
        <f t="shared" si="72"/>
        <v>0.69102446478787338</v>
      </c>
      <c r="AA47" s="116">
        <f t="shared" si="72"/>
        <v>0.71249421622242193</v>
      </c>
      <c r="AB47" s="116">
        <f t="shared" si="72"/>
        <v>0.73787578230006334</v>
      </c>
      <c r="AC47" s="116">
        <f t="shared" si="72"/>
        <v>0.6601144661435504</v>
      </c>
      <c r="AD47" s="116">
        <f t="shared" si="72"/>
        <v>0</v>
      </c>
      <c r="AE47" s="116">
        <f t="shared" si="72"/>
        <v>0.72952272643165694</v>
      </c>
      <c r="AF47" s="116">
        <f t="shared" si="72"/>
        <v>0.76393413178788894</v>
      </c>
      <c r="AG47" s="116">
        <f t="shared" si="72"/>
        <v>0.85240169409627664</v>
      </c>
      <c r="AH47" s="116">
        <f t="shared" si="72"/>
        <v>0.89927670021017259</v>
      </c>
      <c r="AI47" s="117"/>
      <c r="AJ47" s="114">
        <f t="shared" si="68"/>
        <v>0.65040471834149749</v>
      </c>
      <c r="AK47" s="112">
        <f t="shared" si="68"/>
        <v>0.74708191945058899</v>
      </c>
      <c r="AL47" s="115">
        <f t="shared" si="68"/>
        <v>0.70914706118032966</v>
      </c>
      <c r="AM47" s="61"/>
      <c r="AN47" s="61"/>
      <c r="AO47" s="61"/>
      <c r="AP47" s="61"/>
      <c r="AQ47" s="61"/>
      <c r="AR47" s="61"/>
      <c r="AS47" s="61"/>
      <c r="AT47" s="61"/>
      <c r="AU47" s="61"/>
    </row>
    <row r="48" spans="2:47" ht="15.75" customHeight="1">
      <c r="B48" s="79" t="s">
        <v>183</v>
      </c>
      <c r="C48" s="111">
        <f t="shared" ref="C48:N48" si="73">(C59+C63)/C26</f>
        <v>0.36727272727272725</v>
      </c>
      <c r="D48" s="111">
        <f t="shared" si="73"/>
        <v>0.17937885361954781</v>
      </c>
      <c r="E48" s="111">
        <f t="shared" si="73"/>
        <v>0.14462724963794746</v>
      </c>
      <c r="F48" s="111">
        <f t="shared" si="73"/>
        <v>0.46034141023735192</v>
      </c>
      <c r="G48" s="111">
        <f t="shared" si="73"/>
        <v>0.54330708661417326</v>
      </c>
      <c r="H48" s="111">
        <f t="shared" si="73"/>
        <v>0.70648576075590253</v>
      </c>
      <c r="I48" s="111">
        <f t="shared" si="73"/>
        <v>0.50597243491577337</v>
      </c>
      <c r="J48" s="111">
        <f t="shared" si="73"/>
        <v>0</v>
      </c>
      <c r="K48" s="111">
        <f t="shared" si="73"/>
        <v>0.58678991596638652</v>
      </c>
      <c r="L48" s="111">
        <f t="shared" si="73"/>
        <v>0.48773878878200783</v>
      </c>
      <c r="M48" s="111">
        <f t="shared" si="73"/>
        <v>0.3790440673669323</v>
      </c>
      <c r="N48" s="111">
        <f t="shared" si="73"/>
        <v>0.90182402683625695</v>
      </c>
      <c r="O48" s="248"/>
      <c r="P48" s="114">
        <f>(P63+P59)/P26</f>
        <v>0.32564704224916957</v>
      </c>
      <c r="Q48" s="112">
        <f>(Q63+Q59)/Q26</f>
        <v>0.45498468958103666</v>
      </c>
      <c r="R48" s="112"/>
      <c r="S48" s="112"/>
      <c r="T48" s="112"/>
      <c r="U48" s="115">
        <f>(U63+U59)/U26</f>
        <v>0.37330038901524443</v>
      </c>
      <c r="V48" s="79"/>
      <c r="W48" s="112">
        <f t="shared" ref="W48:AH48" si="74">W59/W26</f>
        <v>0.32804185538713471</v>
      </c>
      <c r="X48" s="112">
        <f t="shared" si="74"/>
        <v>0.38638425151660966</v>
      </c>
      <c r="Y48" s="112">
        <f t="shared" si="74"/>
        <v>0.37006718789750676</v>
      </c>
      <c r="Z48" s="112">
        <f t="shared" si="74"/>
        <v>0.42490494358186937</v>
      </c>
      <c r="AA48" s="112">
        <f t="shared" si="74"/>
        <v>0.43810650732797191</v>
      </c>
      <c r="AB48" s="112">
        <f t="shared" si="74"/>
        <v>0.45371341193380293</v>
      </c>
      <c r="AC48" s="112">
        <f t="shared" si="74"/>
        <v>0.40589865379137186</v>
      </c>
      <c r="AD48" s="112">
        <f t="shared" si="74"/>
        <v>0</v>
      </c>
      <c r="AE48" s="112">
        <f t="shared" si="74"/>
        <v>0.44857719040568245</v>
      </c>
      <c r="AF48" s="112">
        <f t="shared" si="74"/>
        <v>0.46973646478238762</v>
      </c>
      <c r="AG48" s="112">
        <f t="shared" si="74"/>
        <v>0.52413440072668205</v>
      </c>
      <c r="AH48" s="112">
        <f t="shared" si="74"/>
        <v>0.55295743499412853</v>
      </c>
      <c r="AI48" s="117"/>
      <c r="AJ48" s="114">
        <f t="shared" si="68"/>
        <v>0.39992821417272245</v>
      </c>
      <c r="AK48" s="112">
        <f t="shared" si="68"/>
        <v>0.45937418573542488</v>
      </c>
      <c r="AL48" s="115">
        <f t="shared" si="68"/>
        <v>0.43604837075424507</v>
      </c>
      <c r="AM48" s="61"/>
      <c r="AN48" s="61"/>
      <c r="AO48" s="61"/>
      <c r="AP48" s="61"/>
      <c r="AQ48" s="61"/>
      <c r="AR48" s="61"/>
      <c r="AS48" s="61"/>
      <c r="AT48" s="61"/>
      <c r="AU48" s="61"/>
    </row>
    <row r="49" spans="2:47" ht="15.75" customHeight="1">
      <c r="B49" s="79" t="s">
        <v>184</v>
      </c>
      <c r="C49" s="111"/>
      <c r="D49" s="111">
        <f t="shared" ref="D49:N49" si="75">D60/D27</f>
        <v>0.10635352749690317</v>
      </c>
      <c r="E49" s="111">
        <f t="shared" si="75"/>
        <v>8.386139935815605E-2</v>
      </c>
      <c r="F49" s="111">
        <f t="shared" si="75"/>
        <v>0.19551382855116356</v>
      </c>
      <c r="G49" s="111">
        <f t="shared" si="75"/>
        <v>0.22552120941214227</v>
      </c>
      <c r="H49" s="111">
        <f t="shared" si="75"/>
        <v>0.1629855642465983</v>
      </c>
      <c r="I49" s="111">
        <f t="shared" si="75"/>
        <v>0.32108843537414966</v>
      </c>
      <c r="J49" s="111">
        <f t="shared" si="75"/>
        <v>0</v>
      </c>
      <c r="K49" s="111">
        <f t="shared" si="75"/>
        <v>1.1647745636716227</v>
      </c>
      <c r="L49" s="111">
        <f t="shared" si="75"/>
        <v>0.33532041728763046</v>
      </c>
      <c r="M49" s="111">
        <f t="shared" si="75"/>
        <v>0.37203684053282787</v>
      </c>
      <c r="N49" s="111">
        <f t="shared" si="75"/>
        <v>0.83835527735808335</v>
      </c>
      <c r="O49" s="248"/>
      <c r="P49" s="114">
        <f t="shared" ref="P49:Q51" si="76">P60/P27</f>
        <v>0.13028768515523773</v>
      </c>
      <c r="Q49" s="112">
        <f t="shared" si="76"/>
        <v>0.43373614263707977</v>
      </c>
      <c r="R49" s="112"/>
      <c r="S49" s="112"/>
      <c r="T49" s="112"/>
      <c r="U49" s="115">
        <f>U60/U27</f>
        <v>0.23319619153365295</v>
      </c>
      <c r="V49" s="79"/>
      <c r="W49" s="116">
        <f t="shared" ref="W49:AH49" si="77">W60/W27</f>
        <v>0.22007828027627702</v>
      </c>
      <c r="X49" s="116">
        <f t="shared" si="77"/>
        <v>0.25921930449777247</v>
      </c>
      <c r="Y49" s="116">
        <f t="shared" si="77"/>
        <v>0.24827243524472295</v>
      </c>
      <c r="Z49" s="116">
        <f t="shared" si="77"/>
        <v>0.28506224961454635</v>
      </c>
      <c r="AA49" s="116">
        <f t="shared" si="77"/>
        <v>0.29391897749389317</v>
      </c>
      <c r="AB49" s="116">
        <f t="shared" si="77"/>
        <v>0.30438941189024094</v>
      </c>
      <c r="AC49" s="116">
        <f t="shared" si="77"/>
        <v>0.27231121951630205</v>
      </c>
      <c r="AD49" s="116">
        <f t="shared" si="77"/>
        <v>0</v>
      </c>
      <c r="AE49" s="116">
        <f t="shared" si="77"/>
        <v>0.30094359916096974</v>
      </c>
      <c r="AF49" s="116">
        <f t="shared" si="77"/>
        <v>0.31513903379910041</v>
      </c>
      <c r="AG49" s="116">
        <f t="shared" si="77"/>
        <v>0.35163377980970012</v>
      </c>
      <c r="AH49" s="116">
        <f t="shared" si="77"/>
        <v>0.37097071413607691</v>
      </c>
      <c r="AI49" s="117"/>
      <c r="AJ49" s="114">
        <f t="shared" si="68"/>
        <v>0.2683057425864907</v>
      </c>
      <c r="AK49" s="112">
        <f t="shared" si="68"/>
        <v>0.30818713874379661</v>
      </c>
      <c r="AL49" s="115">
        <f t="shared" si="68"/>
        <v>0.29253820503976552</v>
      </c>
      <c r="AM49" s="61"/>
      <c r="AN49" s="61"/>
      <c r="AO49" s="61"/>
      <c r="AP49" s="61"/>
      <c r="AQ49" s="61"/>
      <c r="AR49" s="61"/>
      <c r="AS49" s="61"/>
      <c r="AT49" s="61"/>
      <c r="AU49" s="61"/>
    </row>
    <row r="50" spans="2:47" ht="15.75" customHeight="1">
      <c r="B50" s="79" t="s">
        <v>185</v>
      </c>
      <c r="C50" s="111"/>
      <c r="D50" s="111"/>
      <c r="E50" s="111"/>
      <c r="F50" s="111">
        <f t="shared" ref="F50:N50" si="78">F61/F28</f>
        <v>0.23102789193996118</v>
      </c>
      <c r="G50" s="111">
        <f t="shared" si="78"/>
        <v>0.49377481660946232</v>
      </c>
      <c r="H50" s="111">
        <f t="shared" si="78"/>
        <v>0.84269271014998259</v>
      </c>
      <c r="I50" s="111">
        <f t="shared" si="78"/>
        <v>0.85114754098360657</v>
      </c>
      <c r="J50" s="111">
        <f t="shared" si="78"/>
        <v>0</v>
      </c>
      <c r="K50" s="111">
        <f t="shared" si="78"/>
        <v>2.2226890756302522</v>
      </c>
      <c r="L50" s="111">
        <f t="shared" si="78"/>
        <v>0.68554396423248876</v>
      </c>
      <c r="M50" s="111">
        <f t="shared" si="78"/>
        <v>0.92532845501413619</v>
      </c>
      <c r="N50" s="111">
        <f t="shared" si="78"/>
        <v>1.7149825783972128</v>
      </c>
      <c r="O50" s="248"/>
      <c r="P50" s="114">
        <f t="shared" si="76"/>
        <v>0.44892442581390141</v>
      </c>
      <c r="Q50" s="112">
        <f t="shared" si="76"/>
        <v>0.95577962152899654</v>
      </c>
      <c r="R50" s="112"/>
      <c r="S50" s="112"/>
      <c r="T50" s="112"/>
      <c r="U50" s="115">
        <f>U61/U28</f>
        <v>0.62755850042603922</v>
      </c>
      <c r="V50" s="79"/>
      <c r="W50" s="112">
        <f t="shared" ref="W50:AH50" si="79">W61/W28</f>
        <v>0.59225665152679308</v>
      </c>
      <c r="X50" s="112">
        <f t="shared" si="79"/>
        <v>0.6975897716949937</v>
      </c>
      <c r="Y50" s="112">
        <f t="shared" si="79"/>
        <v>0.66813045330894572</v>
      </c>
      <c r="Z50" s="112">
        <f t="shared" si="79"/>
        <v>0.76713619000232092</v>
      </c>
      <c r="AA50" s="112">
        <f t="shared" si="79"/>
        <v>0.79097069102950557</v>
      </c>
      <c r="AB50" s="112">
        <f t="shared" si="79"/>
        <v>0.81914786693176711</v>
      </c>
      <c r="AC50" s="112">
        <f t="shared" si="79"/>
        <v>0.73282166164439666</v>
      </c>
      <c r="AD50" s="112">
        <f t="shared" si="79"/>
        <v>0</v>
      </c>
      <c r="AE50" s="112">
        <f t="shared" si="79"/>
        <v>0.80987477780064232</v>
      </c>
      <c r="AF50" s="112">
        <f t="shared" si="79"/>
        <v>0.84807636941246567</v>
      </c>
      <c r="AG50" s="112">
        <f t="shared" si="79"/>
        <v>0.94628804229279251</v>
      </c>
      <c r="AH50" s="112">
        <f t="shared" si="79"/>
        <v>0.99832601696506151</v>
      </c>
      <c r="AI50" s="117"/>
      <c r="AJ50" s="114">
        <f t="shared" si="68"/>
        <v>0.72204245003278344</v>
      </c>
      <c r="AK50" s="112">
        <f t="shared" si="68"/>
        <v>0.82936799854528531</v>
      </c>
      <c r="AL50" s="115">
        <f t="shared" si="68"/>
        <v>0.78725486923566246</v>
      </c>
      <c r="AM50" s="61"/>
      <c r="AN50" s="61"/>
      <c r="AO50" s="61"/>
      <c r="AP50" s="61"/>
      <c r="AQ50" s="61"/>
      <c r="AR50" s="61"/>
      <c r="AS50" s="61"/>
      <c r="AT50" s="61"/>
      <c r="AU50" s="61"/>
    </row>
    <row r="51" spans="2:47" ht="15.75" customHeight="1">
      <c r="B51" s="79" t="s">
        <v>186</v>
      </c>
      <c r="C51" s="111"/>
      <c r="D51" s="111"/>
      <c r="E51" s="111"/>
      <c r="F51" s="111">
        <f t="shared" ref="F51:N51" si="80">F62/F29</f>
        <v>0.244104223117421</v>
      </c>
      <c r="G51" s="111">
        <f t="shared" si="80"/>
        <v>0.34697689815800054</v>
      </c>
      <c r="H51" s="111">
        <f t="shared" si="80"/>
        <v>0.12486304343332023</v>
      </c>
      <c r="I51" s="111">
        <f t="shared" si="80"/>
        <v>0.74296296296296294</v>
      </c>
      <c r="J51" s="111">
        <f t="shared" si="80"/>
        <v>0</v>
      </c>
      <c r="K51" s="111">
        <f t="shared" si="80"/>
        <v>0.27032704973881438</v>
      </c>
      <c r="L51" s="111">
        <f t="shared" si="80"/>
        <v>0.24386939439100394</v>
      </c>
      <c r="M51" s="111">
        <f t="shared" si="80"/>
        <v>0.23558738674900037</v>
      </c>
      <c r="N51" s="111">
        <f t="shared" si="80"/>
        <v>0.40848356309650058</v>
      </c>
      <c r="O51" s="248"/>
      <c r="P51" s="114">
        <f t="shared" si="76"/>
        <v>0.23042708158773023</v>
      </c>
      <c r="Q51" s="112">
        <f t="shared" si="76"/>
        <v>0.28803320060945259</v>
      </c>
      <c r="R51" s="112"/>
      <c r="S51" s="112"/>
      <c r="T51" s="112"/>
      <c r="U51" s="115">
        <f>U62/U29</f>
        <v>0.26194165144957582</v>
      </c>
      <c r="V51" s="79"/>
      <c r="W51" s="116">
        <f t="shared" ref="W51:AH51" si="81">W62/W29</f>
        <v>0.24720673097026702</v>
      </c>
      <c r="X51" s="116">
        <f t="shared" si="81"/>
        <v>0.29117256273011716</v>
      </c>
      <c r="Y51" s="116">
        <f t="shared" si="81"/>
        <v>0.2788763026947873</v>
      </c>
      <c r="Z51" s="116">
        <f t="shared" si="81"/>
        <v>0.32020109736307495</v>
      </c>
      <c r="AA51" s="116">
        <f t="shared" si="81"/>
        <v>0.33014956998562556</v>
      </c>
      <c r="AB51" s="116">
        <f t="shared" si="81"/>
        <v>0.34191066633602613</v>
      </c>
      <c r="AC51" s="116">
        <f t="shared" si="81"/>
        <v>0.30587828248496257</v>
      </c>
      <c r="AD51" s="116">
        <f t="shared" si="81"/>
        <v>0</v>
      </c>
      <c r="AE51" s="116">
        <f t="shared" si="81"/>
        <v>0.33804009764896842</v>
      </c>
      <c r="AF51" s="116">
        <f t="shared" si="81"/>
        <v>0.3539853648838317</v>
      </c>
      <c r="AG51" s="116">
        <f t="shared" si="81"/>
        <v>0.39497871891924602</v>
      </c>
      <c r="AH51" s="116">
        <f t="shared" si="81"/>
        <v>0.41669926451697364</v>
      </c>
      <c r="AI51" s="117"/>
      <c r="AJ51" s="114">
        <f t="shared" si="68"/>
        <v>0.30137906131442055</v>
      </c>
      <c r="AK51" s="112">
        <f t="shared" si="68"/>
        <v>0.34617652864377846</v>
      </c>
      <c r="AL51" s="115">
        <f t="shared" si="68"/>
        <v>0.32859859346867792</v>
      </c>
      <c r="AM51" s="61"/>
      <c r="AN51" s="61"/>
      <c r="AO51" s="61"/>
      <c r="AP51" s="61"/>
      <c r="AQ51" s="61"/>
      <c r="AR51" s="61"/>
      <c r="AS51" s="61"/>
      <c r="AT51" s="61"/>
      <c r="AU51" s="61"/>
    </row>
    <row r="52" spans="2:47" ht="15.75" customHeight="1">
      <c r="B52" s="74"/>
      <c r="C52" s="74"/>
      <c r="D52" s="74"/>
      <c r="E52" s="74"/>
      <c r="F52" s="118">
        <f>AVERAGE(F55:H55)</f>
        <v>69.666666666666671</v>
      </c>
      <c r="G52" s="104"/>
      <c r="H52" s="104"/>
      <c r="I52" s="104"/>
      <c r="J52" s="104"/>
      <c r="K52" s="104"/>
      <c r="L52" s="104"/>
      <c r="M52" s="104"/>
      <c r="N52" s="104"/>
      <c r="O52" s="248"/>
      <c r="P52" s="104"/>
      <c r="Q52" s="104"/>
      <c r="R52" s="104"/>
      <c r="S52" s="104"/>
      <c r="T52" s="104"/>
      <c r="U52" s="104"/>
      <c r="V52" s="7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61"/>
      <c r="AN52" s="61"/>
      <c r="AO52" s="61"/>
      <c r="AP52" s="61"/>
      <c r="AQ52" s="61"/>
      <c r="AR52" s="61"/>
      <c r="AS52" s="61"/>
      <c r="AT52" s="61"/>
      <c r="AU52" s="61"/>
    </row>
    <row r="53" spans="2:47" ht="15.75" customHeight="1">
      <c r="B53" s="74"/>
      <c r="C53" s="253"/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71"/>
      <c r="O53" s="248"/>
      <c r="P53" s="104"/>
      <c r="Q53" s="104"/>
      <c r="R53" s="104"/>
      <c r="S53" s="104"/>
      <c r="T53" s="104"/>
      <c r="U53" s="104"/>
      <c r="V53" s="74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104"/>
      <c r="AJ53" s="104"/>
      <c r="AK53" s="104"/>
      <c r="AL53" s="104"/>
      <c r="AM53" s="61"/>
      <c r="AN53" s="61"/>
      <c r="AO53" s="61"/>
      <c r="AP53" s="61"/>
      <c r="AQ53" s="61"/>
      <c r="AR53" s="61"/>
      <c r="AS53" s="61"/>
      <c r="AT53" s="61"/>
      <c r="AU53" s="61"/>
    </row>
    <row r="54" spans="2:47" ht="15.75" customHeight="1">
      <c r="B54" s="74" t="s">
        <v>55</v>
      </c>
      <c r="C54" s="88">
        <f>SUM(C55:C63)</f>
        <v>315</v>
      </c>
      <c r="D54" s="88">
        <f t="shared" ref="D54:N54" si="82">SUM(D55:D63)</f>
        <v>826</v>
      </c>
      <c r="E54" s="88">
        <f t="shared" si="82"/>
        <v>673</v>
      </c>
      <c r="F54" s="88">
        <f t="shared" si="82"/>
        <v>566</v>
      </c>
      <c r="G54" s="88">
        <f t="shared" si="82"/>
        <v>627</v>
      </c>
      <c r="H54" s="88">
        <f t="shared" si="82"/>
        <v>615</v>
      </c>
      <c r="I54" s="88">
        <f t="shared" si="82"/>
        <v>473</v>
      </c>
      <c r="J54" s="88">
        <f t="shared" si="82"/>
        <v>0</v>
      </c>
      <c r="K54" s="88">
        <f t="shared" si="82"/>
        <v>711</v>
      </c>
      <c r="L54" s="88">
        <f t="shared" si="82"/>
        <v>518</v>
      </c>
      <c r="M54" s="88">
        <f t="shared" si="82"/>
        <v>1127</v>
      </c>
      <c r="N54" s="88">
        <f t="shared" si="82"/>
        <v>596</v>
      </c>
      <c r="O54" s="248"/>
      <c r="P54" s="88">
        <f>SUM(C54:H54)</f>
        <v>3622</v>
      </c>
      <c r="Q54" s="89">
        <f>SUM(I54:N54)</f>
        <v>3425</v>
      </c>
      <c r="R54" s="89"/>
      <c r="S54" s="89"/>
      <c r="T54" s="89"/>
      <c r="U54" s="90">
        <f>SUM(C54:N54)</f>
        <v>7047</v>
      </c>
      <c r="V54" s="74"/>
      <c r="W54" s="89">
        <v>494.27811297739117</v>
      </c>
      <c r="X54" s="89">
        <v>443.56297604760755</v>
      </c>
      <c r="Y54" s="89">
        <v>451.81594375066152</v>
      </c>
      <c r="Z54" s="89">
        <v>529.00346943753993</v>
      </c>
      <c r="AA54" s="89">
        <v>604.73980274091264</v>
      </c>
      <c r="AB54" s="89">
        <v>645.54236893220423</v>
      </c>
      <c r="AC54" s="89">
        <v>533.6588164244813</v>
      </c>
      <c r="AD54" s="89">
        <v>0</v>
      </c>
      <c r="AE54" s="89">
        <v>730.00541318095236</v>
      </c>
      <c r="AF54" s="89">
        <v>944.35676845312423</v>
      </c>
      <c r="AG54" s="89">
        <v>2297.0259838892061</v>
      </c>
      <c r="AH54" s="89">
        <v>1131.481728093846</v>
      </c>
      <c r="AI54" s="93"/>
      <c r="AJ54" s="88">
        <f>SUM(W54:AB54)</f>
        <v>3168.9426738863172</v>
      </c>
      <c r="AK54" s="89">
        <f>SUM(AC54:AH54)</f>
        <v>5636.5287100416099</v>
      </c>
      <c r="AL54" s="90">
        <f>SUM(W54:AH54)</f>
        <v>8805.4713839279284</v>
      </c>
      <c r="AM54" s="61"/>
      <c r="AN54" s="61"/>
      <c r="AO54" s="61"/>
      <c r="AP54" s="61"/>
      <c r="AQ54" s="61"/>
      <c r="AR54" s="61"/>
      <c r="AS54" s="61"/>
      <c r="AT54" s="61"/>
      <c r="AU54" s="61"/>
    </row>
    <row r="55" spans="2:47" ht="15.75" customHeight="1">
      <c r="B55" s="79" t="s">
        <v>187</v>
      </c>
      <c r="C55" s="119">
        <v>48</v>
      </c>
      <c r="D55" s="119">
        <v>168</v>
      </c>
      <c r="E55" s="119">
        <v>106</v>
      </c>
      <c r="F55" s="119">
        <v>55</v>
      </c>
      <c r="G55" s="119">
        <v>81</v>
      </c>
      <c r="H55" s="119">
        <v>73</v>
      </c>
      <c r="I55" s="119">
        <v>79</v>
      </c>
      <c r="J55" s="119">
        <v>0</v>
      </c>
      <c r="K55" s="119">
        <v>101</v>
      </c>
      <c r="L55" s="119">
        <v>54</v>
      </c>
      <c r="M55" s="119">
        <v>105</v>
      </c>
      <c r="N55" s="119">
        <v>64</v>
      </c>
      <c r="O55" s="248"/>
      <c r="P55" s="91">
        <f>SUM(C55:H55)</f>
        <v>531</v>
      </c>
      <c r="Q55" s="92">
        <f>SUM(I55:N55)</f>
        <v>403</v>
      </c>
      <c r="R55" s="251">
        <f>P55/$P$54</f>
        <v>0.146604086140254</v>
      </c>
      <c r="S55" s="251">
        <f>Q55/$Q$54</f>
        <v>0.11766423357664234</v>
      </c>
      <c r="T55" s="251">
        <f>U55/$U$54</f>
        <v>0.13253866893713637</v>
      </c>
      <c r="U55" s="94">
        <f>SUM(C55:N55)</f>
        <v>934</v>
      </c>
      <c r="V55" s="79"/>
      <c r="W55" s="252">
        <f>$W$54*T55</f>
        <v>65.51096317878293</v>
      </c>
      <c r="X55" s="252">
        <f>$X$54*T55</f>
        <v>58.789246435144804</v>
      </c>
      <c r="Y55" s="252">
        <f>$Y$54*T55</f>
        <v>59.883083789288754</v>
      </c>
      <c r="Z55" s="252">
        <f>$Z$54*T55</f>
        <v>70.113415702378646</v>
      </c>
      <c r="AA55" s="252">
        <f>$AA$54*T55</f>
        <v>80.151408508586968</v>
      </c>
      <c r="AB55" s="252">
        <f>$AB$54*T55</f>
        <v>85.559326320800167</v>
      </c>
      <c r="AC55" s="252">
        <f>$AC$54*T55</f>
        <v>70.730429195468361</v>
      </c>
      <c r="AD55" s="252">
        <f>$AD$54*T55</f>
        <v>0</v>
      </c>
      <c r="AE55" s="252">
        <f>$AE$54*T55</f>
        <v>96.753945779907696</v>
      </c>
      <c r="AF55" s="252">
        <f>$AF$54*T55</f>
        <v>125.16378909255258</v>
      </c>
      <c r="AG55" s="252">
        <f>$AG$54*T55</f>
        <v>304.44476641869142</v>
      </c>
      <c r="AH55" s="252">
        <f>$AH$54*T55</f>
        <v>149.96508216824921</v>
      </c>
      <c r="AI55" s="120"/>
      <c r="AJ55" s="91">
        <f>SUM(W55:AB55)</f>
        <v>420.00744393498229</v>
      </c>
      <c r="AK55" s="92">
        <f>SUM(AC55:AH55)</f>
        <v>747.05801265486923</v>
      </c>
      <c r="AL55" s="94">
        <f>SUM(W55:AH55)</f>
        <v>1167.0654565898515</v>
      </c>
      <c r="AM55" s="61"/>
      <c r="AN55" s="61"/>
      <c r="AO55" s="61"/>
      <c r="AP55" s="61"/>
      <c r="AQ55" s="61"/>
      <c r="AR55" s="61"/>
      <c r="AS55" s="61"/>
      <c r="AT55" s="61"/>
      <c r="AU55" s="61"/>
    </row>
    <row r="56" spans="2:47" ht="15.75" customHeight="1">
      <c r="B56" s="79" t="s">
        <v>188</v>
      </c>
      <c r="C56" s="119">
        <v>52</v>
      </c>
      <c r="D56" s="119">
        <v>186</v>
      </c>
      <c r="E56" s="119">
        <v>94</v>
      </c>
      <c r="F56" s="119">
        <v>89</v>
      </c>
      <c r="G56" s="119">
        <v>80</v>
      </c>
      <c r="H56" s="119">
        <v>72</v>
      </c>
      <c r="I56" s="119">
        <v>57</v>
      </c>
      <c r="J56" s="119">
        <v>0</v>
      </c>
      <c r="K56" s="119">
        <v>63</v>
      </c>
      <c r="L56" s="119">
        <v>13</v>
      </c>
      <c r="M56" s="119">
        <v>82</v>
      </c>
      <c r="N56" s="119">
        <v>43</v>
      </c>
      <c r="O56" s="248"/>
      <c r="P56" s="91">
        <f>SUM(C56:H56)</f>
        <v>573</v>
      </c>
      <c r="Q56" s="92">
        <f>SUM(I56:N56)</f>
        <v>258</v>
      </c>
      <c r="R56" s="251">
        <f t="shared" ref="R56:R63" si="83">P56/$P$54</f>
        <v>0.15819988956377692</v>
      </c>
      <c r="S56" s="251">
        <f t="shared" ref="S56:S63" si="84">Q56/$Q$54</f>
        <v>7.5328467153284673E-2</v>
      </c>
      <c r="T56" s="251">
        <f t="shared" ref="T56:T62" si="85">U56/$U$54</f>
        <v>0.1179225202213708</v>
      </c>
      <c r="U56" s="94">
        <f>SUM(C56:N56)</f>
        <v>831</v>
      </c>
      <c r="V56" s="79"/>
      <c r="W56" s="252">
        <f t="shared" ref="W56:W62" si="86">$W$54*T56</f>
        <v>58.286520772557409</v>
      </c>
      <c r="X56" s="252">
        <f t="shared" ref="X56:X62" si="87">$X$54*T56</f>
        <v>52.306064012425416</v>
      </c>
      <c r="Y56" s="252">
        <f t="shared" ref="Y56:Y62" si="88">$Y$54*T56</f>
        <v>53.279274763275112</v>
      </c>
      <c r="Z56" s="252">
        <f t="shared" ref="Z56:Z62" si="89">$Z$54*T56</f>
        <v>62.381422321923615</v>
      </c>
      <c r="AA56" s="252">
        <f t="shared" ref="AA56:AA62" si="90">$AA$54*T56</f>
        <v>71.312441617383058</v>
      </c>
      <c r="AB56" s="252">
        <f t="shared" ref="AB56:AB62" si="91">$AB$54*T56</f>
        <v>76.123983054159467</v>
      </c>
      <c r="AC56" s="252">
        <f t="shared" ref="AC56:AC62" si="92">$AC$54*T56</f>
        <v>62.930392571128706</v>
      </c>
      <c r="AD56" s="252">
        <f t="shared" ref="AD56:AD62" si="93">$AD$54*T56</f>
        <v>0</v>
      </c>
      <c r="AE56" s="252">
        <f t="shared" ref="AE56:AE62" si="94">$AE$54*T56</f>
        <v>86.084078097540996</v>
      </c>
      <c r="AF56" s="252">
        <f t="shared" ref="AF56:AF62" si="95">$AF$54*T56</f>
        <v>111.36093012410193</v>
      </c>
      <c r="AG56" s="252">
        <f t="shared" ref="AG56:AG62" si="96">$AG$54*T56</f>
        <v>270.87109303418907</v>
      </c>
      <c r="AH56" s="252">
        <f t="shared" ref="AH56:AH62" si="97">$AH$54*T56</f>
        <v>133.42717696125814</v>
      </c>
      <c r="AI56" s="120"/>
      <c r="AJ56" s="91">
        <f>SUM(W56:AB56)</f>
        <v>373.68970654172404</v>
      </c>
      <c r="AK56" s="92">
        <f>SUM(AC56:AH56)</f>
        <v>664.67367078821883</v>
      </c>
      <c r="AL56" s="94">
        <f>SUM(W56:AH56)</f>
        <v>1038.3633773299428</v>
      </c>
      <c r="AM56" s="61"/>
      <c r="AN56" s="61"/>
      <c r="AO56" s="61"/>
      <c r="AP56" s="61"/>
      <c r="AQ56" s="61"/>
      <c r="AR56" s="61"/>
      <c r="AS56" s="61"/>
      <c r="AT56" s="61"/>
      <c r="AU56" s="61"/>
    </row>
    <row r="57" spans="2:47" ht="15.75" customHeight="1">
      <c r="B57" s="79" t="s">
        <v>189</v>
      </c>
      <c r="C57" s="119">
        <v>27</v>
      </c>
      <c r="D57" s="119">
        <v>94</v>
      </c>
      <c r="E57" s="119">
        <v>48</v>
      </c>
      <c r="F57" s="119">
        <v>34</v>
      </c>
      <c r="G57" s="119">
        <v>52</v>
      </c>
      <c r="H57" s="119">
        <v>45</v>
      </c>
      <c r="I57" s="119">
        <v>60</v>
      </c>
      <c r="J57" s="119">
        <v>0</v>
      </c>
      <c r="K57" s="119">
        <v>59</v>
      </c>
      <c r="L57" s="119">
        <v>43</v>
      </c>
      <c r="M57" s="119">
        <v>73</v>
      </c>
      <c r="N57" s="119">
        <v>36</v>
      </c>
      <c r="O57" s="248"/>
      <c r="P57" s="91">
        <f t="shared" ref="P57:P62" si="98">SUM(C57:H57)</f>
        <v>300</v>
      </c>
      <c r="Q57" s="92">
        <f t="shared" ref="Q57:Q63" si="99">SUM(I57:N57)</f>
        <v>271</v>
      </c>
      <c r="R57" s="251">
        <f t="shared" si="83"/>
        <v>8.2827167310877969E-2</v>
      </c>
      <c r="S57" s="251">
        <f t="shared" si="84"/>
        <v>7.9124087591240871E-2</v>
      </c>
      <c r="T57" s="251">
        <f t="shared" si="85"/>
        <v>8.1027387540797496E-2</v>
      </c>
      <c r="U57" s="94">
        <f t="shared" ref="U57:U63" si="100">SUM(C57:N57)</f>
        <v>571</v>
      </c>
      <c r="V57" s="79"/>
      <c r="W57" s="252">
        <f t="shared" si="86"/>
        <v>40.050064213153163</v>
      </c>
      <c r="X57" s="252">
        <f t="shared" si="87"/>
        <v>35.940749158958972</v>
      </c>
      <c r="Y57" s="252">
        <f t="shared" si="88"/>
        <v>36.609465571396015</v>
      </c>
      <c r="Z57" s="252">
        <f t="shared" si="89"/>
        <v>42.863769128541975</v>
      </c>
      <c r="AA57" s="252">
        <f t="shared" si="90"/>
        <v>49.000486358033363</v>
      </c>
      <c r="AB57" s="252">
        <f t="shared" si="91"/>
        <v>52.306611701474182</v>
      </c>
      <c r="AC57" s="252">
        <f t="shared" si="92"/>
        <v>43.240979732989757</v>
      </c>
      <c r="AD57" s="252">
        <f t="shared" si="93"/>
        <v>0</v>
      </c>
      <c r="AE57" s="252">
        <f t="shared" si="94"/>
        <v>59.150431520693026</v>
      </c>
      <c r="AF57" s="252">
        <f t="shared" si="95"/>
        <v>76.518761854226469</v>
      </c>
      <c r="AG57" s="252">
        <f t="shared" si="96"/>
        <v>186.12201458787237</v>
      </c>
      <c r="AH57" s="252">
        <f t="shared" si="97"/>
        <v>91.68100847759132</v>
      </c>
      <c r="AI57" s="120"/>
      <c r="AJ57" s="91">
        <f t="shared" ref="AJ57:AJ63" si="101">SUM(W57:AB57)</f>
        <v>256.77114613155766</v>
      </c>
      <c r="AK57" s="92">
        <f t="shared" ref="AK57:AK63" si="102">SUM(AC57:AH57)</f>
        <v>456.71319617337298</v>
      </c>
      <c r="AL57" s="94">
        <f t="shared" ref="AL57:AL63" si="103">SUM(W57:AH57)</f>
        <v>713.48434230493058</v>
      </c>
      <c r="AM57" s="61"/>
      <c r="AN57" s="61"/>
      <c r="AO57" s="61"/>
      <c r="AP57" s="61"/>
      <c r="AQ57" s="61"/>
      <c r="AR57" s="61"/>
      <c r="AS57" s="61"/>
      <c r="AT57" s="61"/>
      <c r="AU57" s="61"/>
    </row>
    <row r="58" spans="2:47" ht="15.75" customHeight="1">
      <c r="B58" s="79" t="s">
        <v>190</v>
      </c>
      <c r="C58" s="119">
        <v>87</v>
      </c>
      <c r="D58" s="119">
        <v>223</v>
      </c>
      <c r="E58" s="119">
        <v>157</v>
      </c>
      <c r="F58" s="119">
        <v>106</v>
      </c>
      <c r="G58" s="119">
        <v>100</v>
      </c>
      <c r="H58" s="119">
        <v>73</v>
      </c>
      <c r="I58" s="119">
        <v>58</v>
      </c>
      <c r="J58" s="119">
        <v>0</v>
      </c>
      <c r="K58" s="119">
        <v>146</v>
      </c>
      <c r="L58" s="119">
        <v>120</v>
      </c>
      <c r="M58" s="119">
        <v>207</v>
      </c>
      <c r="N58" s="119">
        <v>96</v>
      </c>
      <c r="O58" s="248"/>
      <c r="P58" s="91">
        <f t="shared" si="98"/>
        <v>746</v>
      </c>
      <c r="Q58" s="92">
        <f t="shared" si="99"/>
        <v>627</v>
      </c>
      <c r="R58" s="251">
        <f t="shared" si="83"/>
        <v>0.20596355604638322</v>
      </c>
      <c r="S58" s="251">
        <f t="shared" si="84"/>
        <v>0.18306569343065693</v>
      </c>
      <c r="T58" s="251">
        <f t="shared" si="85"/>
        <v>0.19483468142471974</v>
      </c>
      <c r="U58" s="94">
        <f t="shared" si="100"/>
        <v>1373</v>
      </c>
      <c r="V58" s="79"/>
      <c r="W58" s="252">
        <f t="shared" si="86"/>
        <v>96.302518677161643</v>
      </c>
      <c r="X58" s="252">
        <f t="shared" si="87"/>
        <v>86.421451130036203</v>
      </c>
      <c r="Y58" s="252">
        <f t="shared" si="88"/>
        <v>88.029415463269231</v>
      </c>
      <c r="Z58" s="252">
        <f t="shared" si="89"/>
        <v>103.06822244043455</v>
      </c>
      <c r="AA58" s="252">
        <f t="shared" si="90"/>
        <v>117.82428681187358</v>
      </c>
      <c r="AB58" s="252">
        <f t="shared" si="91"/>
        <v>125.77404179706491</v>
      </c>
      <c r="AC58" s="252">
        <f t="shared" si="92"/>
        <v>103.9752454875568</v>
      </c>
      <c r="AD58" s="252">
        <f t="shared" si="93"/>
        <v>0</v>
      </c>
      <c r="AE58" s="252">
        <f t="shared" si="94"/>
        <v>142.23037211543175</v>
      </c>
      <c r="AF58" s="252">
        <f t="shared" si="95"/>
        <v>183.9934501328423</v>
      </c>
      <c r="AG58" s="252">
        <f t="shared" si="96"/>
        <v>447.54032579535692</v>
      </c>
      <c r="AH58" s="252">
        <f t="shared" si="97"/>
        <v>220.45188203105585</v>
      </c>
      <c r="AI58" s="120"/>
      <c r="AJ58" s="91">
        <f t="shared" si="101"/>
        <v>617.41993631984019</v>
      </c>
      <c r="AK58" s="92">
        <f t="shared" si="102"/>
        <v>1098.1912755622436</v>
      </c>
      <c r="AL58" s="94">
        <f t="shared" si="103"/>
        <v>1715.6112118820838</v>
      </c>
      <c r="AM58" s="61"/>
      <c r="AN58" s="61"/>
      <c r="AO58" s="61"/>
      <c r="AP58" s="61"/>
      <c r="AQ58" s="61"/>
      <c r="AR58" s="61"/>
      <c r="AS58" s="61"/>
      <c r="AT58" s="61"/>
      <c r="AU58" s="61"/>
    </row>
    <row r="59" spans="2:47" ht="15.75" customHeight="1">
      <c r="B59" s="79" t="s">
        <v>191</v>
      </c>
      <c r="C59" s="119">
        <v>58</v>
      </c>
      <c r="D59" s="119">
        <v>64</v>
      </c>
      <c r="E59" s="119">
        <v>92</v>
      </c>
      <c r="F59" s="119">
        <v>90</v>
      </c>
      <c r="G59" s="119">
        <v>125</v>
      </c>
      <c r="H59" s="119">
        <v>150</v>
      </c>
      <c r="I59" s="119">
        <v>95</v>
      </c>
      <c r="J59" s="119">
        <v>0</v>
      </c>
      <c r="K59" s="119">
        <v>198</v>
      </c>
      <c r="L59" s="119">
        <v>176</v>
      </c>
      <c r="M59" s="119">
        <v>354</v>
      </c>
      <c r="N59" s="119">
        <v>201</v>
      </c>
      <c r="O59" s="248"/>
      <c r="P59" s="91">
        <f t="shared" si="98"/>
        <v>579</v>
      </c>
      <c r="Q59" s="92">
        <f t="shared" si="99"/>
        <v>1024</v>
      </c>
      <c r="R59" s="251">
        <f t="shared" si="83"/>
        <v>0.15985643290999449</v>
      </c>
      <c r="S59" s="251">
        <f t="shared" si="84"/>
        <v>0.29897810218978105</v>
      </c>
      <c r="T59" s="251">
        <v>0.28999999999999998</v>
      </c>
      <c r="U59" s="94">
        <f t="shared" si="100"/>
        <v>1603</v>
      </c>
      <c r="V59" s="79"/>
      <c r="W59" s="252">
        <f t="shared" si="86"/>
        <v>143.34065276344344</v>
      </c>
      <c r="X59" s="252">
        <f t="shared" si="87"/>
        <v>128.63326305380619</v>
      </c>
      <c r="Y59" s="252">
        <f t="shared" si="88"/>
        <v>131.02662368769182</v>
      </c>
      <c r="Z59" s="252">
        <f t="shared" si="89"/>
        <v>153.41100613688658</v>
      </c>
      <c r="AA59" s="252">
        <f t="shared" si="90"/>
        <v>175.37454279486465</v>
      </c>
      <c r="AB59" s="252">
        <f t="shared" si="91"/>
        <v>187.20728699033921</v>
      </c>
      <c r="AC59" s="252">
        <f t="shared" si="92"/>
        <v>154.76105676309956</v>
      </c>
      <c r="AD59" s="252">
        <f t="shared" si="93"/>
        <v>0</v>
      </c>
      <c r="AE59" s="252">
        <f t="shared" si="94"/>
        <v>211.70156982247616</v>
      </c>
      <c r="AF59" s="252">
        <f t="shared" si="95"/>
        <v>273.86346285140598</v>
      </c>
      <c r="AG59" s="252">
        <f t="shared" si="96"/>
        <v>666.13753532786973</v>
      </c>
      <c r="AH59" s="252">
        <f t="shared" si="97"/>
        <v>328.12970114721531</v>
      </c>
      <c r="AI59" s="120"/>
      <c r="AJ59" s="91">
        <f t="shared" si="101"/>
        <v>918.99337542703188</v>
      </c>
      <c r="AK59" s="92">
        <f t="shared" si="102"/>
        <v>1634.5933259120666</v>
      </c>
      <c r="AL59" s="94">
        <f t="shared" si="103"/>
        <v>2553.5867013390985</v>
      </c>
      <c r="AM59" s="61"/>
      <c r="AN59" s="61"/>
      <c r="AO59" s="61"/>
      <c r="AP59" s="61"/>
      <c r="AQ59" s="61"/>
      <c r="AR59" s="61"/>
      <c r="AS59" s="61"/>
      <c r="AT59" s="61"/>
      <c r="AU59" s="61"/>
    </row>
    <row r="60" spans="2:47" ht="15.75" customHeight="1">
      <c r="B60" s="79" t="s">
        <v>192</v>
      </c>
      <c r="C60" s="119">
        <v>0</v>
      </c>
      <c r="D60" s="119">
        <v>47</v>
      </c>
      <c r="E60" s="119">
        <v>95</v>
      </c>
      <c r="F60" s="119">
        <v>84</v>
      </c>
      <c r="G60" s="119">
        <v>59</v>
      </c>
      <c r="H60" s="119">
        <v>51</v>
      </c>
      <c r="I60" s="119">
        <v>40</v>
      </c>
      <c r="J60" s="119">
        <v>0</v>
      </c>
      <c r="K60" s="119">
        <v>109</v>
      </c>
      <c r="L60" s="119">
        <v>79</v>
      </c>
      <c r="M60" s="119">
        <v>225</v>
      </c>
      <c r="N60" s="119">
        <v>121</v>
      </c>
      <c r="O60" s="248"/>
      <c r="P60" s="91">
        <f t="shared" si="98"/>
        <v>336</v>
      </c>
      <c r="Q60" s="92">
        <f t="shared" si="99"/>
        <v>574</v>
      </c>
      <c r="R60" s="251">
        <f t="shared" si="83"/>
        <v>9.2766427388183317E-2</v>
      </c>
      <c r="S60" s="251">
        <f t="shared" si="84"/>
        <v>0.1675912408759124</v>
      </c>
      <c r="T60" s="251">
        <f t="shared" si="85"/>
        <v>0.12913296438200653</v>
      </c>
      <c r="U60" s="94">
        <f t="shared" si="100"/>
        <v>910</v>
      </c>
      <c r="V60" s="79"/>
      <c r="W60" s="252">
        <f t="shared" si="86"/>
        <v>63.827597957914854</v>
      </c>
      <c r="X60" s="252">
        <f t="shared" si="87"/>
        <v>57.278601987132518</v>
      </c>
      <c r="Y60" s="252">
        <f t="shared" si="88"/>
        <v>58.344332171576838</v>
      </c>
      <c r="Z60" s="252">
        <f t="shared" si="89"/>
        <v>68.311786176835724</v>
      </c>
      <c r="AA60" s="252">
        <f t="shared" si="90"/>
        <v>78.091843407723928</v>
      </c>
      <c r="AB60" s="252">
        <f t="shared" si="91"/>
        <v>83.360799734398441</v>
      </c>
      <c r="AC60" s="252">
        <f t="shared" si="92"/>
        <v>68.912944933486301</v>
      </c>
      <c r="AD60" s="252">
        <f t="shared" si="93"/>
        <v>0</v>
      </c>
      <c r="AE60" s="252">
        <f t="shared" si="94"/>
        <v>94.267763018967884</v>
      </c>
      <c r="AF60" s="252">
        <f t="shared" si="95"/>
        <v>121.94758894456407</v>
      </c>
      <c r="AG60" s="252">
        <f t="shared" si="96"/>
        <v>296.62177456210833</v>
      </c>
      <c r="AH60" s="252">
        <f t="shared" si="97"/>
        <v>146.1115896928338</v>
      </c>
      <c r="AI60" s="120"/>
      <c r="AJ60" s="91">
        <f t="shared" si="101"/>
        <v>409.21496143558232</v>
      </c>
      <c r="AK60" s="92">
        <f t="shared" si="102"/>
        <v>727.86166115196033</v>
      </c>
      <c r="AL60" s="94">
        <f t="shared" si="103"/>
        <v>1137.0766225875427</v>
      </c>
      <c r="AM60" s="61"/>
      <c r="AN60" s="61"/>
      <c r="AO60" s="61"/>
      <c r="AP60" s="61"/>
      <c r="AQ60" s="61"/>
      <c r="AR60" s="61"/>
      <c r="AS60" s="61"/>
      <c r="AT60" s="61"/>
      <c r="AU60" s="61"/>
    </row>
    <row r="61" spans="2:47" ht="15.75" customHeight="1">
      <c r="B61" s="79" t="s">
        <v>193</v>
      </c>
      <c r="C61" s="119">
        <v>0</v>
      </c>
      <c r="D61" s="119">
        <v>0</v>
      </c>
      <c r="E61" s="119">
        <v>0</v>
      </c>
      <c r="F61" s="119">
        <v>30</v>
      </c>
      <c r="G61" s="119">
        <v>44</v>
      </c>
      <c r="H61" s="119">
        <v>52</v>
      </c>
      <c r="I61" s="119">
        <v>22</v>
      </c>
      <c r="J61" s="119">
        <v>0</v>
      </c>
      <c r="K61" s="119">
        <v>26</v>
      </c>
      <c r="L61" s="119">
        <v>23</v>
      </c>
      <c r="M61" s="119">
        <v>52</v>
      </c>
      <c r="N61" s="119">
        <v>23</v>
      </c>
      <c r="O61" s="248"/>
      <c r="P61" s="91">
        <f t="shared" si="98"/>
        <v>126</v>
      </c>
      <c r="Q61" s="92">
        <f t="shared" si="99"/>
        <v>146</v>
      </c>
      <c r="R61" s="251">
        <f t="shared" si="83"/>
        <v>3.4787410270568746E-2</v>
      </c>
      <c r="S61" s="251">
        <f t="shared" si="84"/>
        <v>4.2627737226277371E-2</v>
      </c>
      <c r="T61" s="251">
        <f t="shared" si="85"/>
        <v>3.8597984958138216E-2</v>
      </c>
      <c r="U61" s="94">
        <f t="shared" si="100"/>
        <v>272</v>
      </c>
      <c r="V61" s="79"/>
      <c r="W61" s="252">
        <f t="shared" si="86"/>
        <v>19.078139169838288</v>
      </c>
      <c r="X61" s="252">
        <f t="shared" si="87"/>
        <v>17.12063707747258</v>
      </c>
      <c r="Y61" s="252">
        <f t="shared" si="88"/>
        <v>17.439185000735055</v>
      </c>
      <c r="Z61" s="252">
        <f t="shared" si="89"/>
        <v>20.418467956153098</v>
      </c>
      <c r="AA61" s="252">
        <f t="shared" si="90"/>
        <v>23.341737809781218</v>
      </c>
      <c r="AB61" s="252">
        <f t="shared" si="91"/>
        <v>24.916634645886131</v>
      </c>
      <c r="AC61" s="252">
        <f t="shared" si="92"/>
        <v>20.598154969129972</v>
      </c>
      <c r="AD61" s="252">
        <f t="shared" si="93"/>
        <v>0</v>
      </c>
      <c r="AE61" s="252">
        <f t="shared" si="94"/>
        <v>28.176737957317872</v>
      </c>
      <c r="AF61" s="252">
        <f t="shared" si="95"/>
        <v>36.450268343869702</v>
      </c>
      <c r="AG61" s="252">
        <f t="shared" si="96"/>
        <v>88.660574374608217</v>
      </c>
      <c r="AH61" s="252">
        <f t="shared" si="97"/>
        <v>43.672914721374504</v>
      </c>
      <c r="AI61" s="120"/>
      <c r="AJ61" s="91">
        <f>SUM(W61:AB61)</f>
        <v>122.31480165986638</v>
      </c>
      <c r="AK61" s="92">
        <f t="shared" si="102"/>
        <v>217.55865036630027</v>
      </c>
      <c r="AL61" s="94">
        <f t="shared" si="103"/>
        <v>339.87345202616666</v>
      </c>
      <c r="AM61" s="61"/>
      <c r="AN61" s="61"/>
      <c r="AO61" s="61"/>
      <c r="AP61" s="61"/>
      <c r="AQ61" s="61"/>
      <c r="AR61" s="61"/>
      <c r="AS61" s="61"/>
      <c r="AT61" s="61"/>
      <c r="AU61" s="61"/>
    </row>
    <row r="62" spans="2:47" ht="15.75" customHeight="1">
      <c r="B62" s="79" t="s">
        <v>194</v>
      </c>
      <c r="C62" s="119">
        <v>0</v>
      </c>
      <c r="D62" s="119">
        <v>0</v>
      </c>
      <c r="E62" s="119">
        <v>0</v>
      </c>
      <c r="F62" s="119">
        <v>19</v>
      </c>
      <c r="G62" s="119">
        <v>22</v>
      </c>
      <c r="H62" s="119">
        <v>10</v>
      </c>
      <c r="I62" s="119">
        <v>17</v>
      </c>
      <c r="J62" s="119">
        <v>0</v>
      </c>
      <c r="K62" s="119">
        <v>9</v>
      </c>
      <c r="L62" s="119">
        <v>10</v>
      </c>
      <c r="M62" s="119">
        <v>29</v>
      </c>
      <c r="N62" s="119">
        <v>12</v>
      </c>
      <c r="O62" s="248"/>
      <c r="P62" s="91">
        <f t="shared" si="98"/>
        <v>51</v>
      </c>
      <c r="Q62" s="92">
        <f t="shared" si="99"/>
        <v>77</v>
      </c>
      <c r="R62" s="251">
        <f t="shared" si="83"/>
        <v>1.4080618442849255E-2</v>
      </c>
      <c r="S62" s="251">
        <f t="shared" si="84"/>
        <v>2.2481751824817518E-2</v>
      </c>
      <c r="T62" s="251">
        <f t="shared" si="85"/>
        <v>1.816375762735916E-2</v>
      </c>
      <c r="U62" s="94">
        <f t="shared" si="100"/>
        <v>128</v>
      </c>
      <c r="V62" s="79"/>
      <c r="W62" s="252">
        <f t="shared" si="86"/>
        <v>8.9779478446297816</v>
      </c>
      <c r="X62" s="252">
        <f t="shared" si="87"/>
        <v>8.05677038939886</v>
      </c>
      <c r="Y62" s="252">
        <f t="shared" si="88"/>
        <v>8.2066752944635546</v>
      </c>
      <c r="Z62" s="252">
        <f t="shared" si="89"/>
        <v>9.6086908028955751</v>
      </c>
      <c r="AA62" s="252">
        <f t="shared" si="90"/>
        <v>10.984347204602926</v>
      </c>
      <c r="AB62" s="252">
        <f t="shared" si="91"/>
        <v>11.725475127475825</v>
      </c>
      <c r="AC62" s="252">
        <f t="shared" si="92"/>
        <v>9.6932493972376346</v>
      </c>
      <c r="AD62" s="252">
        <f t="shared" si="93"/>
        <v>0</v>
      </c>
      <c r="AE62" s="252">
        <f t="shared" si="94"/>
        <v>13.259641391678999</v>
      </c>
      <c r="AF62" s="252">
        <f t="shared" si="95"/>
        <v>17.153067455938682</v>
      </c>
      <c r="AG62" s="252">
        <f t="shared" si="96"/>
        <v>41.722623235109751</v>
      </c>
      <c r="AH62" s="252">
        <f t="shared" si="97"/>
        <v>20.551959868882118</v>
      </c>
      <c r="AI62" s="120"/>
      <c r="AJ62" s="91">
        <f t="shared" si="101"/>
        <v>57.559906663466521</v>
      </c>
      <c r="AK62" s="92">
        <f t="shared" si="102"/>
        <v>102.38054134884719</v>
      </c>
      <c r="AL62" s="94">
        <f t="shared" si="103"/>
        <v>159.94044801231368</v>
      </c>
      <c r="AM62" s="61"/>
      <c r="AN62" s="61"/>
      <c r="AO62" s="61"/>
      <c r="AP62" s="61"/>
      <c r="AQ62" s="61"/>
      <c r="AR62" s="61"/>
      <c r="AS62" s="61"/>
      <c r="AT62" s="61"/>
      <c r="AU62" s="61"/>
    </row>
    <row r="63" spans="2:47" ht="15.75" customHeight="1">
      <c r="B63" s="79" t="s">
        <v>195</v>
      </c>
      <c r="C63" s="119">
        <v>43</v>
      </c>
      <c r="D63" s="119">
        <v>44</v>
      </c>
      <c r="E63" s="119">
        <v>81</v>
      </c>
      <c r="F63" s="119">
        <v>59</v>
      </c>
      <c r="G63" s="119">
        <v>64</v>
      </c>
      <c r="H63" s="119">
        <v>89</v>
      </c>
      <c r="I63" s="119">
        <v>45</v>
      </c>
      <c r="J63" s="119">
        <v>0</v>
      </c>
      <c r="K63" s="119">
        <v>0</v>
      </c>
      <c r="L63" s="119">
        <v>0</v>
      </c>
      <c r="M63" s="119">
        <v>0</v>
      </c>
      <c r="N63" s="119">
        <v>0</v>
      </c>
      <c r="O63" s="248"/>
      <c r="P63" s="91">
        <f>SUM(C63:J63)</f>
        <v>425</v>
      </c>
      <c r="Q63" s="92">
        <f t="shared" si="99"/>
        <v>45</v>
      </c>
      <c r="R63" s="251">
        <f t="shared" si="83"/>
        <v>0.11733848702374379</v>
      </c>
      <c r="S63" s="251">
        <f t="shared" si="84"/>
        <v>1.3138686131386862E-2</v>
      </c>
      <c r="T63" s="251"/>
      <c r="U63" s="94">
        <f t="shared" si="100"/>
        <v>425</v>
      </c>
      <c r="V63" s="79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120"/>
      <c r="AJ63" s="91">
        <f t="shared" si="101"/>
        <v>0</v>
      </c>
      <c r="AK63" s="92">
        <f t="shared" si="102"/>
        <v>0</v>
      </c>
      <c r="AL63" s="94">
        <f t="shared" si="103"/>
        <v>0</v>
      </c>
      <c r="AM63" s="61"/>
      <c r="AN63" s="61"/>
      <c r="AO63" s="61"/>
      <c r="AP63" s="61"/>
      <c r="AQ63" s="61"/>
      <c r="AR63" s="61"/>
      <c r="AS63" s="61"/>
      <c r="AT63" s="61"/>
      <c r="AU63" s="61"/>
    </row>
    <row r="64" spans="2:47" ht="15.75" customHeight="1">
      <c r="B64" s="79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48"/>
      <c r="P64" s="248"/>
      <c r="Q64" s="248"/>
      <c r="R64" s="248"/>
      <c r="S64" s="248"/>
      <c r="T64" s="248"/>
      <c r="U64" s="248"/>
      <c r="V64" s="79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120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</row>
    <row r="65" spans="2:47" ht="15.75" customHeight="1">
      <c r="B65" s="79"/>
      <c r="C65" s="61"/>
      <c r="D65" s="61"/>
      <c r="E65" s="61"/>
      <c r="F65" s="70"/>
      <c r="G65" s="121"/>
      <c r="H65" s="121"/>
      <c r="I65" s="121"/>
      <c r="J65" s="121"/>
      <c r="K65" s="121"/>
      <c r="L65" s="121"/>
      <c r="M65" s="121"/>
      <c r="N65" s="121"/>
      <c r="O65" s="248"/>
      <c r="P65" s="117"/>
      <c r="Q65" s="117"/>
      <c r="R65" s="117"/>
      <c r="S65" s="117"/>
      <c r="T65" s="117"/>
      <c r="U65" s="117"/>
      <c r="V65" s="79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117"/>
      <c r="AJ65" s="117"/>
      <c r="AK65" s="117"/>
      <c r="AL65" s="117"/>
      <c r="AM65" s="61"/>
      <c r="AN65" s="61"/>
      <c r="AO65" s="61"/>
      <c r="AP65" s="61"/>
      <c r="AQ65" s="61"/>
      <c r="AR65" s="61"/>
      <c r="AS65" s="61"/>
      <c r="AT65" s="61"/>
      <c r="AU65" s="61"/>
    </row>
    <row r="66" spans="2:47" ht="15.75" customHeight="1">
      <c r="B66" s="74" t="s">
        <v>28</v>
      </c>
      <c r="C66" s="97">
        <f t="shared" ref="C66:I71" si="104">C9/C54</f>
        <v>104.82539682539682</v>
      </c>
      <c r="D66" s="97">
        <f t="shared" si="104"/>
        <v>81.214285714285708</v>
      </c>
      <c r="E66" s="97">
        <f t="shared" si="104"/>
        <v>186.59435364041605</v>
      </c>
      <c r="F66" s="97">
        <f t="shared" si="104"/>
        <v>200.95406360424028</v>
      </c>
      <c r="G66" s="97">
        <f t="shared" si="104"/>
        <v>232.56140350877192</v>
      </c>
      <c r="H66" s="97">
        <f t="shared" si="104"/>
        <v>194.93983739837398</v>
      </c>
      <c r="I66" s="97">
        <f t="shared" si="104"/>
        <v>114.63002114164905</v>
      </c>
      <c r="J66" s="97"/>
      <c r="K66" s="97">
        <f t="shared" ref="K66:N74" si="105">K9/K54</f>
        <v>91.109704641350206</v>
      </c>
      <c r="L66" s="97">
        <f t="shared" si="105"/>
        <v>185.83590733590734</v>
      </c>
      <c r="M66" s="97">
        <f t="shared" si="105"/>
        <v>134.30079858030169</v>
      </c>
      <c r="N66" s="97">
        <f t="shared" si="105"/>
        <v>158.39597315436242</v>
      </c>
      <c r="O66" s="248"/>
      <c r="P66" s="75">
        <f t="shared" ref="P66:Q75" si="106">P9/P54</f>
        <v>167.06929872998344</v>
      </c>
      <c r="Q66" s="122">
        <f t="shared" si="106"/>
        <v>143.66686131386862</v>
      </c>
      <c r="R66" s="122"/>
      <c r="S66" s="122"/>
      <c r="T66" s="122"/>
      <c r="U66" s="78">
        <f t="shared" ref="U66:U75" si="107">U9/U54</f>
        <v>155.69518944231589</v>
      </c>
      <c r="V66" s="74"/>
      <c r="W66" s="122">
        <f t="shared" ref="W66:AC74" si="108">W9/W54</f>
        <v>185.52736625866851</v>
      </c>
      <c r="X66" s="122">
        <f t="shared" si="108"/>
        <v>186.40865438490866</v>
      </c>
      <c r="Y66" s="122">
        <f t="shared" si="108"/>
        <v>193.48515409682685</v>
      </c>
      <c r="Z66" s="122">
        <f t="shared" si="108"/>
        <v>176.64473467320659</v>
      </c>
      <c r="AA66" s="122">
        <f t="shared" si="108"/>
        <v>169.69724340100433</v>
      </c>
      <c r="AB66" s="122">
        <f t="shared" si="108"/>
        <v>155.4439837403429</v>
      </c>
      <c r="AC66" s="122">
        <f t="shared" si="108"/>
        <v>167.60835715089803</v>
      </c>
      <c r="AD66" s="122"/>
      <c r="AE66" s="122">
        <f t="shared" ref="AE66:AH74" si="109">AE9/AE54</f>
        <v>122.52741676290607</v>
      </c>
      <c r="AF66" s="122">
        <f t="shared" si="109"/>
        <v>127.86657400972909</v>
      </c>
      <c r="AG66" s="122">
        <f t="shared" si="109"/>
        <v>70.967741935483829</v>
      </c>
      <c r="AH66" s="122">
        <f t="shared" si="109"/>
        <v>121.32757704582562</v>
      </c>
      <c r="AI66" s="82"/>
      <c r="AJ66" s="75">
        <f t="shared" ref="AJ66:AL74" si="110">AJ9/AJ54</f>
        <v>176.15332981565498</v>
      </c>
      <c r="AK66" s="122">
        <f t="shared" si="110"/>
        <v>112.76960273042016</v>
      </c>
      <c r="AL66" s="78">
        <f t="shared" si="110"/>
        <v>135.58035173324816</v>
      </c>
      <c r="AM66" s="61"/>
      <c r="AN66" s="61"/>
      <c r="AO66" s="61"/>
      <c r="AP66" s="61"/>
      <c r="AQ66" s="61"/>
      <c r="AR66" s="61"/>
      <c r="AS66" s="61"/>
      <c r="AT66" s="61"/>
      <c r="AU66" s="61"/>
    </row>
    <row r="67" spans="2:47" ht="15.75" customHeight="1">
      <c r="B67" s="79" t="s">
        <v>196</v>
      </c>
      <c r="C67" s="101">
        <f t="shared" si="104"/>
        <v>88.416666666666671</v>
      </c>
      <c r="D67" s="101">
        <f t="shared" si="104"/>
        <v>52.886904761904759</v>
      </c>
      <c r="E67" s="101">
        <f t="shared" si="104"/>
        <v>157.21698113207546</v>
      </c>
      <c r="F67" s="101">
        <f t="shared" si="104"/>
        <v>268.10909090909092</v>
      </c>
      <c r="G67" s="101">
        <f t="shared" si="104"/>
        <v>250.75308641975309</v>
      </c>
      <c r="H67" s="101">
        <f t="shared" si="104"/>
        <v>220.53424657534248</v>
      </c>
      <c r="I67" s="101">
        <f t="shared" si="104"/>
        <v>90.316455696202539</v>
      </c>
      <c r="J67" s="101">
        <v>0</v>
      </c>
      <c r="K67" s="101">
        <f t="shared" si="105"/>
        <v>73.207920792079207</v>
      </c>
      <c r="L67" s="101">
        <f t="shared" si="105"/>
        <v>203.4814814814815</v>
      </c>
      <c r="M67" s="101">
        <f t="shared" si="105"/>
        <v>164.54285714285714</v>
      </c>
      <c r="N67" s="101">
        <f t="shared" si="105"/>
        <v>168.375</v>
      </c>
      <c r="O67" s="248"/>
      <c r="P67" s="80">
        <f t="shared" si="106"/>
        <v>152.44821092278718</v>
      </c>
      <c r="Q67" s="81">
        <f t="shared" si="106"/>
        <v>141.71960297766751</v>
      </c>
      <c r="R67" s="81"/>
      <c r="S67" s="81"/>
      <c r="T67" s="81"/>
      <c r="U67" s="83">
        <f t="shared" si="107"/>
        <v>147.81905781584584</v>
      </c>
      <c r="V67" s="79"/>
      <c r="W67" s="81">
        <f t="shared" si="108"/>
        <v>176.14211831234729</v>
      </c>
      <c r="X67" s="81">
        <f t="shared" si="108"/>
        <v>176.97882483457013</v>
      </c>
      <c r="Y67" s="81">
        <f t="shared" si="108"/>
        <v>183.69734660648012</v>
      </c>
      <c r="Z67" s="81">
        <f t="shared" si="108"/>
        <v>167.70883121727795</v>
      </c>
      <c r="AA67" s="81">
        <f t="shared" si="108"/>
        <v>161.11279175247972</v>
      </c>
      <c r="AB67" s="81">
        <f t="shared" si="108"/>
        <v>147.58055982296227</v>
      </c>
      <c r="AC67" s="81">
        <f t="shared" si="108"/>
        <v>159.12957571040937</v>
      </c>
      <c r="AD67" s="81"/>
      <c r="AE67" s="81">
        <f t="shared" si="109"/>
        <v>116.32913879598441</v>
      </c>
      <c r="AF67" s="81">
        <f t="shared" si="109"/>
        <v>121.39820481262218</v>
      </c>
      <c r="AG67" s="81">
        <f t="shared" si="109"/>
        <v>67.377706310623907</v>
      </c>
      <c r="AH67" s="81">
        <f t="shared" si="109"/>
        <v>115.18999520944107</v>
      </c>
      <c r="AI67" s="77"/>
      <c r="AJ67" s="80">
        <f t="shared" si="110"/>
        <v>167.24228499122182</v>
      </c>
      <c r="AK67" s="81">
        <f t="shared" si="110"/>
        <v>107.06494199073434</v>
      </c>
      <c r="AL67" s="83">
        <f t="shared" si="110"/>
        <v>128.72176669899571</v>
      </c>
      <c r="AM67" s="61"/>
      <c r="AN67" s="61"/>
      <c r="AO67" s="61"/>
      <c r="AP67" s="61"/>
      <c r="AQ67" s="61"/>
      <c r="AR67" s="61"/>
      <c r="AS67" s="61"/>
      <c r="AT67" s="61"/>
      <c r="AU67" s="61"/>
    </row>
    <row r="68" spans="2:47" ht="15.75" customHeight="1">
      <c r="B68" s="79" t="s">
        <v>197</v>
      </c>
      <c r="C68" s="101">
        <f t="shared" si="104"/>
        <v>64.980769230769226</v>
      </c>
      <c r="D68" s="101">
        <f t="shared" si="104"/>
        <v>38.037634408602152</v>
      </c>
      <c r="E68" s="101">
        <f t="shared" si="104"/>
        <v>141.15957446808511</v>
      </c>
      <c r="F68" s="101">
        <f t="shared" si="104"/>
        <v>131.92134831460675</v>
      </c>
      <c r="G68" s="101">
        <f t="shared" si="104"/>
        <v>202.15</v>
      </c>
      <c r="H68" s="101">
        <f t="shared" si="104"/>
        <v>178.02777777777777</v>
      </c>
      <c r="I68" s="101">
        <f t="shared" si="104"/>
        <v>99.666666666666671</v>
      </c>
      <c r="J68" s="101">
        <v>0</v>
      </c>
      <c r="K68" s="101">
        <f t="shared" si="105"/>
        <v>93.444444444444443</v>
      </c>
      <c r="L68" s="101">
        <f t="shared" si="105"/>
        <v>672.92307692307691</v>
      </c>
      <c r="M68" s="101">
        <f t="shared" si="105"/>
        <v>167.7439024390244</v>
      </c>
      <c r="N68" s="101">
        <f t="shared" si="105"/>
        <v>199.53488372093022</v>
      </c>
      <c r="O68" s="248"/>
      <c r="P68" s="80">
        <f t="shared" si="106"/>
        <v>112.48516579406632</v>
      </c>
      <c r="Q68" s="81">
        <f t="shared" si="106"/>
        <v>176.24806201550388</v>
      </c>
      <c r="R68" s="81"/>
      <c r="S68" s="81"/>
      <c r="T68" s="81"/>
      <c r="U68" s="83">
        <f t="shared" si="107"/>
        <v>132.28158844765343</v>
      </c>
      <c r="V68" s="79"/>
      <c r="W68" s="81">
        <f t="shared" si="108"/>
        <v>157.62757216271515</v>
      </c>
      <c r="X68" s="81">
        <f t="shared" si="108"/>
        <v>158.3763312838972</v>
      </c>
      <c r="Y68" s="81">
        <f t="shared" si="108"/>
        <v>164.38865976941355</v>
      </c>
      <c r="Z68" s="81">
        <f t="shared" si="108"/>
        <v>150.08071975238082</v>
      </c>
      <c r="AA68" s="81">
        <f t="shared" si="108"/>
        <v>144.17799928616105</v>
      </c>
      <c r="AB68" s="81">
        <f t="shared" si="108"/>
        <v>132.06815931472312</v>
      </c>
      <c r="AC68" s="81">
        <f t="shared" si="108"/>
        <v>142.403241875606</v>
      </c>
      <c r="AD68" s="81"/>
      <c r="AE68" s="81">
        <f t="shared" si="109"/>
        <v>104.10161916910005</v>
      </c>
      <c r="AF68" s="81">
        <f t="shared" si="109"/>
        <v>108.63786851701722</v>
      </c>
      <c r="AG68" s="81">
        <f t="shared" si="109"/>
        <v>60.295540699714707</v>
      </c>
      <c r="AH68" s="81">
        <f t="shared" si="109"/>
        <v>103.08221256940679</v>
      </c>
      <c r="AI68" s="82"/>
      <c r="AJ68" s="80">
        <f t="shared" si="110"/>
        <v>149.66321285726957</v>
      </c>
      <c r="AK68" s="81">
        <f t="shared" si="110"/>
        <v>95.811195138547305</v>
      </c>
      <c r="AL68" s="83">
        <f t="shared" si="110"/>
        <v>115.19164049837497</v>
      </c>
      <c r="AM68" s="61"/>
      <c r="AN68" s="61"/>
      <c r="AO68" s="61"/>
      <c r="AP68" s="61"/>
      <c r="AQ68" s="61"/>
      <c r="AR68" s="61"/>
      <c r="AS68" s="61"/>
      <c r="AT68" s="61"/>
      <c r="AU68" s="61"/>
    </row>
    <row r="69" spans="2:47" ht="15.75" customHeight="1">
      <c r="B69" s="79" t="s">
        <v>198</v>
      </c>
      <c r="C69" s="101">
        <f t="shared" si="104"/>
        <v>88.407407407407405</v>
      </c>
      <c r="D69" s="101">
        <f t="shared" si="104"/>
        <v>53.170212765957444</v>
      </c>
      <c r="E69" s="101">
        <f t="shared" si="104"/>
        <v>195.29166666666666</v>
      </c>
      <c r="F69" s="101">
        <f t="shared" si="104"/>
        <v>243.97058823529412</v>
      </c>
      <c r="G69" s="101">
        <f t="shared" si="104"/>
        <v>27.403846153846153</v>
      </c>
      <c r="H69" s="101">
        <f t="shared" si="104"/>
        <v>201.24444444444444</v>
      </c>
      <c r="I69" s="101">
        <f t="shared" si="104"/>
        <v>66.88333333333334</v>
      </c>
      <c r="J69" s="101">
        <v>0</v>
      </c>
      <c r="K69" s="101">
        <f t="shared" si="105"/>
        <v>70.491525423728817</v>
      </c>
      <c r="L69" s="101">
        <f t="shared" si="105"/>
        <v>143.74418604651163</v>
      </c>
      <c r="M69" s="101">
        <f t="shared" si="105"/>
        <v>133.12328767123287</v>
      </c>
      <c r="N69" s="101">
        <f t="shared" si="105"/>
        <v>168.36111111111111</v>
      </c>
      <c r="O69" s="61"/>
      <c r="P69" s="80">
        <f t="shared" si="106"/>
        <v>118.45</v>
      </c>
      <c r="Q69" s="81">
        <f t="shared" si="106"/>
        <v>118.54243542435424</v>
      </c>
      <c r="R69" s="81"/>
      <c r="S69" s="81"/>
      <c r="T69" s="81"/>
      <c r="U69" s="83">
        <f t="shared" si="107"/>
        <v>118.4938704028021</v>
      </c>
      <c r="V69" s="61"/>
      <c r="W69" s="81">
        <f t="shared" si="108"/>
        <v>141.19804068688168</v>
      </c>
      <c r="X69" s="81">
        <f t="shared" si="108"/>
        <v>141.86875659912195</v>
      </c>
      <c r="Y69" s="81">
        <f t="shared" si="108"/>
        <v>147.25441971930567</v>
      </c>
      <c r="Z69" s="81">
        <f t="shared" si="108"/>
        <v>134.43779716430629</v>
      </c>
      <c r="AA69" s="81">
        <f t="shared" si="108"/>
        <v>129.15031761287199</v>
      </c>
      <c r="AB69" s="81">
        <f t="shared" si="108"/>
        <v>118.30268700143532</v>
      </c>
      <c r="AC69" s="81">
        <f t="shared" si="108"/>
        <v>127.56054327563729</v>
      </c>
      <c r="AD69" s="81"/>
      <c r="AE69" s="81">
        <f t="shared" si="109"/>
        <v>93.251101043639011</v>
      </c>
      <c r="AF69" s="81">
        <f t="shared" si="109"/>
        <v>97.314536844907764</v>
      </c>
      <c r="AG69" s="81">
        <f t="shared" si="109"/>
        <v>54.010932809188034</v>
      </c>
      <c r="AH69" s="81">
        <f t="shared" si="109"/>
        <v>92.337947256106347</v>
      </c>
      <c r="AI69" s="61"/>
      <c r="AJ69" s="80">
        <f t="shared" si="110"/>
        <v>134.06380703837758</v>
      </c>
      <c r="AK69" s="81">
        <f t="shared" si="110"/>
        <v>85.824788416244644</v>
      </c>
      <c r="AL69" s="83">
        <f t="shared" si="110"/>
        <v>103.18520877228507</v>
      </c>
      <c r="AM69" s="61"/>
      <c r="AN69" s="61"/>
      <c r="AO69" s="61"/>
      <c r="AP69" s="61"/>
      <c r="AQ69" s="61"/>
      <c r="AR69" s="61"/>
      <c r="AS69" s="61"/>
      <c r="AT69" s="61"/>
      <c r="AU69" s="61"/>
    </row>
    <row r="70" spans="2:47" ht="15.75" customHeight="1">
      <c r="B70" s="79" t="s">
        <v>199</v>
      </c>
      <c r="C70" s="101">
        <f t="shared" si="104"/>
        <v>148.20689655172413</v>
      </c>
      <c r="D70" s="101">
        <f t="shared" si="104"/>
        <v>77.497757847533634</v>
      </c>
      <c r="E70" s="101">
        <f t="shared" si="104"/>
        <v>185.14649681528661</v>
      </c>
      <c r="F70" s="101">
        <f t="shared" si="104"/>
        <v>198.06603773584905</v>
      </c>
      <c r="G70" s="101">
        <f t="shared" si="104"/>
        <v>320.68</v>
      </c>
      <c r="H70" s="101">
        <f t="shared" si="104"/>
        <v>305.63013698630135</v>
      </c>
      <c r="I70" s="101">
        <f t="shared" si="104"/>
        <v>203.68965517241378</v>
      </c>
      <c r="J70" s="101"/>
      <c r="K70" s="101">
        <f t="shared" si="105"/>
        <v>83.863013698630141</v>
      </c>
      <c r="L70" s="101">
        <f t="shared" si="105"/>
        <v>151.625</v>
      </c>
      <c r="M70" s="101">
        <f t="shared" si="105"/>
        <v>138.20289855072463</v>
      </c>
      <c r="N70" s="101">
        <f t="shared" si="105"/>
        <v>185.86458333333334</v>
      </c>
      <c r="O70" s="61"/>
      <c r="P70" s="80">
        <f t="shared" si="106"/>
        <v>180.45308310991956</v>
      </c>
      <c r="Q70" s="81">
        <f t="shared" si="106"/>
        <v>150.82934609250398</v>
      </c>
      <c r="R70" s="81"/>
      <c r="S70" s="81"/>
      <c r="T70" s="81"/>
      <c r="U70" s="83">
        <f t="shared" si="107"/>
        <v>166.92498179169701</v>
      </c>
      <c r="V70" s="61"/>
      <c r="W70" s="81">
        <f t="shared" si="108"/>
        <v>198.90885739962843</v>
      </c>
      <c r="X70" s="81">
        <f t="shared" si="108"/>
        <v>199.85370999881795</v>
      </c>
      <c r="Y70" s="81">
        <f t="shared" si="108"/>
        <v>207.4406148337842</v>
      </c>
      <c r="Z70" s="81">
        <f t="shared" si="108"/>
        <v>189.38555021861288</v>
      </c>
      <c r="AA70" s="81">
        <f t="shared" si="108"/>
        <v>181.93695878644147</v>
      </c>
      <c r="AB70" s="81">
        <f t="shared" si="108"/>
        <v>166.65565743185002</v>
      </c>
      <c r="AC70" s="81">
        <f t="shared" si="108"/>
        <v>179.69740790171036</v>
      </c>
      <c r="AD70" s="81"/>
      <c r="AE70" s="81">
        <f t="shared" si="109"/>
        <v>131.36492453872145</v>
      </c>
      <c r="AF70" s="81">
        <f t="shared" si="109"/>
        <v>137.08917799447218</v>
      </c>
      <c r="AG70" s="81">
        <f t="shared" si="109"/>
        <v>76.086416496300743</v>
      </c>
      <c r="AH70" s="81">
        <f t="shared" si="109"/>
        <v>130.07854424884863</v>
      </c>
      <c r="AI70" s="61"/>
      <c r="AJ70" s="80">
        <f t="shared" si="110"/>
        <v>188.85870191204043</v>
      </c>
      <c r="AK70" s="81">
        <f t="shared" si="110"/>
        <v>120.90331082070134</v>
      </c>
      <c r="AL70" s="83">
        <f t="shared" si="110"/>
        <v>145.35932565064417</v>
      </c>
      <c r="AM70" s="61"/>
      <c r="AN70" s="61"/>
      <c r="AO70" s="61"/>
      <c r="AP70" s="61"/>
      <c r="AQ70" s="61"/>
      <c r="AR70" s="61"/>
      <c r="AS70" s="61"/>
      <c r="AT70" s="61"/>
      <c r="AU70" s="61"/>
    </row>
    <row r="71" spans="2:47" ht="15.75" customHeight="1">
      <c r="B71" s="79" t="s">
        <v>200</v>
      </c>
      <c r="C71" s="101">
        <f t="shared" si="104"/>
        <v>103.65517241379311</v>
      </c>
      <c r="D71" s="101">
        <f t="shared" si="104"/>
        <v>199.171875</v>
      </c>
      <c r="E71" s="101">
        <f t="shared" si="104"/>
        <v>229.61956521739131</v>
      </c>
      <c r="F71" s="101">
        <f t="shared" si="104"/>
        <v>177.4</v>
      </c>
      <c r="G71" s="101">
        <f t="shared" si="104"/>
        <v>195.48</v>
      </c>
      <c r="H71" s="101">
        <f t="shared" si="104"/>
        <v>122.96666666666667</v>
      </c>
      <c r="I71" s="101">
        <f t="shared" si="104"/>
        <v>91.378947368421052</v>
      </c>
      <c r="J71" s="101"/>
      <c r="K71" s="101">
        <f t="shared" si="105"/>
        <v>75.616161616161619</v>
      </c>
      <c r="L71" s="101">
        <f t="shared" si="105"/>
        <v>126.40909090909091</v>
      </c>
      <c r="M71" s="101">
        <f t="shared" si="105"/>
        <v>98.819209039548028</v>
      </c>
      <c r="N71" s="101">
        <f t="shared" si="105"/>
        <v>108.55223880597015</v>
      </c>
      <c r="O71" s="61"/>
      <c r="P71" s="80">
        <f t="shared" si="106"/>
        <v>170.51813471502589</v>
      </c>
      <c r="Q71" s="81">
        <f t="shared" si="106"/>
        <v>107.2998046875</v>
      </c>
      <c r="R71" s="81"/>
      <c r="S71" s="81"/>
      <c r="T71" s="81"/>
      <c r="U71" s="83">
        <f t="shared" si="107"/>
        <v>130.13412351840299</v>
      </c>
      <c r="V71" s="61"/>
      <c r="W71" s="81">
        <f t="shared" si="108"/>
        <v>166.33488009397868</v>
      </c>
      <c r="X71" s="81">
        <f t="shared" si="108"/>
        <v>167.12500048302155</v>
      </c>
      <c r="Y71" s="81">
        <f t="shared" si="108"/>
        <v>173.46944850060339</v>
      </c>
      <c r="Z71" s="81">
        <f t="shared" si="108"/>
        <v>158.37114143115073</v>
      </c>
      <c r="AA71" s="81">
        <f t="shared" si="108"/>
        <v>152.14235615262456</v>
      </c>
      <c r="AB71" s="81">
        <f t="shared" si="108"/>
        <v>139.36357162927297</v>
      </c>
      <c r="AC71" s="81">
        <f t="shared" si="108"/>
        <v>150.26956158356379</v>
      </c>
      <c r="AD71" s="81"/>
      <c r="AE71" s="81">
        <f t="shared" si="109"/>
        <v>109.8521667529503</v>
      </c>
      <c r="AF71" s="81">
        <f t="shared" si="109"/>
        <v>114.638997388033</v>
      </c>
      <c r="AG71" s="81">
        <f t="shared" si="109"/>
        <v>63.626251390433787</v>
      </c>
      <c r="AH71" s="81">
        <f t="shared" si="109"/>
        <v>108.77644838591263</v>
      </c>
      <c r="AI71" s="61"/>
      <c r="AJ71" s="80">
        <f t="shared" si="110"/>
        <v>157.93057155886308</v>
      </c>
      <c r="AK71" s="81">
        <f t="shared" si="110"/>
        <v>101.10378175830776</v>
      </c>
      <c r="AL71" s="83">
        <f t="shared" si="110"/>
        <v>121.5547981056708</v>
      </c>
      <c r="AM71" s="61"/>
      <c r="AN71" s="61"/>
      <c r="AO71" s="61"/>
      <c r="AP71" s="61"/>
      <c r="AQ71" s="61"/>
      <c r="AR71" s="61"/>
      <c r="AS71" s="61"/>
      <c r="AT71" s="61"/>
      <c r="AU71" s="61"/>
    </row>
    <row r="72" spans="2:47" ht="15.75" customHeight="1">
      <c r="B72" s="79" t="s">
        <v>201</v>
      </c>
      <c r="C72" s="101">
        <v>0</v>
      </c>
      <c r="D72" s="101">
        <f t="shared" ref="D72:I72" si="111">D15/D60</f>
        <v>163.04255319148936</v>
      </c>
      <c r="E72" s="101">
        <f t="shared" si="111"/>
        <v>183.97894736842105</v>
      </c>
      <c r="F72" s="101">
        <f t="shared" si="111"/>
        <v>198.07142857142858</v>
      </c>
      <c r="G72" s="101">
        <f t="shared" si="111"/>
        <v>320.67796610169489</v>
      </c>
      <c r="H72" s="101">
        <f t="shared" si="111"/>
        <v>284.07843137254901</v>
      </c>
      <c r="I72" s="101">
        <f t="shared" si="111"/>
        <v>165.95</v>
      </c>
      <c r="J72" s="101"/>
      <c r="K72" s="101">
        <f t="shared" si="105"/>
        <v>141.89908256880733</v>
      </c>
      <c r="L72" s="101">
        <f t="shared" si="105"/>
        <v>290.94936708860757</v>
      </c>
      <c r="M72" s="101">
        <f t="shared" si="105"/>
        <v>160.62222222222223</v>
      </c>
      <c r="N72" s="101">
        <f t="shared" si="105"/>
        <v>186.28925619834712</v>
      </c>
      <c r="O72" s="61"/>
      <c r="P72" s="80">
        <f t="shared" si="106"/>
        <v>223.77083333333334</v>
      </c>
      <c r="Q72" s="81">
        <f t="shared" si="106"/>
        <v>193.69512195121951</v>
      </c>
      <c r="R72" s="81"/>
      <c r="S72" s="81"/>
      <c r="T72" s="81"/>
      <c r="U72" s="83">
        <f t="shared" si="107"/>
        <v>204.8</v>
      </c>
      <c r="V72" s="61"/>
      <c r="W72" s="81">
        <f t="shared" si="108"/>
        <v>244.04096713503532</v>
      </c>
      <c r="X72" s="81">
        <f t="shared" si="108"/>
        <v>245.20020531638488</v>
      </c>
      <c r="Y72" s="81">
        <f t="shared" si="108"/>
        <v>254.50856703386611</v>
      </c>
      <c r="Z72" s="81">
        <f t="shared" si="108"/>
        <v>232.35683639715796</v>
      </c>
      <c r="AA72" s="81">
        <f t="shared" si="108"/>
        <v>223.21817117799793</v>
      </c>
      <c r="AB72" s="81">
        <f t="shared" si="108"/>
        <v>204.46956636265804</v>
      </c>
      <c r="AC72" s="81">
        <f t="shared" si="108"/>
        <v>220.470469687964</v>
      </c>
      <c r="AD72" s="81"/>
      <c r="AE72" s="81">
        <f t="shared" si="109"/>
        <v>161.17142117830295</v>
      </c>
      <c r="AF72" s="81">
        <f t="shared" si="109"/>
        <v>168.19449882165222</v>
      </c>
      <c r="AG72" s="81">
        <f t="shared" si="109"/>
        <v>93.350305815144779</v>
      </c>
      <c r="AH72" s="81">
        <f t="shared" si="109"/>
        <v>159.59316320554063</v>
      </c>
      <c r="AI72" s="61"/>
      <c r="AJ72" s="80">
        <f t="shared" si="110"/>
        <v>231.71044703094151</v>
      </c>
      <c r="AK72" s="81">
        <f t="shared" si="110"/>
        <v>148.33608361256844</v>
      </c>
      <c r="AL72" s="83">
        <f t="shared" si="110"/>
        <v>178.34113009160555</v>
      </c>
      <c r="AM72" s="61"/>
      <c r="AN72" s="61"/>
      <c r="AO72" s="61"/>
      <c r="AP72" s="61"/>
      <c r="AQ72" s="61"/>
      <c r="AR72" s="61"/>
      <c r="AS72" s="61"/>
      <c r="AT72" s="61"/>
      <c r="AU72" s="61"/>
    </row>
    <row r="73" spans="2:47" ht="15.75" customHeight="1">
      <c r="B73" s="79" t="s">
        <v>202</v>
      </c>
      <c r="C73" s="101">
        <v>0</v>
      </c>
      <c r="D73" s="101">
        <v>0</v>
      </c>
      <c r="E73" s="101">
        <v>0</v>
      </c>
      <c r="F73" s="101">
        <f t="shared" ref="F73:I75" si="112">F16/F61</f>
        <v>272.83333333333331</v>
      </c>
      <c r="G73" s="101">
        <f t="shared" si="112"/>
        <v>256.22727272727275</v>
      </c>
      <c r="H73" s="101">
        <f t="shared" si="112"/>
        <v>171.84615384615384</v>
      </c>
      <c r="I73" s="101">
        <f t="shared" si="112"/>
        <v>116.40909090909091</v>
      </c>
      <c r="J73" s="101"/>
      <c r="K73" s="101">
        <f t="shared" si="105"/>
        <v>102.07692307692308</v>
      </c>
      <c r="L73" s="101">
        <f t="shared" si="105"/>
        <v>171.43478260869566</v>
      </c>
      <c r="M73" s="101">
        <f t="shared" si="105"/>
        <v>119.23076923076923</v>
      </c>
      <c r="N73" s="101">
        <f t="shared" si="105"/>
        <v>168.13043478260869</v>
      </c>
      <c r="O73" s="61"/>
      <c r="P73" s="80">
        <f t="shared" si="106"/>
        <v>225.35714285714286</v>
      </c>
      <c r="Q73" s="81">
        <f t="shared" si="106"/>
        <v>140.38356164383561</v>
      </c>
      <c r="R73" s="81"/>
      <c r="S73" s="81"/>
      <c r="T73" s="81"/>
      <c r="U73" s="83">
        <f t="shared" si="107"/>
        <v>179.74632352941177</v>
      </c>
      <c r="V73" s="61"/>
      <c r="W73" s="81">
        <f t="shared" si="108"/>
        <v>214.18684879435841</v>
      </c>
      <c r="X73" s="81">
        <f t="shared" si="108"/>
        <v>215.20427458143118</v>
      </c>
      <c r="Y73" s="81">
        <f t="shared" si="108"/>
        <v>223.37392202673968</v>
      </c>
      <c r="Z73" s="81">
        <f t="shared" si="108"/>
        <v>203.93206586579177</v>
      </c>
      <c r="AA73" s="81">
        <f t="shared" si="108"/>
        <v>195.91135553810565</v>
      </c>
      <c r="AB73" s="81">
        <f t="shared" si="108"/>
        <v>179.45631263350032</v>
      </c>
      <c r="AC73" s="81">
        <f t="shared" si="108"/>
        <v>193.49978697858472</v>
      </c>
      <c r="AD73" s="81"/>
      <c r="AE73" s="81">
        <f t="shared" si="109"/>
        <v>141.45493366606607</v>
      </c>
      <c r="AF73" s="81">
        <f t="shared" si="109"/>
        <v>147.61886133332015</v>
      </c>
      <c r="AG73" s="81">
        <f t="shared" si="109"/>
        <v>81.930538430754609</v>
      </c>
      <c r="AH73" s="81">
        <f t="shared" si="109"/>
        <v>140.06974778625644</v>
      </c>
      <c r="AI73" s="61"/>
      <c r="AJ73" s="80">
        <f t="shared" si="110"/>
        <v>203.36475086507932</v>
      </c>
      <c r="AK73" s="81">
        <f t="shared" si="110"/>
        <v>130.18977380913381</v>
      </c>
      <c r="AL73" s="83">
        <f t="shared" si="110"/>
        <v>156.52423080100903</v>
      </c>
      <c r="AM73" s="61"/>
      <c r="AN73" s="61"/>
      <c r="AO73" s="61"/>
      <c r="AP73" s="61"/>
      <c r="AQ73" s="61"/>
      <c r="AR73" s="61"/>
      <c r="AS73" s="61"/>
      <c r="AT73" s="61"/>
      <c r="AU73" s="61"/>
    </row>
    <row r="74" spans="2:47" ht="15.75" customHeight="1">
      <c r="B74" s="79" t="s">
        <v>203</v>
      </c>
      <c r="C74" s="101">
        <v>0</v>
      </c>
      <c r="D74" s="101">
        <v>0</v>
      </c>
      <c r="E74" s="101">
        <v>0</v>
      </c>
      <c r="F74" s="101">
        <f t="shared" si="112"/>
        <v>325</v>
      </c>
      <c r="G74" s="101">
        <f t="shared" si="112"/>
        <v>386.59090909090907</v>
      </c>
      <c r="H74" s="101">
        <f t="shared" si="112"/>
        <v>674.1</v>
      </c>
      <c r="I74" s="101">
        <f t="shared" si="112"/>
        <v>113.64705882352941</v>
      </c>
      <c r="J74" s="101"/>
      <c r="K74" s="101">
        <f t="shared" si="105"/>
        <v>222.44444444444446</v>
      </c>
      <c r="L74" s="101">
        <f t="shared" si="105"/>
        <v>297.5</v>
      </c>
      <c r="M74" s="101">
        <f t="shared" si="105"/>
        <v>161.27586206896552</v>
      </c>
      <c r="N74" s="101">
        <f t="shared" si="105"/>
        <v>243.08333333333334</v>
      </c>
      <c r="O74" s="61"/>
      <c r="P74" s="80">
        <f t="shared" si="106"/>
        <v>420.01960784313724</v>
      </c>
      <c r="Q74" s="81">
        <f t="shared" si="106"/>
        <v>200.80519480519482</v>
      </c>
      <c r="R74" s="81"/>
      <c r="S74" s="81"/>
      <c r="T74" s="81"/>
      <c r="U74" s="83">
        <f t="shared" si="107"/>
        <v>288.1484375</v>
      </c>
      <c r="V74" s="61"/>
      <c r="W74" s="81">
        <f t="shared" si="108"/>
        <v>343.35948909154922</v>
      </c>
      <c r="X74" s="81">
        <f t="shared" si="108"/>
        <v>344.99050799118896</v>
      </c>
      <c r="Y74" s="81">
        <f t="shared" si="108"/>
        <v>358.08713828697535</v>
      </c>
      <c r="Z74" s="81">
        <f t="shared" si="108"/>
        <v>326.92021167130957</v>
      </c>
      <c r="AA74" s="81">
        <f t="shared" si="108"/>
        <v>314.06234007103342</v>
      </c>
      <c r="AB74" s="81">
        <f t="shared" si="108"/>
        <v>287.68352570167224</v>
      </c>
      <c r="AC74" s="81">
        <f t="shared" si="108"/>
        <v>310.19639333729464</v>
      </c>
      <c r="AD74" s="81"/>
      <c r="AE74" s="81">
        <f t="shared" si="109"/>
        <v>226.76412686612505</v>
      </c>
      <c r="AF74" s="81">
        <f t="shared" si="109"/>
        <v>236.6454200759506</v>
      </c>
      <c r="AG74" s="81">
        <f t="shared" si="109"/>
        <v>131.34152715225162</v>
      </c>
      <c r="AH74" s="81">
        <f t="shared" si="109"/>
        <v>224.54355768241709</v>
      </c>
      <c r="AI74" s="61"/>
      <c r="AJ74" s="80">
        <f t="shared" si="110"/>
        <v>326.01075812691556</v>
      </c>
      <c r="AK74" s="81">
        <f t="shared" si="110"/>
        <v>208.70513045815895</v>
      </c>
      <c r="AL74" s="83">
        <f t="shared" si="110"/>
        <v>250.92147450136903</v>
      </c>
      <c r="AM74" s="61"/>
      <c r="AN74" s="61"/>
      <c r="AO74" s="61"/>
      <c r="AP74" s="61"/>
      <c r="AQ74" s="61"/>
      <c r="AR74" s="61"/>
      <c r="AS74" s="61"/>
      <c r="AT74" s="61"/>
      <c r="AU74" s="61"/>
    </row>
    <row r="75" spans="2:47" ht="15.75" customHeight="1">
      <c r="B75" s="79" t="s">
        <v>204</v>
      </c>
      <c r="C75" s="101">
        <f>C18/C63</f>
        <v>95.441860465116278</v>
      </c>
      <c r="D75" s="101">
        <f>D18/D63</f>
        <v>191.65909090909091</v>
      </c>
      <c r="E75" s="101">
        <f>E18/E63</f>
        <v>229.61728395061729</v>
      </c>
      <c r="F75" s="101">
        <f t="shared" si="112"/>
        <v>186.42372881355934</v>
      </c>
      <c r="G75" s="101">
        <f t="shared" si="112"/>
        <v>198.53125</v>
      </c>
      <c r="H75" s="101">
        <f t="shared" si="112"/>
        <v>123.52808988764045</v>
      </c>
      <c r="I75" s="101">
        <f t="shared" si="112"/>
        <v>128.11111111111111</v>
      </c>
      <c r="J75" s="101"/>
      <c r="K75" s="101"/>
      <c r="L75" s="101"/>
      <c r="M75" s="101"/>
      <c r="N75" s="101"/>
      <c r="O75" s="61"/>
      <c r="P75" s="80">
        <f t="shared" si="106"/>
        <v>168.47058823529412</v>
      </c>
      <c r="Q75" s="81">
        <f t="shared" si="106"/>
        <v>128.11111111111111</v>
      </c>
      <c r="R75" s="81"/>
      <c r="S75" s="81"/>
      <c r="T75" s="81"/>
      <c r="U75" s="83">
        <f t="shared" si="107"/>
        <v>168.47058823529412</v>
      </c>
      <c r="V75" s="6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61"/>
      <c r="AJ75" s="91">
        <f t="shared" ref="AJ75" si="113">SUM(W75:AB75)</f>
        <v>0</v>
      </c>
      <c r="AK75" s="92">
        <f t="shared" ref="AK75" si="114">SUM(AC75:AH75)</f>
        <v>0</v>
      </c>
      <c r="AL75" s="94">
        <f t="shared" ref="AL75" si="115">SUM(W75:AH75)</f>
        <v>0</v>
      </c>
      <c r="AM75" s="61"/>
      <c r="AN75" s="61"/>
      <c r="AO75" s="61"/>
      <c r="AP75" s="61"/>
      <c r="AQ75" s="61"/>
      <c r="AR75" s="61"/>
      <c r="AS75" s="61"/>
      <c r="AT75" s="61"/>
      <c r="AU75" s="61"/>
    </row>
    <row r="76" spans="2:47" s="261" customFormat="1" ht="15.75" customHeight="1">
      <c r="B76" s="255"/>
      <c r="C76" s="256"/>
      <c r="D76" s="256"/>
      <c r="E76" s="256"/>
      <c r="F76" s="256"/>
      <c r="G76" s="256"/>
      <c r="H76" s="256"/>
      <c r="I76" s="256"/>
      <c r="J76" s="256"/>
      <c r="K76" s="256"/>
      <c r="L76" s="256"/>
      <c r="M76" s="256"/>
      <c r="N76" s="256"/>
      <c r="O76" s="257"/>
      <c r="P76" s="258"/>
      <c r="Q76" s="259"/>
      <c r="R76" s="259"/>
      <c r="S76" s="259"/>
      <c r="T76" s="259"/>
      <c r="U76" s="260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61"/>
      <c r="AK76" s="61"/>
      <c r="AL76" s="61"/>
      <c r="AM76" s="61"/>
      <c r="AN76" s="257"/>
      <c r="AO76" s="257"/>
      <c r="AP76" s="257"/>
      <c r="AQ76" s="257"/>
      <c r="AR76" s="257"/>
      <c r="AS76" s="257"/>
      <c r="AT76" s="257"/>
      <c r="AU76" s="257"/>
    </row>
    <row r="77" spans="2:47" s="261" customFormat="1" ht="15.75" hidden="1" customHeight="1">
      <c r="B77" s="255"/>
      <c r="C77" s="256"/>
      <c r="D77" s="256"/>
      <c r="E77" s="256"/>
      <c r="F77" s="256"/>
      <c r="G77" s="256"/>
      <c r="H77" s="256"/>
      <c r="I77" s="256"/>
      <c r="J77" s="256"/>
      <c r="K77" s="256"/>
      <c r="L77" s="256"/>
      <c r="M77" s="256"/>
      <c r="N77" s="256"/>
      <c r="O77" s="257"/>
      <c r="P77" s="258"/>
      <c r="Q77" s="259"/>
      <c r="R77" s="259"/>
      <c r="S77" s="259"/>
      <c r="T77" s="259"/>
      <c r="U77" s="260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61"/>
      <c r="AK77" s="61"/>
      <c r="AL77" s="61"/>
      <c r="AM77" s="61"/>
      <c r="AN77" s="257"/>
      <c r="AO77" s="257"/>
      <c r="AP77" s="257"/>
      <c r="AQ77" s="257"/>
      <c r="AR77" s="257"/>
      <c r="AS77" s="257"/>
      <c r="AT77" s="257"/>
      <c r="AU77" s="257"/>
    </row>
    <row r="78" spans="2:47" ht="15.75" hidden="1" customHeight="1">
      <c r="B78" s="74" t="s">
        <v>205</v>
      </c>
      <c r="C78" s="106">
        <f t="shared" ref="C78:N87" si="116">C90/C54</f>
        <v>0.47936507936507938</v>
      </c>
      <c r="D78" s="106">
        <f t="shared" si="116"/>
        <v>0.45399515738498791</v>
      </c>
      <c r="E78" s="106">
        <f t="shared" si="116"/>
        <v>0.41456166419019319</v>
      </c>
      <c r="F78" s="106">
        <f t="shared" si="116"/>
        <v>0.39929328621908128</v>
      </c>
      <c r="G78" s="106">
        <f t="shared" si="116"/>
        <v>0.43381180223285487</v>
      </c>
      <c r="H78" s="106">
        <f t="shared" si="116"/>
        <v>0.3983739837398374</v>
      </c>
      <c r="I78" s="106">
        <f t="shared" si="116"/>
        <v>0.47780126849894294</v>
      </c>
      <c r="J78" s="106" t="e">
        <f t="shared" si="116"/>
        <v>#DIV/0!</v>
      </c>
      <c r="K78" s="106">
        <f t="shared" si="116"/>
        <v>0.45288326300984527</v>
      </c>
      <c r="L78" s="106">
        <f t="shared" si="116"/>
        <v>0.45366795366795365</v>
      </c>
      <c r="M78" s="106">
        <f t="shared" si="116"/>
        <v>0.48624667258207632</v>
      </c>
      <c r="N78" s="106">
        <f t="shared" si="116"/>
        <v>0.4412751677852349</v>
      </c>
      <c r="O78" s="248"/>
      <c r="P78" s="109">
        <f t="shared" ref="P78:U87" si="117">P90/P54</f>
        <v>0.42738818332413031</v>
      </c>
      <c r="Q78" s="107">
        <f t="shared" si="117"/>
        <v>0.4654014598540146</v>
      </c>
      <c r="R78" s="107"/>
      <c r="S78" s="107"/>
      <c r="T78" s="107"/>
      <c r="U78" s="110">
        <f t="shared" si="117"/>
        <v>0.44586348800908188</v>
      </c>
      <c r="V78" s="74"/>
      <c r="W78" s="106">
        <f>W90/W54</f>
        <v>0</v>
      </c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8"/>
      <c r="AJ78" s="61">
        <f t="shared" ref="AJ78:AL80" si="118">AJ91/AJ54</f>
        <v>0</v>
      </c>
      <c r="AK78" s="61">
        <f t="shared" si="118"/>
        <v>0</v>
      </c>
      <c r="AL78" s="61">
        <f t="shared" si="118"/>
        <v>0</v>
      </c>
      <c r="AM78" s="61"/>
      <c r="AN78" s="61"/>
      <c r="AO78" s="61"/>
      <c r="AP78" s="61"/>
      <c r="AQ78" s="61"/>
      <c r="AR78" s="61"/>
      <c r="AS78" s="61"/>
      <c r="AT78" s="61"/>
      <c r="AU78" s="61"/>
    </row>
    <row r="79" spans="2:47" ht="15.75" hidden="1" customHeight="1">
      <c r="B79" s="79" t="s">
        <v>179</v>
      </c>
      <c r="C79" s="111">
        <f t="shared" si="116"/>
        <v>0.47916666666666669</v>
      </c>
      <c r="D79" s="111">
        <f t="shared" si="116"/>
        <v>0.45238095238095238</v>
      </c>
      <c r="E79" s="111">
        <f t="shared" si="116"/>
        <v>0.330188679245283</v>
      </c>
      <c r="F79" s="111">
        <f t="shared" si="116"/>
        <v>0.36363636363636365</v>
      </c>
      <c r="G79" s="111">
        <f t="shared" si="116"/>
        <v>0.5679012345679012</v>
      </c>
      <c r="H79" s="111">
        <f t="shared" si="116"/>
        <v>0.47945205479452052</v>
      </c>
      <c r="I79" s="111">
        <f t="shared" si="116"/>
        <v>0.50632911392405067</v>
      </c>
      <c r="J79" s="111" t="e">
        <f t="shared" si="116"/>
        <v>#DIV/0!</v>
      </c>
      <c r="K79" s="111">
        <f t="shared" si="116"/>
        <v>0.57425742574257421</v>
      </c>
      <c r="L79" s="111">
        <f t="shared" si="116"/>
        <v>0.61111111111111116</v>
      </c>
      <c r="M79" s="111">
        <f t="shared" si="116"/>
        <v>0.580952380952381</v>
      </c>
      <c r="N79" s="111">
        <f t="shared" si="116"/>
        <v>0.453125</v>
      </c>
      <c r="O79" s="248"/>
      <c r="P79" s="114">
        <f t="shared" si="117"/>
        <v>0.44256120527306969</v>
      </c>
      <c r="Q79" s="112">
        <f t="shared" si="117"/>
        <v>0.54838709677419351</v>
      </c>
      <c r="R79" s="112"/>
      <c r="S79" s="112"/>
      <c r="T79" s="112"/>
      <c r="U79" s="115">
        <f t="shared" si="117"/>
        <v>0.48822269807280516</v>
      </c>
      <c r="V79" s="79"/>
      <c r="W79" s="112">
        <f>'[4]MK Digital-Elims-2023'!U57</f>
        <v>0</v>
      </c>
      <c r="X79" s="112">
        <f>'[4]MK Digital-Elims-2023'!V57</f>
        <v>0</v>
      </c>
      <c r="Y79" s="112">
        <f>'[4]MK Digital-Elims-2023'!W57</f>
        <v>0</v>
      </c>
      <c r="Z79" s="112">
        <f>'[4]MK Digital-Elims-2023'!X57</f>
        <v>0</v>
      </c>
      <c r="AA79" s="112">
        <f>'[4]MK Digital-Elims-2023'!Y57</f>
        <v>0</v>
      </c>
      <c r="AB79" s="112">
        <f>'[4]MK Digital-Elims-2023'!Z57</f>
        <v>0</v>
      </c>
      <c r="AC79" s="112">
        <f>'[4]MK Digital-Elims-2023'!AA57</f>
        <v>0</v>
      </c>
      <c r="AD79" s="112">
        <f>'[4]MK Digital-Elims-2023'!AB57</f>
        <v>0</v>
      </c>
      <c r="AE79" s="112">
        <f>'[4]MK Digital-Elims-2023'!AC57</f>
        <v>0</v>
      </c>
      <c r="AF79" s="112">
        <f>'[4]MK Digital-Elims-2023'!AD57</f>
        <v>0</v>
      </c>
      <c r="AG79" s="112">
        <f>'[4]MK Digital-Elims-2023'!AE57</f>
        <v>0</v>
      </c>
      <c r="AH79" s="112">
        <f>'[4]MK Digital-Elims-2023'!AF57</f>
        <v>0</v>
      </c>
      <c r="AI79" s="113"/>
      <c r="AJ79" s="61">
        <f t="shared" si="118"/>
        <v>0</v>
      </c>
      <c r="AK79" s="61">
        <f t="shared" si="118"/>
        <v>0</v>
      </c>
      <c r="AL79" s="61">
        <f t="shared" si="118"/>
        <v>0</v>
      </c>
      <c r="AM79" s="61"/>
      <c r="AN79" s="61"/>
      <c r="AO79" s="61"/>
      <c r="AP79" s="61"/>
      <c r="AQ79" s="61"/>
      <c r="AR79" s="61"/>
      <c r="AS79" s="61"/>
      <c r="AT79" s="61"/>
      <c r="AU79" s="61"/>
    </row>
    <row r="80" spans="2:47" ht="15.75" hidden="1" customHeight="1">
      <c r="B80" s="79" t="s">
        <v>180</v>
      </c>
      <c r="C80" s="111">
        <f t="shared" si="116"/>
        <v>0.36538461538461536</v>
      </c>
      <c r="D80" s="111">
        <f t="shared" si="116"/>
        <v>0.4946236559139785</v>
      </c>
      <c r="E80" s="111">
        <f t="shared" si="116"/>
        <v>0.28723404255319152</v>
      </c>
      <c r="F80" s="111">
        <f t="shared" si="116"/>
        <v>0.3258426966292135</v>
      </c>
      <c r="G80" s="111">
        <f t="shared" si="116"/>
        <v>0.4</v>
      </c>
      <c r="H80" s="111">
        <f t="shared" si="116"/>
        <v>0.45833333333333331</v>
      </c>
      <c r="I80" s="111">
        <f t="shared" si="116"/>
        <v>0.57894736842105265</v>
      </c>
      <c r="J80" s="111" t="e">
        <f t="shared" si="116"/>
        <v>#DIV/0!</v>
      </c>
      <c r="K80" s="111">
        <f t="shared" si="116"/>
        <v>0.42857142857142855</v>
      </c>
      <c r="L80" s="111">
        <f t="shared" si="116"/>
        <v>0</v>
      </c>
      <c r="M80" s="111">
        <f t="shared" si="116"/>
        <v>0.63414634146341464</v>
      </c>
      <c r="N80" s="111">
        <f t="shared" si="116"/>
        <v>0.48837209302325579</v>
      </c>
      <c r="O80" s="248"/>
      <c r="P80" s="114">
        <f t="shared" si="117"/>
        <v>0.4048865619546248</v>
      </c>
      <c r="Q80" s="112">
        <f t="shared" si="117"/>
        <v>0.51550387596899228</v>
      </c>
      <c r="R80" s="112"/>
      <c r="S80" s="112"/>
      <c r="T80" s="112"/>
      <c r="U80" s="115">
        <f t="shared" si="117"/>
        <v>0.43922984356197353</v>
      </c>
      <c r="V80" s="79"/>
      <c r="W80" s="116">
        <f>'[4]MK Digital-CEL-2023'!U59</f>
        <v>0</v>
      </c>
      <c r="X80" s="116">
        <f>'[4]MK Digital-CEL-2023'!V59</f>
        <v>0</v>
      </c>
      <c r="Y80" s="116">
        <f>'[4]MK Digital-CEL-2023'!W59</f>
        <v>0</v>
      </c>
      <c r="Z80" s="116">
        <f>'[4]MK Digital-CEL-2023'!X59</f>
        <v>0</v>
      </c>
      <c r="AA80" s="116">
        <f>'[4]MK Digital-CEL-2023'!Y59</f>
        <v>0</v>
      </c>
      <c r="AB80" s="116">
        <f>'[4]MK Digital-CEL-2023'!Z59</f>
        <v>0</v>
      </c>
      <c r="AC80" s="116">
        <f>'[4]MK Digital-CEL-2023'!AA59</f>
        <v>0</v>
      </c>
      <c r="AD80" s="116">
        <f>'[4]MK Digital-CEL-2023'!AB59</f>
        <v>0</v>
      </c>
      <c r="AE80" s="116">
        <f>'[4]MK Digital-CEL-2023'!AC59</f>
        <v>0</v>
      </c>
      <c r="AF80" s="116">
        <f>'[4]MK Digital-CEL-2023'!AD59</f>
        <v>0</v>
      </c>
      <c r="AG80" s="116">
        <f>'[4]MK Digital-CEL-2023'!AE59</f>
        <v>0</v>
      </c>
      <c r="AH80" s="116">
        <f>'[4]MK Digital-CEL-2023'!AF59</f>
        <v>0</v>
      </c>
      <c r="AI80" s="117"/>
      <c r="AJ80" s="61">
        <f t="shared" si="118"/>
        <v>0</v>
      </c>
      <c r="AK80" s="61">
        <f t="shared" si="118"/>
        <v>0</v>
      </c>
      <c r="AL80" s="61">
        <f t="shared" si="118"/>
        <v>0</v>
      </c>
      <c r="AM80" s="61"/>
      <c r="AN80" s="61"/>
      <c r="AO80" s="61"/>
      <c r="AP80" s="61"/>
      <c r="AQ80" s="61"/>
      <c r="AR80" s="61"/>
      <c r="AS80" s="61"/>
      <c r="AT80" s="61"/>
      <c r="AU80" s="61"/>
    </row>
    <row r="81" spans="2:47" ht="15.75" hidden="1" customHeight="1">
      <c r="B81" s="79" t="s">
        <v>181</v>
      </c>
      <c r="C81" s="111">
        <f t="shared" si="116"/>
        <v>0.55555555555555558</v>
      </c>
      <c r="D81" s="111">
        <f t="shared" si="116"/>
        <v>0.52127659574468088</v>
      </c>
      <c r="E81" s="111">
        <f t="shared" si="116"/>
        <v>0.41666666666666669</v>
      </c>
      <c r="F81" s="111">
        <f t="shared" si="116"/>
        <v>0.41176470588235292</v>
      </c>
      <c r="G81" s="111">
        <f t="shared" si="116"/>
        <v>0.63461538461538458</v>
      </c>
      <c r="H81" s="111">
        <f t="shared" si="116"/>
        <v>0.44444444444444442</v>
      </c>
      <c r="I81" s="111">
        <f t="shared" si="116"/>
        <v>0.65</v>
      </c>
      <c r="J81" s="111" t="e">
        <f t="shared" si="116"/>
        <v>#DIV/0!</v>
      </c>
      <c r="K81" s="111">
        <f t="shared" si="116"/>
        <v>0.57627118644067798</v>
      </c>
      <c r="L81" s="111">
        <f t="shared" si="116"/>
        <v>0.53488372093023251</v>
      </c>
      <c r="M81" s="111">
        <f t="shared" si="116"/>
        <v>0.72602739726027399</v>
      </c>
      <c r="N81" s="111">
        <f t="shared" si="116"/>
        <v>0.63888888888888884</v>
      </c>
      <c r="O81" s="248"/>
      <c r="P81" s="114">
        <f t="shared" si="117"/>
        <v>0.5033333333333333</v>
      </c>
      <c r="Q81" s="112">
        <f t="shared" si="117"/>
        <v>0.63468634686346859</v>
      </c>
      <c r="R81" s="112"/>
      <c r="S81" s="112"/>
      <c r="T81" s="112"/>
      <c r="U81" s="115">
        <f t="shared" si="117"/>
        <v>0.56567425569176888</v>
      </c>
      <c r="V81" s="79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7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</row>
    <row r="82" spans="2:47" ht="15.75" hidden="1" customHeight="1">
      <c r="B82" s="79" t="s">
        <v>182</v>
      </c>
      <c r="C82" s="111">
        <f t="shared" si="116"/>
        <v>0.44827586206896552</v>
      </c>
      <c r="D82" s="111">
        <f t="shared" si="116"/>
        <v>0.40807174887892378</v>
      </c>
      <c r="E82" s="111">
        <f t="shared" si="116"/>
        <v>0.48407643312101911</v>
      </c>
      <c r="F82" s="111">
        <f t="shared" si="116"/>
        <v>0.43396226415094341</v>
      </c>
      <c r="G82" s="111">
        <f t="shared" si="116"/>
        <v>0.4</v>
      </c>
      <c r="H82" s="111">
        <f t="shared" si="116"/>
        <v>0.46575342465753422</v>
      </c>
      <c r="I82" s="111">
        <f t="shared" si="116"/>
        <v>0.46551724137931033</v>
      </c>
      <c r="J82" s="111" t="e">
        <f t="shared" si="116"/>
        <v>#DIV/0!</v>
      </c>
      <c r="K82" s="111">
        <f t="shared" si="116"/>
        <v>0.41095890410958902</v>
      </c>
      <c r="L82" s="111">
        <f t="shared" si="116"/>
        <v>0.5</v>
      </c>
      <c r="M82" s="111">
        <f t="shared" si="116"/>
        <v>0.40096618357487923</v>
      </c>
      <c r="N82" s="111">
        <f t="shared" si="116"/>
        <v>0.46875</v>
      </c>
      <c r="O82" s="248"/>
      <c r="P82" s="114">
        <f t="shared" si="117"/>
        <v>0.43699731903485256</v>
      </c>
      <c r="Q82" s="112">
        <f t="shared" si="117"/>
        <v>0.43859649122807015</v>
      </c>
      <c r="R82" s="112"/>
      <c r="S82" s="112"/>
      <c r="T82" s="112"/>
      <c r="U82" s="115">
        <f t="shared" si="117"/>
        <v>0.437727603787327</v>
      </c>
      <c r="V82" s="79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7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</row>
    <row r="83" spans="2:47" ht="15.75" hidden="1" customHeight="1">
      <c r="B83" s="79" t="s">
        <v>206</v>
      </c>
      <c r="C83" s="111">
        <f t="shared" si="116"/>
        <v>0.5</v>
      </c>
      <c r="D83" s="111">
        <f t="shared" si="116"/>
        <v>0.390625</v>
      </c>
      <c r="E83" s="111">
        <f t="shared" si="116"/>
        <v>0.47826086956521741</v>
      </c>
      <c r="F83" s="111">
        <f t="shared" si="116"/>
        <v>0.44444444444444442</v>
      </c>
      <c r="G83" s="111">
        <f t="shared" si="116"/>
        <v>0.38400000000000001</v>
      </c>
      <c r="H83" s="111">
        <f t="shared" si="116"/>
        <v>0.38</v>
      </c>
      <c r="I83" s="111">
        <f t="shared" si="116"/>
        <v>0.4</v>
      </c>
      <c r="J83" s="111" t="e">
        <f t="shared" si="116"/>
        <v>#DIV/0!</v>
      </c>
      <c r="K83" s="111">
        <f t="shared" si="116"/>
        <v>0.37878787878787878</v>
      </c>
      <c r="L83" s="111">
        <f t="shared" si="116"/>
        <v>0.40909090909090912</v>
      </c>
      <c r="M83" s="111">
        <f t="shared" si="116"/>
        <v>0.47175141242937851</v>
      </c>
      <c r="N83" s="111">
        <f t="shared" si="116"/>
        <v>0.35820895522388058</v>
      </c>
      <c r="O83" s="248"/>
      <c r="P83" s="114">
        <f t="shared" si="117"/>
        <v>0.41968911917098445</v>
      </c>
      <c r="Q83" s="112">
        <f t="shared" si="117"/>
        <v>0.4140625</v>
      </c>
      <c r="R83" s="112"/>
      <c r="S83" s="112"/>
      <c r="T83" s="112"/>
      <c r="U83" s="115">
        <f t="shared" si="117"/>
        <v>0.41609482220835931</v>
      </c>
      <c r="V83" s="79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7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</row>
    <row r="84" spans="2:47" ht="15.75" hidden="1" customHeight="1">
      <c r="B84" s="79" t="s">
        <v>184</v>
      </c>
      <c r="C84" s="111" t="e">
        <f t="shared" si="116"/>
        <v>#DIV/0!</v>
      </c>
      <c r="D84" s="111">
        <f t="shared" si="116"/>
        <v>0.44680851063829785</v>
      </c>
      <c r="E84" s="111">
        <f t="shared" si="116"/>
        <v>0.49473684210526314</v>
      </c>
      <c r="F84" s="111">
        <f t="shared" si="116"/>
        <v>0.51190476190476186</v>
      </c>
      <c r="G84" s="111">
        <f t="shared" si="116"/>
        <v>0.40677966101694918</v>
      </c>
      <c r="H84" s="111">
        <f t="shared" si="116"/>
        <v>0.33333333333333331</v>
      </c>
      <c r="I84" s="111">
        <f t="shared" si="116"/>
        <v>0.52500000000000002</v>
      </c>
      <c r="J84" s="111" t="e">
        <f t="shared" si="116"/>
        <v>#DIV/0!</v>
      </c>
      <c r="K84" s="111">
        <f t="shared" si="116"/>
        <v>0.44954128440366975</v>
      </c>
      <c r="L84" s="111">
        <f t="shared" si="116"/>
        <v>0.46835443037974683</v>
      </c>
      <c r="M84" s="111">
        <f t="shared" si="116"/>
        <v>0.41333333333333333</v>
      </c>
      <c r="N84" s="111">
        <f t="shared" si="116"/>
        <v>0.46280991735537191</v>
      </c>
      <c r="O84" s="248"/>
      <c r="P84" s="114">
        <f t="shared" si="117"/>
        <v>0.45238095238095238</v>
      </c>
      <c r="Q84" s="112">
        <f t="shared" si="117"/>
        <v>0.44599303135888502</v>
      </c>
      <c r="R84" s="112"/>
      <c r="S84" s="112"/>
      <c r="T84" s="112"/>
      <c r="U84" s="115">
        <f t="shared" si="117"/>
        <v>0.44835164835164837</v>
      </c>
      <c r="V84" s="79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7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</row>
    <row r="85" spans="2:47" ht="15.75" hidden="1" customHeight="1">
      <c r="B85" s="79" t="s">
        <v>185</v>
      </c>
      <c r="C85" s="111" t="e">
        <f t="shared" si="116"/>
        <v>#DIV/0!</v>
      </c>
      <c r="D85" s="111" t="e">
        <f t="shared" si="116"/>
        <v>#DIV/0!</v>
      </c>
      <c r="E85" s="111" t="e">
        <f t="shared" si="116"/>
        <v>#DIV/0!</v>
      </c>
      <c r="F85" s="111">
        <f t="shared" si="116"/>
        <v>0.16666666666666666</v>
      </c>
      <c r="G85" s="111">
        <f t="shared" si="116"/>
        <v>0.29545454545454547</v>
      </c>
      <c r="H85" s="111">
        <f t="shared" si="116"/>
        <v>0.26923076923076922</v>
      </c>
      <c r="I85" s="111">
        <f t="shared" si="116"/>
        <v>0.36363636363636365</v>
      </c>
      <c r="J85" s="111" t="e">
        <f t="shared" si="116"/>
        <v>#DIV/0!</v>
      </c>
      <c r="K85" s="111">
        <f t="shared" si="116"/>
        <v>0.53846153846153844</v>
      </c>
      <c r="L85" s="111">
        <f t="shared" si="116"/>
        <v>0.34782608695652173</v>
      </c>
      <c r="M85" s="111">
        <f t="shared" si="116"/>
        <v>0.38461538461538464</v>
      </c>
      <c r="N85" s="111">
        <f t="shared" si="116"/>
        <v>0.39130434782608697</v>
      </c>
      <c r="O85" s="248"/>
      <c r="P85" s="114">
        <f t="shared" si="117"/>
        <v>0.25396825396825395</v>
      </c>
      <c r="Q85" s="112">
        <f t="shared" si="117"/>
        <v>0.4041095890410959</v>
      </c>
      <c r="R85" s="112"/>
      <c r="S85" s="112"/>
      <c r="T85" s="112"/>
      <c r="U85" s="115">
        <f t="shared" si="117"/>
        <v>0.33455882352941174</v>
      </c>
      <c r="V85" s="79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7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</row>
    <row r="86" spans="2:47" ht="15.75" hidden="1" customHeight="1">
      <c r="B86" s="79" t="s">
        <v>186</v>
      </c>
      <c r="C86" s="111" t="e">
        <f t="shared" si="116"/>
        <v>#DIV/0!</v>
      </c>
      <c r="D86" s="111" t="e">
        <f t="shared" si="116"/>
        <v>#DIV/0!</v>
      </c>
      <c r="E86" s="111" t="e">
        <f t="shared" si="116"/>
        <v>#DIV/0!</v>
      </c>
      <c r="F86" s="111">
        <f t="shared" si="116"/>
        <v>0.42105263157894735</v>
      </c>
      <c r="G86" s="111">
        <f t="shared" si="116"/>
        <v>0.36363636363636365</v>
      </c>
      <c r="H86" s="111">
        <f t="shared" si="116"/>
        <v>0.1</v>
      </c>
      <c r="I86" s="111">
        <f t="shared" si="116"/>
        <v>0.17647058823529413</v>
      </c>
      <c r="J86" s="111" t="e">
        <f t="shared" si="116"/>
        <v>#DIV/0!</v>
      </c>
      <c r="K86" s="111">
        <f t="shared" si="116"/>
        <v>0.55555555555555558</v>
      </c>
      <c r="L86" s="111">
        <f t="shared" si="116"/>
        <v>0.2</v>
      </c>
      <c r="M86" s="111">
        <f t="shared" si="116"/>
        <v>0.65517241379310343</v>
      </c>
      <c r="N86" s="111">
        <f t="shared" si="116"/>
        <v>0.66666666666666663</v>
      </c>
      <c r="O86" s="248"/>
      <c r="P86" s="114">
        <f t="shared" si="117"/>
        <v>0.33333333333333331</v>
      </c>
      <c r="Q86" s="112">
        <f t="shared" si="117"/>
        <v>0.48051948051948051</v>
      </c>
      <c r="R86" s="112"/>
      <c r="S86" s="112"/>
      <c r="T86" s="112"/>
      <c r="U86" s="115">
        <f t="shared" si="117"/>
        <v>0.421875</v>
      </c>
      <c r="V86" s="79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7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</row>
    <row r="87" spans="2:47" ht="15.75" hidden="1" customHeight="1">
      <c r="B87" s="79" t="s">
        <v>207</v>
      </c>
      <c r="C87" s="111">
        <f t="shared" si="116"/>
        <v>0.60465116279069764</v>
      </c>
      <c r="D87" s="111">
        <f t="shared" si="116"/>
        <v>0.47727272727272729</v>
      </c>
      <c r="E87" s="111">
        <f t="shared" si="116"/>
        <v>0.37037037037037035</v>
      </c>
      <c r="F87" s="111">
        <f t="shared" si="116"/>
        <v>0.3559322033898305</v>
      </c>
      <c r="G87" s="111">
        <f t="shared" si="116"/>
        <v>0.4375</v>
      </c>
      <c r="H87" s="111">
        <f t="shared" si="116"/>
        <v>0.38202247191011235</v>
      </c>
      <c r="I87" s="111">
        <f t="shared" si="116"/>
        <v>0.37777777777777777</v>
      </c>
      <c r="J87" s="111" t="e">
        <f t="shared" si="116"/>
        <v>#DIV/0!</v>
      </c>
      <c r="K87" s="111" t="e">
        <f t="shared" si="116"/>
        <v>#DIV/0!</v>
      </c>
      <c r="L87" s="111" t="e">
        <f t="shared" si="116"/>
        <v>#DIV/0!</v>
      </c>
      <c r="M87" s="111" t="e">
        <f t="shared" si="116"/>
        <v>#DIV/0!</v>
      </c>
      <c r="N87" s="111" t="e">
        <f t="shared" si="116"/>
        <v>#DIV/0!</v>
      </c>
      <c r="O87" s="248"/>
      <c r="P87" s="114">
        <f t="shared" si="117"/>
        <v>0.41647058823529409</v>
      </c>
      <c r="Q87" s="112">
        <f t="shared" si="117"/>
        <v>0.37777777777777777</v>
      </c>
      <c r="R87" s="112"/>
      <c r="S87" s="112"/>
      <c r="T87" s="112"/>
      <c r="U87" s="115">
        <f t="shared" si="117"/>
        <v>0.41647058823529409</v>
      </c>
      <c r="V87" s="79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7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</row>
    <row r="88" spans="2:47" ht="15.75" hidden="1" customHeight="1">
      <c r="AJ88" s="61"/>
      <c r="AK88" s="61"/>
      <c r="AL88" s="61"/>
      <c r="AM88" s="61"/>
    </row>
    <row r="89" spans="2:47" ht="15.75" hidden="1" customHeight="1">
      <c r="AJ89" s="61"/>
      <c r="AK89" s="61"/>
      <c r="AL89" s="61"/>
      <c r="AM89" s="61"/>
    </row>
    <row r="90" spans="2:47" ht="15.75" hidden="1" customHeight="1">
      <c r="B90" s="74" t="s">
        <v>208</v>
      </c>
      <c r="C90" s="88">
        <f>SUM(C91:C99)</f>
        <v>151</v>
      </c>
      <c r="D90" s="88">
        <f t="shared" ref="D90:N90" si="119">SUM(D91:D99)</f>
        <v>375</v>
      </c>
      <c r="E90" s="88">
        <f t="shared" si="119"/>
        <v>279</v>
      </c>
      <c r="F90" s="88">
        <f t="shared" si="119"/>
        <v>226</v>
      </c>
      <c r="G90" s="88">
        <f t="shared" si="119"/>
        <v>272</v>
      </c>
      <c r="H90" s="88">
        <f t="shared" si="119"/>
        <v>245</v>
      </c>
      <c r="I90" s="88">
        <f t="shared" si="119"/>
        <v>226</v>
      </c>
      <c r="J90" s="88">
        <f t="shared" si="119"/>
        <v>0</v>
      </c>
      <c r="K90" s="88">
        <f t="shared" si="119"/>
        <v>322</v>
      </c>
      <c r="L90" s="88">
        <f t="shared" si="119"/>
        <v>235</v>
      </c>
      <c r="M90" s="88">
        <f t="shared" si="119"/>
        <v>548</v>
      </c>
      <c r="N90" s="88">
        <f t="shared" si="119"/>
        <v>263</v>
      </c>
      <c r="O90" s="248"/>
      <c r="P90" s="88">
        <f>SUM(C90:H90)</f>
        <v>1548</v>
      </c>
      <c r="Q90" s="89">
        <f>SUM(I90:N90)</f>
        <v>1594</v>
      </c>
      <c r="R90" s="89"/>
      <c r="S90" s="89"/>
      <c r="T90" s="89"/>
      <c r="U90" s="90">
        <f>SUM(C90:N90)</f>
        <v>3142</v>
      </c>
      <c r="V90" s="74"/>
      <c r="W90" s="89">
        <f>SUM(W91:W92)</f>
        <v>0</v>
      </c>
      <c r="X90" s="89">
        <f t="shared" ref="X90:AH90" si="120">SUM(X91:X92)</f>
        <v>0</v>
      </c>
      <c r="Y90" s="89">
        <f t="shared" si="120"/>
        <v>0</v>
      </c>
      <c r="Z90" s="89">
        <f t="shared" si="120"/>
        <v>0</v>
      </c>
      <c r="AA90" s="89">
        <f t="shared" si="120"/>
        <v>0</v>
      </c>
      <c r="AB90" s="89">
        <f t="shared" si="120"/>
        <v>0</v>
      </c>
      <c r="AC90" s="89">
        <f t="shared" si="120"/>
        <v>0</v>
      </c>
      <c r="AD90" s="89">
        <f t="shared" si="120"/>
        <v>0</v>
      </c>
      <c r="AE90" s="89">
        <f t="shared" si="120"/>
        <v>0</v>
      </c>
      <c r="AF90" s="89">
        <f t="shared" si="120"/>
        <v>0</v>
      </c>
      <c r="AG90" s="89">
        <f t="shared" si="120"/>
        <v>0</v>
      </c>
      <c r="AH90" s="89">
        <f t="shared" si="120"/>
        <v>0</v>
      </c>
      <c r="AI90" s="93"/>
      <c r="AJ90" s="61">
        <f>SUM(W90:AB90)</f>
        <v>0</v>
      </c>
      <c r="AK90" s="61">
        <f>SUM(AC90:AH90)</f>
        <v>0</v>
      </c>
      <c r="AL90" s="61">
        <f>SUM(W90:AH90)</f>
        <v>0</v>
      </c>
      <c r="AM90" s="61"/>
      <c r="AN90" s="61"/>
      <c r="AO90" s="61"/>
      <c r="AP90" s="61"/>
      <c r="AQ90" s="61"/>
      <c r="AR90" s="61"/>
      <c r="AS90" s="61"/>
      <c r="AT90" s="61"/>
      <c r="AU90" s="61"/>
    </row>
    <row r="91" spans="2:47" ht="15.75" hidden="1" customHeight="1">
      <c r="B91" s="79" t="s">
        <v>209</v>
      </c>
      <c r="C91" s="119">
        <v>23</v>
      </c>
      <c r="D91" s="119">
        <v>76</v>
      </c>
      <c r="E91" s="119">
        <v>35</v>
      </c>
      <c r="F91" s="119">
        <v>20</v>
      </c>
      <c r="G91" s="119">
        <v>46</v>
      </c>
      <c r="H91" s="119">
        <v>35</v>
      </c>
      <c r="I91" s="119">
        <v>40</v>
      </c>
      <c r="J91" s="119">
        <v>0</v>
      </c>
      <c r="K91" s="119">
        <v>58</v>
      </c>
      <c r="L91" s="119">
        <v>33</v>
      </c>
      <c r="M91" s="119">
        <v>61</v>
      </c>
      <c r="N91" s="119">
        <v>29</v>
      </c>
      <c r="O91" s="248"/>
      <c r="P91" s="91">
        <f>SUM(C91:H91)</f>
        <v>235</v>
      </c>
      <c r="Q91" s="92">
        <f>SUM(I91:N91)</f>
        <v>221</v>
      </c>
      <c r="R91" s="92"/>
      <c r="S91" s="92"/>
      <c r="T91" s="92"/>
      <c r="U91" s="94">
        <f>SUM(C91:N91)</f>
        <v>456</v>
      </c>
      <c r="V91" s="79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120"/>
      <c r="AJ91" s="61">
        <f>SUM(W91:AB91)</f>
        <v>0</v>
      </c>
      <c r="AK91" s="61">
        <f>SUM(AC91:AH91)</f>
        <v>0</v>
      </c>
      <c r="AL91" s="61">
        <f>SUM(W91:AH91)</f>
        <v>0</v>
      </c>
      <c r="AM91" s="61"/>
      <c r="AN91" s="61"/>
      <c r="AO91" s="61"/>
      <c r="AP91" s="61"/>
      <c r="AQ91" s="61"/>
      <c r="AR91" s="61"/>
      <c r="AS91" s="61"/>
      <c r="AT91" s="61"/>
      <c r="AU91" s="61"/>
    </row>
    <row r="92" spans="2:47" ht="15.75" hidden="1" customHeight="1">
      <c r="B92" s="79" t="s">
        <v>210</v>
      </c>
      <c r="C92" s="119">
        <v>19</v>
      </c>
      <c r="D92" s="119">
        <v>92</v>
      </c>
      <c r="E92" s="119">
        <v>27</v>
      </c>
      <c r="F92" s="119">
        <v>29</v>
      </c>
      <c r="G92" s="119">
        <v>32</v>
      </c>
      <c r="H92" s="119">
        <v>33</v>
      </c>
      <c r="I92" s="119">
        <v>33</v>
      </c>
      <c r="J92" s="119">
        <v>0</v>
      </c>
      <c r="K92" s="119">
        <v>27</v>
      </c>
      <c r="L92" s="119">
        <v>0</v>
      </c>
      <c r="M92" s="119">
        <v>52</v>
      </c>
      <c r="N92" s="119">
        <v>21</v>
      </c>
      <c r="O92" s="248"/>
      <c r="P92" s="91">
        <f>SUM(C92:H92)</f>
        <v>232</v>
      </c>
      <c r="Q92" s="92">
        <f>SUM(I92:N92)</f>
        <v>133</v>
      </c>
      <c r="R92" s="92"/>
      <c r="S92" s="92"/>
      <c r="T92" s="92"/>
      <c r="U92" s="94">
        <f>SUM(C92:N92)</f>
        <v>365</v>
      </c>
      <c r="V92" s="79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120"/>
      <c r="AJ92" s="61">
        <f>SUM(W92:AB92)</f>
        <v>0</v>
      </c>
      <c r="AK92" s="61">
        <f>SUM(AC92:AH92)</f>
        <v>0</v>
      </c>
      <c r="AL92" s="61">
        <f>SUM(W92:AH92)</f>
        <v>0</v>
      </c>
      <c r="AM92" s="61"/>
      <c r="AN92" s="61"/>
      <c r="AO92" s="61"/>
      <c r="AP92" s="61"/>
      <c r="AQ92" s="61"/>
      <c r="AR92" s="61"/>
      <c r="AS92" s="61"/>
      <c r="AT92" s="61"/>
      <c r="AU92" s="61"/>
    </row>
    <row r="93" spans="2:47" ht="15.75" hidden="1" customHeight="1">
      <c r="B93" s="79" t="s">
        <v>211</v>
      </c>
      <c r="C93" s="119">
        <v>15</v>
      </c>
      <c r="D93" s="119">
        <v>49</v>
      </c>
      <c r="E93" s="119">
        <v>20</v>
      </c>
      <c r="F93" s="119">
        <v>14</v>
      </c>
      <c r="G93" s="119">
        <v>33</v>
      </c>
      <c r="H93" s="119">
        <v>20</v>
      </c>
      <c r="I93" s="119">
        <v>39</v>
      </c>
      <c r="J93" s="119">
        <v>0</v>
      </c>
      <c r="K93" s="119">
        <v>34</v>
      </c>
      <c r="L93" s="119">
        <v>23</v>
      </c>
      <c r="M93" s="119">
        <v>53</v>
      </c>
      <c r="N93" s="119">
        <v>23</v>
      </c>
      <c r="O93" s="248"/>
      <c r="P93" s="91">
        <f t="shared" ref="P93:P98" si="121">SUM(C93:H93)</f>
        <v>151</v>
      </c>
      <c r="Q93" s="92">
        <f t="shared" ref="Q93:Q99" si="122">SUM(I93:N93)</f>
        <v>172</v>
      </c>
      <c r="R93" s="92"/>
      <c r="S93" s="92"/>
      <c r="T93" s="92"/>
      <c r="U93" s="94">
        <f t="shared" ref="U93:U99" si="123">SUM(C93:N93)</f>
        <v>323</v>
      </c>
      <c r="V93" s="79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120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</row>
    <row r="94" spans="2:47" ht="15.75" hidden="1" customHeight="1">
      <c r="B94" s="79" t="s">
        <v>212</v>
      </c>
      <c r="C94" s="119">
        <v>39</v>
      </c>
      <c r="D94" s="119">
        <v>91</v>
      </c>
      <c r="E94" s="119">
        <v>76</v>
      </c>
      <c r="F94" s="119">
        <v>46</v>
      </c>
      <c r="G94" s="119">
        <v>40</v>
      </c>
      <c r="H94" s="119">
        <v>34</v>
      </c>
      <c r="I94" s="119">
        <v>27</v>
      </c>
      <c r="J94" s="119">
        <v>0</v>
      </c>
      <c r="K94" s="119">
        <v>60</v>
      </c>
      <c r="L94" s="119">
        <v>60</v>
      </c>
      <c r="M94" s="119">
        <v>83</v>
      </c>
      <c r="N94" s="119">
        <v>45</v>
      </c>
      <c r="O94" s="248"/>
      <c r="P94" s="91">
        <f t="shared" si="121"/>
        <v>326</v>
      </c>
      <c r="Q94" s="92">
        <f t="shared" si="122"/>
        <v>275</v>
      </c>
      <c r="R94" s="92"/>
      <c r="S94" s="92"/>
      <c r="T94" s="92"/>
      <c r="U94" s="94">
        <f t="shared" si="123"/>
        <v>601</v>
      </c>
      <c r="V94" s="79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120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</row>
    <row r="95" spans="2:47" ht="15.75" hidden="1" customHeight="1">
      <c r="B95" s="79" t="s">
        <v>213</v>
      </c>
      <c r="C95" s="119">
        <v>29</v>
      </c>
      <c r="D95" s="119">
        <v>25</v>
      </c>
      <c r="E95" s="119">
        <v>44</v>
      </c>
      <c r="F95" s="119">
        <v>40</v>
      </c>
      <c r="G95" s="119">
        <v>48</v>
      </c>
      <c r="H95" s="119">
        <v>57</v>
      </c>
      <c r="I95" s="119">
        <v>38</v>
      </c>
      <c r="J95" s="119">
        <v>0</v>
      </c>
      <c r="K95" s="119">
        <v>75</v>
      </c>
      <c r="L95" s="119">
        <v>72</v>
      </c>
      <c r="M95" s="119">
        <v>167</v>
      </c>
      <c r="N95" s="119">
        <v>72</v>
      </c>
      <c r="O95" s="248"/>
      <c r="P95" s="91">
        <f t="shared" si="121"/>
        <v>243</v>
      </c>
      <c r="Q95" s="92">
        <f t="shared" si="122"/>
        <v>424</v>
      </c>
      <c r="R95" s="92"/>
      <c r="S95" s="92"/>
      <c r="T95" s="92"/>
      <c r="U95" s="94">
        <f t="shared" si="123"/>
        <v>667</v>
      </c>
      <c r="V95" s="79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120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</row>
    <row r="96" spans="2:47" ht="15.75" hidden="1" customHeight="1">
      <c r="B96" s="79" t="s">
        <v>214</v>
      </c>
      <c r="C96" s="119">
        <v>0</v>
      </c>
      <c r="D96" s="119">
        <v>21</v>
      </c>
      <c r="E96" s="119">
        <v>47</v>
      </c>
      <c r="F96" s="119">
        <v>43</v>
      </c>
      <c r="G96" s="119">
        <v>24</v>
      </c>
      <c r="H96" s="119">
        <v>17</v>
      </c>
      <c r="I96" s="119">
        <v>21</v>
      </c>
      <c r="J96" s="119">
        <v>0</v>
      </c>
      <c r="K96" s="119">
        <v>49</v>
      </c>
      <c r="L96" s="119">
        <v>37</v>
      </c>
      <c r="M96" s="119">
        <v>93</v>
      </c>
      <c r="N96" s="119">
        <v>56</v>
      </c>
      <c r="O96" s="248"/>
      <c r="P96" s="91">
        <f t="shared" si="121"/>
        <v>152</v>
      </c>
      <c r="Q96" s="92">
        <f t="shared" si="122"/>
        <v>256</v>
      </c>
      <c r="R96" s="92"/>
      <c r="S96" s="92"/>
      <c r="T96" s="92"/>
      <c r="U96" s="94">
        <f t="shared" si="123"/>
        <v>408</v>
      </c>
      <c r="V96" s="79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120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</row>
    <row r="97" spans="2:47" ht="15.75" hidden="1" customHeight="1">
      <c r="B97" s="79" t="s">
        <v>215</v>
      </c>
      <c r="C97" s="119">
        <v>0</v>
      </c>
      <c r="D97" s="119">
        <v>0</v>
      </c>
      <c r="E97" s="119">
        <v>0</v>
      </c>
      <c r="F97" s="119">
        <v>5</v>
      </c>
      <c r="G97" s="119">
        <v>13</v>
      </c>
      <c r="H97" s="119">
        <v>14</v>
      </c>
      <c r="I97" s="119">
        <v>8</v>
      </c>
      <c r="J97" s="119">
        <v>0</v>
      </c>
      <c r="K97" s="119">
        <v>14</v>
      </c>
      <c r="L97" s="119">
        <v>8</v>
      </c>
      <c r="M97" s="119">
        <v>20</v>
      </c>
      <c r="N97" s="119">
        <v>9</v>
      </c>
      <c r="O97" s="248"/>
      <c r="P97" s="91">
        <f t="shared" si="121"/>
        <v>32</v>
      </c>
      <c r="Q97" s="92">
        <f t="shared" si="122"/>
        <v>59</v>
      </c>
      <c r="R97" s="92"/>
      <c r="S97" s="92"/>
      <c r="T97" s="92"/>
      <c r="U97" s="94">
        <f t="shared" si="123"/>
        <v>91</v>
      </c>
      <c r="V97" s="79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120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</row>
    <row r="98" spans="2:47" ht="15.75" hidden="1" customHeight="1">
      <c r="B98" s="79" t="s">
        <v>216</v>
      </c>
      <c r="C98" s="119">
        <v>0</v>
      </c>
      <c r="D98" s="119">
        <v>0</v>
      </c>
      <c r="E98" s="119">
        <v>0</v>
      </c>
      <c r="F98" s="119">
        <v>8</v>
      </c>
      <c r="G98" s="119">
        <v>8</v>
      </c>
      <c r="H98" s="119">
        <v>1</v>
      </c>
      <c r="I98" s="119">
        <v>3</v>
      </c>
      <c r="J98" s="119">
        <v>0</v>
      </c>
      <c r="K98" s="119">
        <v>5</v>
      </c>
      <c r="L98" s="119">
        <v>2</v>
      </c>
      <c r="M98" s="119">
        <v>19</v>
      </c>
      <c r="N98" s="119">
        <v>8</v>
      </c>
      <c r="O98" s="248"/>
      <c r="P98" s="91">
        <f t="shared" si="121"/>
        <v>17</v>
      </c>
      <c r="Q98" s="92">
        <f t="shared" si="122"/>
        <v>37</v>
      </c>
      <c r="R98" s="92"/>
      <c r="S98" s="92"/>
      <c r="T98" s="92"/>
      <c r="U98" s="94">
        <f t="shared" si="123"/>
        <v>54</v>
      </c>
      <c r="V98" s="79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120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</row>
    <row r="99" spans="2:47" ht="15.75" hidden="1" customHeight="1">
      <c r="B99" s="79" t="s">
        <v>217</v>
      </c>
      <c r="C99" s="119">
        <v>26</v>
      </c>
      <c r="D99" s="119">
        <v>21</v>
      </c>
      <c r="E99" s="119">
        <v>30</v>
      </c>
      <c r="F99" s="119">
        <v>21</v>
      </c>
      <c r="G99" s="119">
        <v>28</v>
      </c>
      <c r="H99" s="119">
        <v>34</v>
      </c>
      <c r="I99" s="119">
        <v>17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248"/>
      <c r="P99" s="91">
        <f>SUM(C99:N99)</f>
        <v>177</v>
      </c>
      <c r="Q99" s="92">
        <f t="shared" si="122"/>
        <v>17</v>
      </c>
      <c r="R99" s="92"/>
      <c r="S99" s="92"/>
      <c r="T99" s="92"/>
      <c r="U99" s="94">
        <f t="shared" si="123"/>
        <v>177</v>
      </c>
      <c r="V99" s="79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120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</row>
    <row r="100" spans="2:47" ht="15.75" hidden="1" customHeight="1"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</row>
    <row r="101" spans="2:47" ht="15.6" hidden="1" customHeight="1"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</row>
    <row r="102" spans="2:47" ht="15.75" hidden="1" customHeight="1">
      <c r="B102" s="74" t="s">
        <v>218</v>
      </c>
      <c r="C102" s="97">
        <f t="shared" ref="C102:N102" si="124">C9/C90</f>
        <v>218.67549668874173</v>
      </c>
      <c r="D102" s="97">
        <f t="shared" si="124"/>
        <v>178.88800000000001</v>
      </c>
      <c r="E102" s="97">
        <f t="shared" si="124"/>
        <v>450.10035842293905</v>
      </c>
      <c r="F102" s="97">
        <f t="shared" si="124"/>
        <v>503.27433628318585</v>
      </c>
      <c r="G102" s="97">
        <f t="shared" si="124"/>
        <v>536.08823529411768</v>
      </c>
      <c r="H102" s="97">
        <f t="shared" si="124"/>
        <v>489.33877551020407</v>
      </c>
      <c r="I102" s="97">
        <f t="shared" si="124"/>
        <v>239.91150442477877</v>
      </c>
      <c r="J102" s="97" t="e">
        <f t="shared" si="124"/>
        <v>#DIV/0!</v>
      </c>
      <c r="K102" s="97">
        <f t="shared" si="124"/>
        <v>201.17701863354037</v>
      </c>
      <c r="L102" s="97">
        <f t="shared" si="124"/>
        <v>409.62978723404257</v>
      </c>
      <c r="M102" s="97">
        <f t="shared" si="124"/>
        <v>276.19890510948903</v>
      </c>
      <c r="N102" s="97">
        <f t="shared" si="124"/>
        <v>358.95057034220531</v>
      </c>
      <c r="O102" s="248"/>
      <c r="P102" s="75">
        <f t="shared" ref="P102:Q111" si="125">P9/P90</f>
        <v>390.90762273901811</v>
      </c>
      <c r="Q102" s="122">
        <f t="shared" si="125"/>
        <v>308.69447929736509</v>
      </c>
      <c r="R102" s="122"/>
      <c r="S102" s="122"/>
      <c r="T102" s="122"/>
      <c r="U102" s="78">
        <f t="shared" ref="U102:U111" si="126">U9/U90</f>
        <v>349.19923615531508</v>
      </c>
      <c r="V102" s="61"/>
      <c r="W102" s="89">
        <f>SUM(W103:W104)</f>
        <v>0</v>
      </c>
      <c r="X102" s="89">
        <f t="shared" ref="X102:AH102" si="127">SUM(X103:X104)</f>
        <v>0</v>
      </c>
      <c r="Y102" s="89">
        <f t="shared" si="127"/>
        <v>0</v>
      </c>
      <c r="Z102" s="89">
        <f t="shared" si="127"/>
        <v>0</v>
      </c>
      <c r="AA102" s="89">
        <f t="shared" si="127"/>
        <v>0</v>
      </c>
      <c r="AB102" s="89">
        <f t="shared" si="127"/>
        <v>0</v>
      </c>
      <c r="AC102" s="89">
        <f t="shared" si="127"/>
        <v>0</v>
      </c>
      <c r="AD102" s="89">
        <f t="shared" si="127"/>
        <v>0</v>
      </c>
      <c r="AE102" s="89">
        <f t="shared" si="127"/>
        <v>0</v>
      </c>
      <c r="AF102" s="89">
        <f t="shared" si="127"/>
        <v>0</v>
      </c>
      <c r="AG102" s="89">
        <f t="shared" si="127"/>
        <v>0</v>
      </c>
      <c r="AH102" s="89">
        <f t="shared" si="127"/>
        <v>0</v>
      </c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</row>
    <row r="103" spans="2:47" ht="15.75" hidden="1" customHeight="1">
      <c r="B103" s="79" t="s">
        <v>219</v>
      </c>
      <c r="C103" s="101">
        <f t="shared" ref="C103:N103" si="128">C10/C91</f>
        <v>184.52173913043478</v>
      </c>
      <c r="D103" s="101">
        <f t="shared" si="128"/>
        <v>116.90789473684211</v>
      </c>
      <c r="E103" s="101">
        <f t="shared" si="128"/>
        <v>476.14285714285717</v>
      </c>
      <c r="F103" s="101">
        <f t="shared" si="128"/>
        <v>737.3</v>
      </c>
      <c r="G103" s="101">
        <f t="shared" si="128"/>
        <v>441.54347826086956</v>
      </c>
      <c r="H103" s="101">
        <f t="shared" si="128"/>
        <v>459.97142857142859</v>
      </c>
      <c r="I103" s="101">
        <f t="shared" si="128"/>
        <v>178.375</v>
      </c>
      <c r="J103" s="101" t="e">
        <f t="shared" si="128"/>
        <v>#DIV/0!</v>
      </c>
      <c r="K103" s="101">
        <f t="shared" si="128"/>
        <v>127.48275862068965</v>
      </c>
      <c r="L103" s="101">
        <f t="shared" si="128"/>
        <v>332.969696969697</v>
      </c>
      <c r="M103" s="101">
        <f t="shared" si="128"/>
        <v>283.22950819672133</v>
      </c>
      <c r="N103" s="101">
        <f t="shared" si="128"/>
        <v>371.58620689655174</v>
      </c>
      <c r="O103" s="248"/>
      <c r="P103" s="80">
        <f t="shared" si="125"/>
        <v>344.468085106383</v>
      </c>
      <c r="Q103" s="81">
        <f t="shared" si="125"/>
        <v>258.42986425339365</v>
      </c>
      <c r="R103" s="81"/>
      <c r="S103" s="81"/>
      <c r="T103" s="81"/>
      <c r="U103" s="83">
        <f t="shared" si="126"/>
        <v>302.76973684210526</v>
      </c>
      <c r="V103" s="61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</row>
    <row r="104" spans="2:47" ht="15.75" hidden="1" customHeight="1">
      <c r="B104" s="79" t="s">
        <v>220</v>
      </c>
      <c r="C104" s="101">
        <f t="shared" ref="C104:N104" si="129">C11/C92</f>
        <v>177.84210526315789</v>
      </c>
      <c r="D104" s="101">
        <f t="shared" si="129"/>
        <v>76.902173913043484</v>
      </c>
      <c r="E104" s="101">
        <f t="shared" si="129"/>
        <v>491.44444444444446</v>
      </c>
      <c r="F104" s="101">
        <f t="shared" si="129"/>
        <v>404.86206896551727</v>
      </c>
      <c r="G104" s="101">
        <f t="shared" si="129"/>
        <v>505.375</v>
      </c>
      <c r="H104" s="101">
        <f t="shared" si="129"/>
        <v>388.42424242424244</v>
      </c>
      <c r="I104" s="101">
        <f t="shared" si="129"/>
        <v>172.15151515151516</v>
      </c>
      <c r="J104" s="101" t="e">
        <f t="shared" si="129"/>
        <v>#DIV/0!</v>
      </c>
      <c r="K104" s="101">
        <f t="shared" si="129"/>
        <v>218.03703703703704</v>
      </c>
      <c r="L104" s="101" t="e">
        <f t="shared" si="129"/>
        <v>#DIV/0!</v>
      </c>
      <c r="M104" s="101">
        <f t="shared" si="129"/>
        <v>264.51923076923077</v>
      </c>
      <c r="N104" s="101">
        <f t="shared" si="129"/>
        <v>408.57142857142856</v>
      </c>
      <c r="O104" s="248"/>
      <c r="P104" s="80">
        <f t="shared" si="125"/>
        <v>277.81896551724139</v>
      </c>
      <c r="Q104" s="81">
        <f t="shared" si="125"/>
        <v>341.89473684210526</v>
      </c>
      <c r="R104" s="81"/>
      <c r="S104" s="81"/>
      <c r="T104" s="81"/>
      <c r="U104" s="83">
        <f t="shared" si="126"/>
        <v>301.16712328767125</v>
      </c>
      <c r="V104" s="61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</row>
    <row r="105" spans="2:47" ht="15.75" hidden="1" customHeight="1">
      <c r="B105" s="79" t="s">
        <v>221</v>
      </c>
      <c r="C105" s="101">
        <f t="shared" ref="C105:N105" si="130">C12/C93</f>
        <v>159.13333333333333</v>
      </c>
      <c r="D105" s="101">
        <f t="shared" si="130"/>
        <v>102</v>
      </c>
      <c r="E105" s="101">
        <f t="shared" si="130"/>
        <v>468.7</v>
      </c>
      <c r="F105" s="101">
        <f t="shared" si="130"/>
        <v>592.5</v>
      </c>
      <c r="G105" s="101">
        <f t="shared" si="130"/>
        <v>43.18181818181818</v>
      </c>
      <c r="H105" s="101">
        <f t="shared" si="130"/>
        <v>452.8</v>
      </c>
      <c r="I105" s="101">
        <f t="shared" si="130"/>
        <v>102.8974358974359</v>
      </c>
      <c r="J105" s="101" t="e">
        <f t="shared" si="130"/>
        <v>#DIV/0!</v>
      </c>
      <c r="K105" s="101">
        <f t="shared" si="130"/>
        <v>122.32352941176471</v>
      </c>
      <c r="L105" s="101">
        <f t="shared" si="130"/>
        <v>268.73913043478262</v>
      </c>
      <c r="M105" s="101">
        <f t="shared" si="130"/>
        <v>183.35849056603774</v>
      </c>
      <c r="N105" s="101">
        <f t="shared" si="130"/>
        <v>263.52173913043481</v>
      </c>
      <c r="O105" s="61"/>
      <c r="P105" s="80">
        <f t="shared" si="125"/>
        <v>235.33112582781456</v>
      </c>
      <c r="Q105" s="81">
        <f t="shared" si="125"/>
        <v>186.77325581395348</v>
      </c>
      <c r="R105" s="81"/>
      <c r="S105" s="81"/>
      <c r="T105" s="81"/>
      <c r="U105" s="83">
        <f t="shared" si="126"/>
        <v>209.47368421052633</v>
      </c>
      <c r="V105" s="61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</row>
    <row r="106" spans="2:47" ht="15.75" hidden="1" customHeight="1">
      <c r="B106" s="79" t="s">
        <v>222</v>
      </c>
      <c r="C106" s="101">
        <f t="shared" ref="C106:N106" si="131">C13/C94</f>
        <v>330.61538461538464</v>
      </c>
      <c r="D106" s="101">
        <f t="shared" si="131"/>
        <v>189.91208791208791</v>
      </c>
      <c r="E106" s="101">
        <f t="shared" si="131"/>
        <v>382.4736842105263</v>
      </c>
      <c r="F106" s="101">
        <f t="shared" si="131"/>
        <v>456.41304347826087</v>
      </c>
      <c r="G106" s="101">
        <f t="shared" si="131"/>
        <v>801.7</v>
      </c>
      <c r="H106" s="101">
        <f t="shared" si="131"/>
        <v>656.20588235294122</v>
      </c>
      <c r="I106" s="101">
        <f t="shared" si="131"/>
        <v>437.55555555555554</v>
      </c>
      <c r="J106" s="101" t="e">
        <f t="shared" si="131"/>
        <v>#DIV/0!</v>
      </c>
      <c r="K106" s="101">
        <f t="shared" si="131"/>
        <v>204.06666666666666</v>
      </c>
      <c r="L106" s="101">
        <f t="shared" si="131"/>
        <v>303.25</v>
      </c>
      <c r="M106" s="101">
        <f t="shared" si="131"/>
        <v>344.67469879518075</v>
      </c>
      <c r="N106" s="101">
        <f t="shared" si="131"/>
        <v>396.51111111111112</v>
      </c>
      <c r="O106" s="61"/>
      <c r="P106" s="80">
        <f t="shared" si="125"/>
        <v>412.93865030674846</v>
      </c>
      <c r="Q106" s="81">
        <f t="shared" si="125"/>
        <v>343.89090909090908</v>
      </c>
      <c r="R106" s="81"/>
      <c r="S106" s="81"/>
      <c r="T106" s="81"/>
      <c r="U106" s="83">
        <f t="shared" si="126"/>
        <v>381.34442595673875</v>
      </c>
      <c r="V106" s="61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</row>
    <row r="107" spans="2:47" ht="15.75" hidden="1" customHeight="1">
      <c r="B107" s="79" t="s">
        <v>223</v>
      </c>
      <c r="C107" s="101">
        <f t="shared" ref="C107:N107" si="132">C14/C95</f>
        <v>207.31034482758622</v>
      </c>
      <c r="D107" s="101">
        <f t="shared" si="132"/>
        <v>509.88</v>
      </c>
      <c r="E107" s="101">
        <f t="shared" si="132"/>
        <v>480.11363636363637</v>
      </c>
      <c r="F107" s="101">
        <f t="shared" si="132"/>
        <v>399.15</v>
      </c>
      <c r="G107" s="101">
        <f t="shared" si="132"/>
        <v>509.0625</v>
      </c>
      <c r="H107" s="101">
        <f t="shared" si="132"/>
        <v>323.59649122807019</v>
      </c>
      <c r="I107" s="101">
        <f t="shared" si="132"/>
        <v>228.44736842105263</v>
      </c>
      <c r="J107" s="101" t="e">
        <f t="shared" si="132"/>
        <v>#DIV/0!</v>
      </c>
      <c r="K107" s="101">
        <f t="shared" si="132"/>
        <v>199.62666666666667</v>
      </c>
      <c r="L107" s="101">
        <f t="shared" si="132"/>
        <v>309</v>
      </c>
      <c r="M107" s="101">
        <f t="shared" si="132"/>
        <v>209.47305389221557</v>
      </c>
      <c r="N107" s="101">
        <f t="shared" si="132"/>
        <v>303.04166666666669</v>
      </c>
      <c r="O107" s="61"/>
      <c r="P107" s="80">
        <f t="shared" si="125"/>
        <v>406.2962962962963</v>
      </c>
      <c r="Q107" s="81">
        <f t="shared" si="125"/>
        <v>259.1391509433962</v>
      </c>
      <c r="R107" s="81"/>
      <c r="S107" s="81"/>
      <c r="T107" s="81"/>
      <c r="U107" s="83">
        <f t="shared" si="126"/>
        <v>312.75112443778113</v>
      </c>
      <c r="V107" s="61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</row>
    <row r="108" spans="2:47" ht="15.75" hidden="1" customHeight="1">
      <c r="B108" s="79" t="s">
        <v>224</v>
      </c>
      <c r="C108" s="101" t="e">
        <f t="shared" ref="C108:N108" si="133">C15/C96</f>
        <v>#DIV/0!</v>
      </c>
      <c r="D108" s="101">
        <f t="shared" si="133"/>
        <v>364.90476190476193</v>
      </c>
      <c r="E108" s="101">
        <f t="shared" si="133"/>
        <v>371.87234042553189</v>
      </c>
      <c r="F108" s="101">
        <f t="shared" si="133"/>
        <v>386.93023255813955</v>
      </c>
      <c r="G108" s="101">
        <f t="shared" si="133"/>
        <v>788.33333333333337</v>
      </c>
      <c r="H108" s="101">
        <f t="shared" si="133"/>
        <v>852.23529411764707</v>
      </c>
      <c r="I108" s="101">
        <f t="shared" si="133"/>
        <v>316.09523809523807</v>
      </c>
      <c r="J108" s="101" t="e">
        <f t="shared" si="133"/>
        <v>#DIV/0!</v>
      </c>
      <c r="K108" s="101">
        <f t="shared" si="133"/>
        <v>315.65306122448982</v>
      </c>
      <c r="L108" s="101">
        <f t="shared" si="133"/>
        <v>621.21621621621625</v>
      </c>
      <c r="M108" s="101">
        <f t="shared" si="133"/>
        <v>388.60215053763443</v>
      </c>
      <c r="N108" s="101">
        <f t="shared" si="133"/>
        <v>402.51785714285717</v>
      </c>
      <c r="O108" s="61"/>
      <c r="P108" s="80">
        <f t="shared" si="125"/>
        <v>494.6513157894737</v>
      </c>
      <c r="Q108" s="81">
        <f t="shared" si="125"/>
        <v>434.30078125</v>
      </c>
      <c r="R108" s="81"/>
      <c r="S108" s="81"/>
      <c r="T108" s="81"/>
      <c r="U108" s="83">
        <f t="shared" si="126"/>
        <v>456.78431372549022</v>
      </c>
      <c r="V108" s="61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</row>
    <row r="109" spans="2:47" ht="15.75" hidden="1" customHeight="1">
      <c r="B109" s="79" t="s">
        <v>225</v>
      </c>
      <c r="C109" s="101" t="e">
        <f t="shared" ref="C109:N109" si="134">C16/C97</f>
        <v>#DIV/0!</v>
      </c>
      <c r="D109" s="101" t="e">
        <f t="shared" si="134"/>
        <v>#DIV/0!</v>
      </c>
      <c r="E109" s="101" t="e">
        <f t="shared" si="134"/>
        <v>#DIV/0!</v>
      </c>
      <c r="F109" s="101">
        <f t="shared" si="134"/>
        <v>1637</v>
      </c>
      <c r="G109" s="101">
        <f t="shared" si="134"/>
        <v>867.23076923076928</v>
      </c>
      <c r="H109" s="101">
        <f t="shared" si="134"/>
        <v>638.28571428571433</v>
      </c>
      <c r="I109" s="101">
        <f t="shared" si="134"/>
        <v>320.125</v>
      </c>
      <c r="J109" s="101" t="e">
        <f t="shared" si="134"/>
        <v>#DIV/0!</v>
      </c>
      <c r="K109" s="101">
        <f t="shared" si="134"/>
        <v>189.57142857142858</v>
      </c>
      <c r="L109" s="101">
        <f t="shared" si="134"/>
        <v>492.875</v>
      </c>
      <c r="M109" s="101">
        <f t="shared" si="134"/>
        <v>310</v>
      </c>
      <c r="N109" s="101">
        <f t="shared" si="134"/>
        <v>429.66666666666669</v>
      </c>
      <c r="O109" s="61"/>
      <c r="P109" s="80">
        <f t="shared" si="125"/>
        <v>887.34375</v>
      </c>
      <c r="Q109" s="81">
        <f t="shared" si="125"/>
        <v>347.38983050847457</v>
      </c>
      <c r="R109" s="81"/>
      <c r="S109" s="81"/>
      <c r="T109" s="81"/>
      <c r="U109" s="83">
        <f t="shared" si="126"/>
        <v>537.26373626373629</v>
      </c>
      <c r="V109" s="61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</row>
    <row r="110" spans="2:47" ht="15.75" hidden="1" customHeight="1">
      <c r="B110" s="79" t="s">
        <v>226</v>
      </c>
      <c r="C110" s="101" t="e">
        <f t="shared" ref="C110:N110" si="135">C17/C98</f>
        <v>#DIV/0!</v>
      </c>
      <c r="D110" s="101" t="e">
        <f t="shared" si="135"/>
        <v>#DIV/0!</v>
      </c>
      <c r="E110" s="101" t="e">
        <f t="shared" si="135"/>
        <v>#DIV/0!</v>
      </c>
      <c r="F110" s="101">
        <f t="shared" si="135"/>
        <v>771.875</v>
      </c>
      <c r="G110" s="101">
        <f t="shared" si="135"/>
        <v>1063.125</v>
      </c>
      <c r="H110" s="101">
        <f t="shared" si="135"/>
        <v>6741</v>
      </c>
      <c r="I110" s="101">
        <f t="shared" si="135"/>
        <v>644</v>
      </c>
      <c r="J110" s="101" t="e">
        <f t="shared" si="135"/>
        <v>#DIV/0!</v>
      </c>
      <c r="K110" s="101">
        <f t="shared" si="135"/>
        <v>400.4</v>
      </c>
      <c r="L110" s="101">
        <f t="shared" si="135"/>
        <v>1487.5</v>
      </c>
      <c r="M110" s="101">
        <f t="shared" si="135"/>
        <v>246.15789473684211</v>
      </c>
      <c r="N110" s="101">
        <f t="shared" si="135"/>
        <v>364.625</v>
      </c>
      <c r="O110" s="61"/>
      <c r="P110" s="80">
        <f t="shared" si="125"/>
        <v>1260.0588235294117</v>
      </c>
      <c r="Q110" s="81">
        <f t="shared" si="125"/>
        <v>417.89189189189187</v>
      </c>
      <c r="R110" s="81"/>
      <c r="S110" s="81"/>
      <c r="T110" s="81"/>
      <c r="U110" s="83">
        <f t="shared" si="126"/>
        <v>683.01851851851848</v>
      </c>
      <c r="V110" s="61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</row>
    <row r="111" spans="2:47" ht="15.75" hidden="1" customHeight="1">
      <c r="B111" s="79" t="s">
        <v>227</v>
      </c>
      <c r="C111" s="101">
        <f t="shared" ref="C111:N111" si="136">C18/C99</f>
        <v>157.84615384615384</v>
      </c>
      <c r="D111" s="101">
        <f t="shared" si="136"/>
        <v>401.57142857142856</v>
      </c>
      <c r="E111" s="101">
        <f t="shared" si="136"/>
        <v>619.9666666666667</v>
      </c>
      <c r="F111" s="101">
        <f t="shared" si="136"/>
        <v>523.76190476190482</v>
      </c>
      <c r="G111" s="101">
        <f t="shared" si="136"/>
        <v>453.78571428571428</v>
      </c>
      <c r="H111" s="101">
        <f t="shared" si="136"/>
        <v>323.35294117647061</v>
      </c>
      <c r="I111" s="101">
        <f t="shared" si="136"/>
        <v>339.11764705882354</v>
      </c>
      <c r="J111" s="101" t="e">
        <f t="shared" si="136"/>
        <v>#DIV/0!</v>
      </c>
      <c r="K111" s="101" t="e">
        <f t="shared" si="136"/>
        <v>#DIV/0!</v>
      </c>
      <c r="L111" s="101" t="e">
        <f t="shared" si="136"/>
        <v>#DIV/0!</v>
      </c>
      <c r="M111" s="101" t="e">
        <f t="shared" si="136"/>
        <v>#DIV/0!</v>
      </c>
      <c r="N111" s="101" t="e">
        <f t="shared" si="136"/>
        <v>#DIV/0!</v>
      </c>
      <c r="O111" s="61"/>
      <c r="P111" s="80">
        <f t="shared" si="125"/>
        <v>404.51977401129943</v>
      </c>
      <c r="Q111" s="81">
        <f t="shared" si="125"/>
        <v>339.11764705882354</v>
      </c>
      <c r="R111" s="81"/>
      <c r="S111" s="81"/>
      <c r="T111" s="81"/>
      <c r="U111" s="83">
        <f t="shared" si="126"/>
        <v>404.51977401129943</v>
      </c>
      <c r="V111" s="61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</row>
    <row r="112" spans="2:47" s="261" customFormat="1" ht="15.75" hidden="1" customHeight="1">
      <c r="B112" s="255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7"/>
      <c r="P112" s="258"/>
      <c r="Q112" s="259"/>
      <c r="R112" s="259"/>
      <c r="S112" s="259"/>
      <c r="T112" s="259"/>
      <c r="U112" s="260"/>
      <c r="V112" s="257"/>
      <c r="W112" s="257"/>
      <c r="X112" s="257"/>
      <c r="Y112" s="257"/>
      <c r="Z112" s="257"/>
      <c r="AA112" s="257"/>
      <c r="AB112" s="257"/>
      <c r="AC112" s="257"/>
      <c r="AD112" s="257"/>
      <c r="AE112" s="257"/>
      <c r="AF112" s="257"/>
      <c r="AG112" s="257"/>
      <c r="AH112" s="257"/>
      <c r="AI112" s="257"/>
      <c r="AJ112" s="61"/>
      <c r="AK112" s="61"/>
      <c r="AL112" s="61"/>
      <c r="AM112" s="61"/>
      <c r="AN112" s="257"/>
      <c r="AO112" s="257"/>
      <c r="AP112" s="257"/>
      <c r="AQ112" s="257"/>
      <c r="AR112" s="257"/>
      <c r="AS112" s="257"/>
      <c r="AT112" s="257"/>
      <c r="AU112" s="257"/>
    </row>
    <row r="113" spans="2:47" s="261" customFormat="1" ht="15.75" hidden="1" customHeight="1">
      <c r="B113" s="255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7"/>
      <c r="P113" s="258"/>
      <c r="Q113" s="259"/>
      <c r="R113" s="259"/>
      <c r="S113" s="259"/>
      <c r="T113" s="259"/>
      <c r="U113" s="260"/>
      <c r="V113" s="257"/>
      <c r="W113" s="257"/>
      <c r="X113" s="257"/>
      <c r="Y113" s="257"/>
      <c r="Z113" s="257"/>
      <c r="AA113" s="257"/>
      <c r="AB113" s="257"/>
      <c r="AC113" s="257"/>
      <c r="AD113" s="257"/>
      <c r="AE113" s="257"/>
      <c r="AF113" s="257"/>
      <c r="AG113" s="257"/>
      <c r="AH113" s="257"/>
      <c r="AI113" s="257"/>
      <c r="AJ113" s="61"/>
      <c r="AK113" s="61"/>
      <c r="AL113" s="61"/>
      <c r="AM113" s="61"/>
      <c r="AN113" s="257"/>
      <c r="AO113" s="257"/>
      <c r="AP113" s="257"/>
      <c r="AQ113" s="257"/>
      <c r="AR113" s="257"/>
      <c r="AS113" s="257"/>
      <c r="AT113" s="257"/>
      <c r="AU113" s="257"/>
    </row>
    <row r="114" spans="2:47" ht="15.75" hidden="1" customHeight="1">
      <c r="B114" s="74" t="s">
        <v>228</v>
      </c>
      <c r="C114" s="106">
        <f t="shared" ref="C114:N123" si="137">C126/C90</f>
        <v>0.25165562913907286</v>
      </c>
      <c r="D114" s="106">
        <f t="shared" si="137"/>
        <v>0.18133333333333335</v>
      </c>
      <c r="E114" s="106">
        <f t="shared" si="137"/>
        <v>0.25089605734767023</v>
      </c>
      <c r="F114" s="106">
        <f t="shared" si="137"/>
        <v>0.25663716814159293</v>
      </c>
      <c r="G114" s="106">
        <f t="shared" si="137"/>
        <v>0.24264705882352941</v>
      </c>
      <c r="H114" s="106">
        <f t="shared" si="137"/>
        <v>0.24897959183673468</v>
      </c>
      <c r="I114" s="106">
        <f t="shared" si="137"/>
        <v>0.3584070796460177</v>
      </c>
      <c r="J114" s="106" t="e">
        <f t="shared" si="137"/>
        <v>#DIV/0!</v>
      </c>
      <c r="K114" s="106">
        <f t="shared" si="137"/>
        <v>0.32298136645962733</v>
      </c>
      <c r="L114" s="106">
        <f t="shared" si="137"/>
        <v>0.2978723404255319</v>
      </c>
      <c r="M114" s="106">
        <f t="shared" si="137"/>
        <v>0.34306569343065696</v>
      </c>
      <c r="N114" s="106">
        <f t="shared" si="137"/>
        <v>0.36501901140684412</v>
      </c>
      <c r="O114" s="248"/>
      <c r="P114" s="109">
        <f t="shared" ref="P114:U122" si="138">P126/P90</f>
        <v>0.23320413436692505</v>
      </c>
      <c r="Q114" s="107">
        <f t="shared" si="138"/>
        <v>0.33814303638644916</v>
      </c>
      <c r="R114" s="107"/>
      <c r="S114" s="107"/>
      <c r="T114" s="107"/>
      <c r="U114" s="110">
        <f t="shared" si="138"/>
        <v>0.28644175684277529</v>
      </c>
      <c r="V114" s="74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8"/>
      <c r="AJ114" s="61" t="e">
        <f t="shared" ref="AJ114:AL116" si="139">AJ126/AJ90</f>
        <v>#DIV/0!</v>
      </c>
      <c r="AK114" s="61" t="e">
        <f t="shared" si="139"/>
        <v>#DIV/0!</v>
      </c>
      <c r="AL114" s="61" t="e">
        <f t="shared" si="139"/>
        <v>#DIV/0!</v>
      </c>
      <c r="AM114" s="61"/>
      <c r="AN114" s="61"/>
      <c r="AO114" s="61"/>
      <c r="AP114" s="61"/>
      <c r="AQ114" s="61"/>
      <c r="AR114" s="61"/>
      <c r="AS114" s="61"/>
      <c r="AT114" s="61"/>
      <c r="AU114" s="61"/>
    </row>
    <row r="115" spans="2:47" ht="15.75" hidden="1" customHeight="1">
      <c r="B115" s="79" t="s">
        <v>179</v>
      </c>
      <c r="C115" s="111">
        <f t="shared" si="137"/>
        <v>0.30434782608695654</v>
      </c>
      <c r="D115" s="111">
        <f t="shared" si="137"/>
        <v>0.17105263157894737</v>
      </c>
      <c r="E115" s="111">
        <f t="shared" si="137"/>
        <v>0.2857142857142857</v>
      </c>
      <c r="F115" s="111">
        <f t="shared" si="137"/>
        <v>0.3</v>
      </c>
      <c r="G115" s="111">
        <f t="shared" si="137"/>
        <v>0.2608695652173913</v>
      </c>
      <c r="H115" s="111">
        <f t="shared" si="137"/>
        <v>0.22857142857142856</v>
      </c>
      <c r="I115" s="111">
        <f t="shared" si="137"/>
        <v>0.25</v>
      </c>
      <c r="J115" s="111" t="e">
        <f t="shared" si="137"/>
        <v>#DIV/0!</v>
      </c>
      <c r="K115" s="111">
        <f t="shared" si="137"/>
        <v>0.32758620689655171</v>
      </c>
      <c r="L115" s="111">
        <f t="shared" si="137"/>
        <v>0.30303030303030304</v>
      </c>
      <c r="M115" s="111">
        <f t="shared" si="137"/>
        <v>0.32786885245901637</v>
      </c>
      <c r="N115" s="111">
        <f t="shared" si="137"/>
        <v>0.41379310344827586</v>
      </c>
      <c r="O115" s="248"/>
      <c r="P115" s="114">
        <f t="shared" si="138"/>
        <v>0.23829787234042554</v>
      </c>
      <c r="Q115" s="112">
        <f t="shared" si="138"/>
        <v>0.32126696832579188</v>
      </c>
      <c r="R115" s="112"/>
      <c r="S115" s="112"/>
      <c r="T115" s="112"/>
      <c r="U115" s="115">
        <f t="shared" si="138"/>
        <v>0.27850877192982454</v>
      </c>
      <c r="V115" s="79"/>
      <c r="W115" s="112">
        <f>'[4]MK Digital-Elims-2023'!U90</f>
        <v>0</v>
      </c>
      <c r="X115" s="112">
        <f>'[4]MK Digital-Elims-2023'!V90</f>
        <v>0</v>
      </c>
      <c r="Y115" s="112">
        <f>'[4]MK Digital-Elims-2023'!W90</f>
        <v>0</v>
      </c>
      <c r="Z115" s="112">
        <f>'[4]MK Digital-Elims-2023'!X90</f>
        <v>0</v>
      </c>
      <c r="AA115" s="112">
        <f>'[4]MK Digital-Elims-2023'!Y90</f>
        <v>0</v>
      </c>
      <c r="AB115" s="112">
        <f>'[4]MK Digital-Elims-2023'!Z90</f>
        <v>0</v>
      </c>
      <c r="AC115" s="112">
        <f>'[4]MK Digital-Elims-2023'!AA90</f>
        <v>0</v>
      </c>
      <c r="AD115" s="112">
        <f>'[4]MK Digital-Elims-2023'!AB90</f>
        <v>0</v>
      </c>
      <c r="AE115" s="112">
        <f>'[4]MK Digital-Elims-2023'!AC90</f>
        <v>0</v>
      </c>
      <c r="AF115" s="112">
        <f>'[4]MK Digital-Elims-2023'!AD90</f>
        <v>0</v>
      </c>
      <c r="AG115" s="112">
        <f>'[4]MK Digital-Elims-2023'!AE90</f>
        <v>0</v>
      </c>
      <c r="AH115" s="112">
        <f>'[4]MK Digital-Elims-2023'!AF90</f>
        <v>0</v>
      </c>
      <c r="AI115" s="113"/>
      <c r="AJ115" s="61" t="e">
        <f t="shared" si="139"/>
        <v>#DIV/0!</v>
      </c>
      <c r="AK115" s="61" t="e">
        <f t="shared" si="139"/>
        <v>#DIV/0!</v>
      </c>
      <c r="AL115" s="61" t="e">
        <f t="shared" si="139"/>
        <v>#DIV/0!</v>
      </c>
      <c r="AM115" s="61"/>
      <c r="AN115" s="61"/>
      <c r="AO115" s="61"/>
      <c r="AP115" s="61"/>
      <c r="AQ115" s="61"/>
      <c r="AR115" s="61"/>
      <c r="AS115" s="61"/>
      <c r="AT115" s="61"/>
      <c r="AU115" s="61"/>
    </row>
    <row r="116" spans="2:47" ht="15.75" hidden="1" customHeight="1">
      <c r="B116" s="79" t="s">
        <v>180</v>
      </c>
      <c r="C116" s="111">
        <f t="shared" si="137"/>
        <v>0.31578947368421051</v>
      </c>
      <c r="D116" s="111">
        <f t="shared" si="137"/>
        <v>0.16304347826086957</v>
      </c>
      <c r="E116" s="111">
        <f t="shared" si="137"/>
        <v>0.22222222222222221</v>
      </c>
      <c r="F116" s="111">
        <f t="shared" si="137"/>
        <v>0.31034482758620691</v>
      </c>
      <c r="G116" s="111">
        <f t="shared" si="137"/>
        <v>0.21875</v>
      </c>
      <c r="H116" s="111">
        <f t="shared" si="137"/>
        <v>0.30303030303030304</v>
      </c>
      <c r="I116" s="111">
        <f t="shared" si="137"/>
        <v>0.42424242424242425</v>
      </c>
      <c r="J116" s="111" t="e">
        <f t="shared" si="137"/>
        <v>#DIV/0!</v>
      </c>
      <c r="K116" s="111">
        <f t="shared" si="137"/>
        <v>0.25925925925925924</v>
      </c>
      <c r="L116" s="111" t="e">
        <f t="shared" si="137"/>
        <v>#DIV/0!</v>
      </c>
      <c r="M116" s="111">
        <f t="shared" si="137"/>
        <v>0.23076923076923078</v>
      </c>
      <c r="N116" s="111">
        <f t="shared" si="137"/>
        <v>0.61904761904761907</v>
      </c>
      <c r="O116" s="248"/>
      <c r="P116" s="114">
        <f t="shared" si="138"/>
        <v>0.22844827586206898</v>
      </c>
      <c r="Q116" s="112">
        <f t="shared" si="138"/>
        <v>0.34586466165413532</v>
      </c>
      <c r="R116" s="112"/>
      <c r="S116" s="112"/>
      <c r="T116" s="112"/>
      <c r="U116" s="115">
        <f t="shared" si="138"/>
        <v>0.27123287671232876</v>
      </c>
      <c r="V116" s="79"/>
      <c r="W116" s="116">
        <f>'[4]MK Digital-CEL-2023'!U92</f>
        <v>0</v>
      </c>
      <c r="X116" s="116">
        <f>'[4]MK Digital-CEL-2023'!V92</f>
        <v>0</v>
      </c>
      <c r="Y116" s="116">
        <f>'[4]MK Digital-CEL-2023'!W92</f>
        <v>0</v>
      </c>
      <c r="Z116" s="116">
        <f>'[4]MK Digital-CEL-2023'!X92</f>
        <v>0</v>
      </c>
      <c r="AA116" s="116">
        <f>'[4]MK Digital-CEL-2023'!Y92</f>
        <v>0</v>
      </c>
      <c r="AB116" s="116">
        <f>'[4]MK Digital-CEL-2023'!Z92</f>
        <v>0</v>
      </c>
      <c r="AC116" s="116">
        <f>'[4]MK Digital-CEL-2023'!AA92</f>
        <v>0</v>
      </c>
      <c r="AD116" s="116">
        <f>'[4]MK Digital-CEL-2023'!AB92</f>
        <v>0</v>
      </c>
      <c r="AE116" s="116">
        <f>'[4]MK Digital-CEL-2023'!AC92</f>
        <v>0</v>
      </c>
      <c r="AF116" s="116">
        <f>'[4]MK Digital-CEL-2023'!AD92</f>
        <v>0</v>
      </c>
      <c r="AG116" s="116">
        <f>'[4]MK Digital-CEL-2023'!AE92</f>
        <v>0</v>
      </c>
      <c r="AH116" s="116">
        <f>'[4]MK Digital-CEL-2023'!AF92</f>
        <v>0</v>
      </c>
      <c r="AI116" s="117"/>
      <c r="AJ116" s="61" t="e">
        <f t="shared" si="139"/>
        <v>#DIV/0!</v>
      </c>
      <c r="AK116" s="61" t="e">
        <f t="shared" si="139"/>
        <v>#DIV/0!</v>
      </c>
      <c r="AL116" s="61" t="e">
        <f t="shared" si="139"/>
        <v>#DIV/0!</v>
      </c>
      <c r="AM116" s="61"/>
      <c r="AN116" s="61"/>
      <c r="AO116" s="61"/>
      <c r="AP116" s="61"/>
      <c r="AQ116" s="61"/>
      <c r="AR116" s="61"/>
      <c r="AS116" s="61"/>
      <c r="AT116" s="61"/>
      <c r="AU116" s="61"/>
    </row>
    <row r="117" spans="2:47" ht="15.75" hidden="1" customHeight="1">
      <c r="B117" s="79" t="s">
        <v>181</v>
      </c>
      <c r="C117" s="111">
        <f t="shared" si="137"/>
        <v>0.2</v>
      </c>
      <c r="D117" s="111">
        <f t="shared" si="137"/>
        <v>0.30612244897959184</v>
      </c>
      <c r="E117" s="111">
        <f t="shared" si="137"/>
        <v>0.35</v>
      </c>
      <c r="F117" s="111">
        <f t="shared" si="137"/>
        <v>0.42857142857142855</v>
      </c>
      <c r="G117" s="111">
        <f t="shared" si="137"/>
        <v>0.21212121212121213</v>
      </c>
      <c r="H117" s="111">
        <f t="shared" si="137"/>
        <v>0.35</v>
      </c>
      <c r="I117" s="111">
        <f t="shared" si="137"/>
        <v>0.25641025641025639</v>
      </c>
      <c r="J117" s="111" t="e">
        <f t="shared" si="137"/>
        <v>#DIV/0!</v>
      </c>
      <c r="K117" s="111">
        <f t="shared" si="137"/>
        <v>0.35294117647058826</v>
      </c>
      <c r="L117" s="111">
        <f t="shared" si="137"/>
        <v>0.60869565217391308</v>
      </c>
      <c r="M117" s="111">
        <f t="shared" si="137"/>
        <v>0.54716981132075471</v>
      </c>
      <c r="N117" s="111">
        <f t="shared" si="137"/>
        <v>0.52173913043478259</v>
      </c>
      <c r="O117" s="248"/>
      <c r="P117" s="114">
        <f t="shared" si="138"/>
        <v>0.29801324503311261</v>
      </c>
      <c r="Q117" s="112">
        <f t="shared" si="138"/>
        <v>0.44767441860465118</v>
      </c>
      <c r="R117" s="112"/>
      <c r="S117" s="112"/>
      <c r="T117" s="112"/>
      <c r="U117" s="115">
        <f t="shared" si="138"/>
        <v>0.37770897832817335</v>
      </c>
      <c r="V117" s="79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7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</row>
    <row r="118" spans="2:47" ht="15.75" hidden="1" customHeight="1">
      <c r="B118" s="79" t="s">
        <v>182</v>
      </c>
      <c r="C118" s="111">
        <f t="shared" si="137"/>
        <v>0.41025641025641024</v>
      </c>
      <c r="D118" s="111">
        <f t="shared" si="137"/>
        <v>5.4945054945054944E-2</v>
      </c>
      <c r="E118" s="111">
        <f t="shared" si="137"/>
        <v>0.26315789473684209</v>
      </c>
      <c r="F118" s="111">
        <f t="shared" si="137"/>
        <v>0.2608695652173913</v>
      </c>
      <c r="G118" s="111">
        <f t="shared" si="137"/>
        <v>0.27500000000000002</v>
      </c>
      <c r="H118" s="111">
        <f t="shared" si="137"/>
        <v>0.29411764705882354</v>
      </c>
      <c r="I118" s="111">
        <f t="shared" si="137"/>
        <v>0.29629629629629628</v>
      </c>
      <c r="J118" s="111" t="e">
        <f t="shared" si="137"/>
        <v>#DIV/0!</v>
      </c>
      <c r="K118" s="111">
        <f t="shared" si="137"/>
        <v>0.28333333333333333</v>
      </c>
      <c r="L118" s="111">
        <f t="shared" si="137"/>
        <v>0.15</v>
      </c>
      <c r="M118" s="111">
        <f t="shared" si="137"/>
        <v>0.33734939759036142</v>
      </c>
      <c r="N118" s="111">
        <f t="shared" si="137"/>
        <v>0.28888888888888886</v>
      </c>
      <c r="O118" s="248"/>
      <c r="P118" s="114">
        <f t="shared" si="138"/>
        <v>0.22699386503067484</v>
      </c>
      <c r="Q118" s="112">
        <f t="shared" si="138"/>
        <v>0.27272727272727271</v>
      </c>
      <c r="R118" s="112"/>
      <c r="S118" s="112"/>
      <c r="T118" s="112"/>
      <c r="U118" s="115">
        <f t="shared" si="138"/>
        <v>0.24792013311148087</v>
      </c>
      <c r="V118" s="79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7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</row>
    <row r="119" spans="2:47" ht="15.75" hidden="1" customHeight="1">
      <c r="B119" s="79" t="s">
        <v>206</v>
      </c>
      <c r="C119" s="111">
        <f t="shared" si="137"/>
        <v>0.10344827586206896</v>
      </c>
      <c r="D119" s="111">
        <f t="shared" si="137"/>
        <v>0.24</v>
      </c>
      <c r="E119" s="111">
        <f t="shared" si="137"/>
        <v>0.29545454545454547</v>
      </c>
      <c r="F119" s="111">
        <f t="shared" si="137"/>
        <v>0.25</v>
      </c>
      <c r="G119" s="111">
        <f t="shared" si="137"/>
        <v>0.33333333333333331</v>
      </c>
      <c r="H119" s="111">
        <f t="shared" si="137"/>
        <v>0.17543859649122806</v>
      </c>
      <c r="I119" s="111">
        <f t="shared" si="137"/>
        <v>0.26315789473684209</v>
      </c>
      <c r="J119" s="111" t="e">
        <f t="shared" si="137"/>
        <v>#DIV/0!</v>
      </c>
      <c r="K119" s="111">
        <f t="shared" si="137"/>
        <v>0.36</v>
      </c>
      <c r="L119" s="111">
        <f t="shared" si="137"/>
        <v>0.29166666666666669</v>
      </c>
      <c r="M119" s="111">
        <f t="shared" si="137"/>
        <v>0.32934131736526945</v>
      </c>
      <c r="N119" s="111">
        <f t="shared" si="137"/>
        <v>0.31944444444444442</v>
      </c>
      <c r="O119" s="248"/>
      <c r="P119" s="114">
        <f t="shared" si="138"/>
        <v>0.23868312757201646</v>
      </c>
      <c r="Q119" s="112">
        <f t="shared" si="138"/>
        <v>0.32075471698113206</v>
      </c>
      <c r="R119" s="112"/>
      <c r="S119" s="112"/>
      <c r="T119" s="112"/>
      <c r="U119" s="115">
        <f t="shared" si="138"/>
        <v>0.29085457271364318</v>
      </c>
      <c r="V119" s="79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7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</row>
    <row r="120" spans="2:47" ht="15.75" hidden="1" customHeight="1">
      <c r="B120" s="79" t="s">
        <v>184</v>
      </c>
      <c r="C120" s="111" t="e">
        <f t="shared" si="137"/>
        <v>#DIV/0!</v>
      </c>
      <c r="D120" s="111">
        <f t="shared" si="137"/>
        <v>0.14285714285714285</v>
      </c>
      <c r="E120" s="111">
        <f t="shared" si="137"/>
        <v>0.1702127659574468</v>
      </c>
      <c r="F120" s="111">
        <f t="shared" si="137"/>
        <v>0.13953488372093023</v>
      </c>
      <c r="G120" s="111">
        <f t="shared" si="137"/>
        <v>0.20833333333333334</v>
      </c>
      <c r="H120" s="111">
        <f t="shared" si="137"/>
        <v>5.8823529411764705E-2</v>
      </c>
      <c r="I120" s="111">
        <f t="shared" si="137"/>
        <v>0.7142857142857143</v>
      </c>
      <c r="J120" s="111" t="e">
        <f t="shared" si="137"/>
        <v>#DIV/0!</v>
      </c>
      <c r="K120" s="111">
        <f t="shared" si="137"/>
        <v>0.30612244897959184</v>
      </c>
      <c r="L120" s="111">
        <f t="shared" si="137"/>
        <v>0.29729729729729731</v>
      </c>
      <c r="M120" s="111">
        <f t="shared" si="137"/>
        <v>0.26881720430107525</v>
      </c>
      <c r="N120" s="111">
        <f t="shared" si="137"/>
        <v>0.26785714285714285</v>
      </c>
      <c r="O120" s="248"/>
      <c r="P120" s="114">
        <f t="shared" si="138"/>
        <v>0.15131578947368421</v>
      </c>
      <c r="Q120" s="112">
        <f t="shared" si="138"/>
        <v>0.31640625</v>
      </c>
      <c r="R120" s="112"/>
      <c r="S120" s="112"/>
      <c r="T120" s="112"/>
      <c r="U120" s="115">
        <f t="shared" si="138"/>
        <v>0.25490196078431371</v>
      </c>
      <c r="V120" s="79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7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</row>
    <row r="121" spans="2:47" ht="15.75" hidden="1" customHeight="1">
      <c r="B121" s="79" t="s">
        <v>185</v>
      </c>
      <c r="C121" s="111" t="e">
        <f t="shared" si="137"/>
        <v>#DIV/0!</v>
      </c>
      <c r="D121" s="111" t="e">
        <f t="shared" si="137"/>
        <v>#DIV/0!</v>
      </c>
      <c r="E121" s="111" t="e">
        <f t="shared" si="137"/>
        <v>#DIV/0!</v>
      </c>
      <c r="F121" s="111">
        <f t="shared" si="137"/>
        <v>0.2</v>
      </c>
      <c r="G121" s="111">
        <f t="shared" si="137"/>
        <v>7.6923076923076927E-2</v>
      </c>
      <c r="H121" s="111">
        <f t="shared" si="137"/>
        <v>0.2857142857142857</v>
      </c>
      <c r="I121" s="111">
        <f t="shared" si="137"/>
        <v>0.125</v>
      </c>
      <c r="J121" s="111" t="e">
        <f t="shared" si="137"/>
        <v>#DIV/0!</v>
      </c>
      <c r="K121" s="111">
        <f t="shared" si="137"/>
        <v>0.42857142857142855</v>
      </c>
      <c r="L121" s="111">
        <f t="shared" si="137"/>
        <v>0.5</v>
      </c>
      <c r="M121" s="111">
        <f t="shared" si="137"/>
        <v>0.55000000000000004</v>
      </c>
      <c r="N121" s="111">
        <f t="shared" si="137"/>
        <v>0.55555555555555558</v>
      </c>
      <c r="O121" s="248"/>
      <c r="P121" s="114">
        <f t="shared" si="138"/>
        <v>0.1875</v>
      </c>
      <c r="Q121" s="112">
        <f t="shared" si="138"/>
        <v>0.4576271186440678</v>
      </c>
      <c r="R121" s="112"/>
      <c r="S121" s="112"/>
      <c r="T121" s="112"/>
      <c r="U121" s="115">
        <f t="shared" si="138"/>
        <v>0.36263736263736263</v>
      </c>
      <c r="V121" s="79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7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</row>
    <row r="122" spans="2:47" ht="15.75" hidden="1" customHeight="1">
      <c r="B122" s="79" t="s">
        <v>186</v>
      </c>
      <c r="C122" s="111" t="e">
        <f t="shared" si="137"/>
        <v>#DIV/0!</v>
      </c>
      <c r="D122" s="111" t="e">
        <f t="shared" si="137"/>
        <v>#DIV/0!</v>
      </c>
      <c r="E122" s="111" t="e">
        <f t="shared" si="137"/>
        <v>#DIV/0!</v>
      </c>
      <c r="F122" s="111">
        <f t="shared" si="137"/>
        <v>0.25</v>
      </c>
      <c r="G122" s="111">
        <f t="shared" si="137"/>
        <v>0</v>
      </c>
      <c r="H122" s="111">
        <f t="shared" si="137"/>
        <v>0</v>
      </c>
      <c r="I122" s="111">
        <f t="shared" si="137"/>
        <v>1</v>
      </c>
      <c r="J122" s="111" t="e">
        <f t="shared" si="137"/>
        <v>#DIV/0!</v>
      </c>
      <c r="K122" s="111">
        <f t="shared" si="137"/>
        <v>0.2</v>
      </c>
      <c r="L122" s="111">
        <f t="shared" si="137"/>
        <v>0.5</v>
      </c>
      <c r="M122" s="111">
        <f t="shared" si="137"/>
        <v>0.42105263157894735</v>
      </c>
      <c r="N122" s="111">
        <f t="shared" si="137"/>
        <v>0.375</v>
      </c>
      <c r="O122" s="248"/>
      <c r="P122" s="114">
        <f t="shared" si="138"/>
        <v>0.11764705882352941</v>
      </c>
      <c r="Q122" s="112">
        <f t="shared" si="138"/>
        <v>0.43243243243243246</v>
      </c>
      <c r="R122" s="112"/>
      <c r="S122" s="112"/>
      <c r="T122" s="112"/>
      <c r="U122" s="115">
        <f t="shared" si="138"/>
        <v>0.33333333333333331</v>
      </c>
      <c r="V122" s="79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7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</row>
    <row r="123" spans="2:47" ht="15.75" hidden="1" customHeight="1">
      <c r="B123" s="79" t="s">
        <v>207</v>
      </c>
      <c r="C123" s="111">
        <f t="shared" si="137"/>
        <v>0.11538461538461539</v>
      </c>
      <c r="D123" s="111">
        <f t="shared" si="137"/>
        <v>0.52380952380952384</v>
      </c>
      <c r="E123" s="111">
        <f t="shared" si="137"/>
        <v>0.2</v>
      </c>
      <c r="F123" s="111">
        <f t="shared" si="137"/>
        <v>0.2857142857142857</v>
      </c>
      <c r="G123" s="111">
        <f t="shared" si="137"/>
        <v>0.25</v>
      </c>
      <c r="H123" s="111">
        <f t="shared" si="137"/>
        <v>0.3235294117647059</v>
      </c>
      <c r="I123" s="111">
        <f t="shared" si="137"/>
        <v>0.58823529411764708</v>
      </c>
      <c r="J123" s="111" t="e">
        <f t="shared" si="137"/>
        <v>#DIV/0!</v>
      </c>
      <c r="K123" s="111" t="e">
        <f t="shared" si="137"/>
        <v>#DIV/0!</v>
      </c>
      <c r="L123" s="111" t="e">
        <f t="shared" si="137"/>
        <v>#DIV/0!</v>
      </c>
      <c r="M123" s="111" t="e">
        <f t="shared" si="137"/>
        <v>#DIV/0!</v>
      </c>
      <c r="N123" s="111" t="e">
        <f t="shared" si="137"/>
        <v>#DIV/0!</v>
      </c>
      <c r="O123" s="248"/>
      <c r="P123" s="114"/>
      <c r="Q123" s="112"/>
      <c r="R123" s="112"/>
      <c r="S123" s="112"/>
      <c r="T123" s="112"/>
      <c r="U123" s="115"/>
      <c r="V123" s="79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7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</row>
    <row r="124" spans="2:47" ht="15.75" hidden="1" customHeight="1"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</row>
    <row r="125" spans="2:47" ht="15.75" hidden="1" customHeight="1"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</row>
    <row r="126" spans="2:47" ht="15.75" hidden="1" customHeight="1">
      <c r="B126" s="74" t="s">
        <v>229</v>
      </c>
      <c r="C126" s="262">
        <f>SUM(C127:C135)</f>
        <v>38</v>
      </c>
      <c r="D126" s="262">
        <f t="shared" ref="D126:N126" si="140">SUM(D127:D135)</f>
        <v>68</v>
      </c>
      <c r="E126" s="262">
        <f t="shared" si="140"/>
        <v>70</v>
      </c>
      <c r="F126" s="262">
        <f t="shared" si="140"/>
        <v>58</v>
      </c>
      <c r="G126" s="262">
        <f t="shared" si="140"/>
        <v>66</v>
      </c>
      <c r="H126" s="262">
        <f t="shared" si="140"/>
        <v>61</v>
      </c>
      <c r="I126" s="262">
        <f t="shared" si="140"/>
        <v>81</v>
      </c>
      <c r="J126" s="262">
        <f t="shared" si="140"/>
        <v>0</v>
      </c>
      <c r="K126" s="262">
        <f t="shared" si="140"/>
        <v>104</v>
      </c>
      <c r="L126" s="262">
        <f t="shared" si="140"/>
        <v>70</v>
      </c>
      <c r="M126" s="262">
        <f t="shared" si="140"/>
        <v>188</v>
      </c>
      <c r="N126" s="262">
        <f t="shared" si="140"/>
        <v>96</v>
      </c>
      <c r="O126" s="263"/>
      <c r="P126" s="264">
        <f>SUM(C126:H126)</f>
        <v>361</v>
      </c>
      <c r="Q126" s="265">
        <f>SUM(I126:N126)</f>
        <v>539</v>
      </c>
      <c r="R126" s="265"/>
      <c r="S126" s="265"/>
      <c r="T126" s="265"/>
      <c r="U126" s="266">
        <f>SUM(C126:N126)</f>
        <v>900</v>
      </c>
      <c r="V126" s="61"/>
      <c r="W126" s="89">
        <f>SUM(W127:W128)</f>
        <v>0</v>
      </c>
      <c r="X126" s="89">
        <f t="shared" ref="X126:AH126" si="141">SUM(X127:X128)</f>
        <v>0</v>
      </c>
      <c r="Y126" s="89">
        <f t="shared" si="141"/>
        <v>0</v>
      </c>
      <c r="Z126" s="89">
        <f t="shared" si="141"/>
        <v>0</v>
      </c>
      <c r="AA126" s="89">
        <f t="shared" si="141"/>
        <v>0</v>
      </c>
      <c r="AB126" s="89">
        <f t="shared" si="141"/>
        <v>0</v>
      </c>
      <c r="AC126" s="89">
        <f t="shared" si="141"/>
        <v>0</v>
      </c>
      <c r="AD126" s="89">
        <f t="shared" si="141"/>
        <v>0</v>
      </c>
      <c r="AE126" s="89">
        <f t="shared" si="141"/>
        <v>0</v>
      </c>
      <c r="AF126" s="89">
        <f t="shared" si="141"/>
        <v>0</v>
      </c>
      <c r="AG126" s="89">
        <f t="shared" si="141"/>
        <v>0</v>
      </c>
      <c r="AH126" s="89">
        <f t="shared" si="141"/>
        <v>0</v>
      </c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</row>
    <row r="127" spans="2:47" ht="15.75" hidden="1" customHeight="1">
      <c r="B127" s="79" t="s">
        <v>230</v>
      </c>
      <c r="C127" s="267">
        <v>7</v>
      </c>
      <c r="D127" s="267">
        <v>13</v>
      </c>
      <c r="E127" s="267">
        <v>10</v>
      </c>
      <c r="F127" s="267">
        <v>6</v>
      </c>
      <c r="G127" s="267">
        <v>12</v>
      </c>
      <c r="H127" s="267">
        <v>8</v>
      </c>
      <c r="I127" s="267">
        <v>10</v>
      </c>
      <c r="J127" s="267">
        <v>0</v>
      </c>
      <c r="K127" s="267">
        <v>19</v>
      </c>
      <c r="L127" s="267">
        <v>10</v>
      </c>
      <c r="M127" s="267">
        <v>20</v>
      </c>
      <c r="N127" s="267">
        <v>12</v>
      </c>
      <c r="O127" s="263"/>
      <c r="P127" s="268">
        <f>SUM(C127:H127)</f>
        <v>56</v>
      </c>
      <c r="Q127" s="269">
        <f>SUM(I127:N127)</f>
        <v>71</v>
      </c>
      <c r="R127" s="269"/>
      <c r="S127" s="269"/>
      <c r="T127" s="269"/>
      <c r="U127" s="270">
        <f>SUM(C127:N127)</f>
        <v>127</v>
      </c>
      <c r="V127" s="61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</row>
    <row r="128" spans="2:47" ht="15.75" hidden="1" customHeight="1">
      <c r="B128" s="79" t="s">
        <v>231</v>
      </c>
      <c r="C128" s="267">
        <v>6</v>
      </c>
      <c r="D128" s="267">
        <v>15</v>
      </c>
      <c r="E128" s="267">
        <v>6</v>
      </c>
      <c r="F128" s="267">
        <v>9</v>
      </c>
      <c r="G128" s="267">
        <v>7</v>
      </c>
      <c r="H128" s="267">
        <v>10</v>
      </c>
      <c r="I128" s="267">
        <v>14</v>
      </c>
      <c r="J128" s="267">
        <v>0</v>
      </c>
      <c r="K128" s="267">
        <v>7</v>
      </c>
      <c r="L128" s="267">
        <v>0</v>
      </c>
      <c r="M128" s="267">
        <v>12</v>
      </c>
      <c r="N128" s="267">
        <v>13</v>
      </c>
      <c r="O128" s="263"/>
      <c r="P128" s="268">
        <f t="shared" ref="P128:P134" si="142">SUM(C128:H128)</f>
        <v>53</v>
      </c>
      <c r="Q128" s="269">
        <f t="shared" ref="Q128:Q135" si="143">SUM(I128:N128)</f>
        <v>46</v>
      </c>
      <c r="R128" s="269"/>
      <c r="S128" s="269"/>
      <c r="T128" s="269"/>
      <c r="U128" s="270">
        <f t="shared" ref="U128:U135" si="144">SUM(C128:N128)</f>
        <v>99</v>
      </c>
      <c r="V128" s="61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</row>
    <row r="129" spans="2:47" ht="15.75" hidden="1" customHeight="1">
      <c r="B129" s="79" t="s">
        <v>232</v>
      </c>
      <c r="C129" s="267">
        <v>3</v>
      </c>
      <c r="D129" s="267">
        <v>15</v>
      </c>
      <c r="E129" s="267">
        <v>7</v>
      </c>
      <c r="F129" s="267">
        <v>6</v>
      </c>
      <c r="G129" s="267">
        <v>7</v>
      </c>
      <c r="H129" s="267">
        <v>7</v>
      </c>
      <c r="I129" s="267">
        <v>10</v>
      </c>
      <c r="J129" s="267">
        <v>0</v>
      </c>
      <c r="K129" s="267">
        <v>12</v>
      </c>
      <c r="L129" s="267">
        <v>14</v>
      </c>
      <c r="M129" s="267">
        <v>29</v>
      </c>
      <c r="N129" s="267">
        <v>12</v>
      </c>
      <c r="O129" s="271"/>
      <c r="P129" s="268">
        <f t="shared" si="142"/>
        <v>45</v>
      </c>
      <c r="Q129" s="269">
        <f t="shared" si="143"/>
        <v>77</v>
      </c>
      <c r="R129" s="269"/>
      <c r="S129" s="269"/>
      <c r="T129" s="269"/>
      <c r="U129" s="270">
        <f t="shared" si="144"/>
        <v>122</v>
      </c>
      <c r="V129" s="61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</row>
    <row r="130" spans="2:47" ht="15.75" hidden="1" customHeight="1">
      <c r="B130" s="79" t="s">
        <v>233</v>
      </c>
      <c r="C130" s="267">
        <v>16</v>
      </c>
      <c r="D130" s="267">
        <v>5</v>
      </c>
      <c r="E130" s="267">
        <v>20</v>
      </c>
      <c r="F130" s="267">
        <v>12</v>
      </c>
      <c r="G130" s="267">
        <v>11</v>
      </c>
      <c r="H130" s="267">
        <v>10</v>
      </c>
      <c r="I130" s="267">
        <v>8</v>
      </c>
      <c r="J130" s="267">
        <v>0</v>
      </c>
      <c r="K130" s="267">
        <v>17</v>
      </c>
      <c r="L130" s="267">
        <v>9</v>
      </c>
      <c r="M130" s="267">
        <v>28</v>
      </c>
      <c r="N130" s="267">
        <v>13</v>
      </c>
      <c r="O130" s="271"/>
      <c r="P130" s="268">
        <f t="shared" si="142"/>
        <v>74</v>
      </c>
      <c r="Q130" s="269">
        <f t="shared" si="143"/>
        <v>75</v>
      </c>
      <c r="R130" s="269"/>
      <c r="S130" s="269"/>
      <c r="T130" s="269"/>
      <c r="U130" s="270">
        <f t="shared" si="144"/>
        <v>149</v>
      </c>
      <c r="V130" s="61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</row>
    <row r="131" spans="2:47" ht="15.75" hidden="1" customHeight="1">
      <c r="B131" s="79" t="s">
        <v>234</v>
      </c>
      <c r="C131" s="267">
        <v>3</v>
      </c>
      <c r="D131" s="267">
        <v>6</v>
      </c>
      <c r="E131" s="267">
        <v>13</v>
      </c>
      <c r="F131" s="267">
        <v>10</v>
      </c>
      <c r="G131" s="267">
        <v>16</v>
      </c>
      <c r="H131" s="267">
        <v>10</v>
      </c>
      <c r="I131" s="267">
        <v>10</v>
      </c>
      <c r="J131" s="267">
        <v>0</v>
      </c>
      <c r="K131" s="267">
        <v>27</v>
      </c>
      <c r="L131" s="267">
        <v>21</v>
      </c>
      <c r="M131" s="267">
        <v>55</v>
      </c>
      <c r="N131" s="267">
        <v>23</v>
      </c>
      <c r="O131" s="271"/>
      <c r="P131" s="268">
        <f t="shared" si="142"/>
        <v>58</v>
      </c>
      <c r="Q131" s="269">
        <f t="shared" si="143"/>
        <v>136</v>
      </c>
      <c r="R131" s="269"/>
      <c r="S131" s="269"/>
      <c r="T131" s="269"/>
      <c r="U131" s="270">
        <f t="shared" si="144"/>
        <v>194</v>
      </c>
      <c r="V131" s="61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</row>
    <row r="132" spans="2:47" ht="15.75" hidden="1" customHeight="1">
      <c r="B132" s="79" t="s">
        <v>235</v>
      </c>
      <c r="C132" s="267">
        <v>0</v>
      </c>
      <c r="D132" s="267">
        <v>3</v>
      </c>
      <c r="E132" s="267">
        <v>8</v>
      </c>
      <c r="F132" s="267">
        <v>6</v>
      </c>
      <c r="G132" s="267">
        <v>5</v>
      </c>
      <c r="H132" s="267">
        <v>1</v>
      </c>
      <c r="I132" s="267">
        <v>15</v>
      </c>
      <c r="J132" s="267">
        <v>0</v>
      </c>
      <c r="K132" s="267">
        <v>15</v>
      </c>
      <c r="L132" s="267">
        <v>11</v>
      </c>
      <c r="M132" s="267">
        <v>25</v>
      </c>
      <c r="N132" s="267">
        <v>15</v>
      </c>
      <c r="O132" s="271"/>
      <c r="P132" s="268">
        <f t="shared" si="142"/>
        <v>23</v>
      </c>
      <c r="Q132" s="269">
        <f t="shared" si="143"/>
        <v>81</v>
      </c>
      <c r="R132" s="269"/>
      <c r="S132" s="269"/>
      <c r="T132" s="269"/>
      <c r="U132" s="270">
        <f t="shared" si="144"/>
        <v>104</v>
      </c>
      <c r="V132" s="61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</row>
    <row r="133" spans="2:47" ht="15.75" hidden="1" customHeight="1">
      <c r="B133" s="79" t="s">
        <v>236</v>
      </c>
      <c r="C133" s="267">
        <v>0</v>
      </c>
      <c r="D133" s="267">
        <v>0</v>
      </c>
      <c r="E133" s="267">
        <v>0</v>
      </c>
      <c r="F133" s="267">
        <v>1</v>
      </c>
      <c r="G133" s="267">
        <v>1</v>
      </c>
      <c r="H133" s="267">
        <v>4</v>
      </c>
      <c r="I133" s="267">
        <v>1</v>
      </c>
      <c r="J133" s="267">
        <v>0</v>
      </c>
      <c r="K133" s="267">
        <v>6</v>
      </c>
      <c r="L133" s="267">
        <v>4</v>
      </c>
      <c r="M133" s="267">
        <v>11</v>
      </c>
      <c r="N133" s="267">
        <v>5</v>
      </c>
      <c r="O133" s="271"/>
      <c r="P133" s="268">
        <f t="shared" si="142"/>
        <v>6</v>
      </c>
      <c r="Q133" s="269">
        <f t="shared" si="143"/>
        <v>27</v>
      </c>
      <c r="R133" s="269"/>
      <c r="S133" s="269"/>
      <c r="T133" s="269"/>
      <c r="U133" s="270">
        <f t="shared" si="144"/>
        <v>33</v>
      </c>
      <c r="V133" s="61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</row>
    <row r="134" spans="2:47" ht="15.75" hidden="1" customHeight="1">
      <c r="B134" s="79" t="s">
        <v>237</v>
      </c>
      <c r="C134" s="267">
        <v>0</v>
      </c>
      <c r="D134" s="267">
        <v>0</v>
      </c>
      <c r="E134" s="267">
        <v>0</v>
      </c>
      <c r="F134" s="267">
        <v>2</v>
      </c>
      <c r="G134" s="267">
        <v>0</v>
      </c>
      <c r="H134" s="267">
        <v>0</v>
      </c>
      <c r="I134" s="267">
        <v>3</v>
      </c>
      <c r="J134" s="267">
        <v>0</v>
      </c>
      <c r="K134" s="267">
        <v>1</v>
      </c>
      <c r="L134" s="267">
        <v>1</v>
      </c>
      <c r="M134" s="267">
        <v>8</v>
      </c>
      <c r="N134" s="267">
        <v>3</v>
      </c>
      <c r="O134" s="271"/>
      <c r="P134" s="268">
        <f t="shared" si="142"/>
        <v>2</v>
      </c>
      <c r="Q134" s="269">
        <f t="shared" si="143"/>
        <v>16</v>
      </c>
      <c r="R134" s="269"/>
      <c r="S134" s="269"/>
      <c r="T134" s="269"/>
      <c r="U134" s="270">
        <f t="shared" si="144"/>
        <v>18</v>
      </c>
      <c r="V134" s="61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</row>
    <row r="135" spans="2:47" ht="15.75" hidden="1" customHeight="1">
      <c r="B135" s="79" t="s">
        <v>238</v>
      </c>
      <c r="C135" s="267">
        <v>3</v>
      </c>
      <c r="D135" s="267">
        <v>11</v>
      </c>
      <c r="E135" s="267">
        <v>6</v>
      </c>
      <c r="F135" s="267">
        <v>6</v>
      </c>
      <c r="G135" s="267">
        <v>7</v>
      </c>
      <c r="H135" s="267">
        <v>11</v>
      </c>
      <c r="I135" s="267">
        <v>10</v>
      </c>
      <c r="J135" s="267">
        <v>0</v>
      </c>
      <c r="K135" s="267">
        <v>0</v>
      </c>
      <c r="L135" s="267">
        <v>0</v>
      </c>
      <c r="M135" s="267">
        <v>0</v>
      </c>
      <c r="N135" s="267">
        <v>0</v>
      </c>
      <c r="O135" s="271"/>
      <c r="P135" s="268">
        <f>SUM(C135:N135)</f>
        <v>54</v>
      </c>
      <c r="Q135" s="269">
        <f t="shared" si="143"/>
        <v>10</v>
      </c>
      <c r="R135" s="269"/>
      <c r="S135" s="269"/>
      <c r="T135" s="269"/>
      <c r="U135" s="270">
        <f t="shared" si="144"/>
        <v>54</v>
      </c>
      <c r="V135" s="61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</row>
    <row r="136" spans="2:47" ht="15.75" hidden="1" customHeight="1"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</row>
    <row r="137" spans="2:47" ht="15.75" hidden="1" customHeight="1"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</row>
    <row r="138" spans="2:47" ht="15.75" hidden="1" customHeight="1">
      <c r="B138" s="74" t="s">
        <v>239</v>
      </c>
      <c r="C138" s="97">
        <f t="shared" ref="C138:N138" si="145">C9/C126</f>
        <v>868.9473684210526</v>
      </c>
      <c r="D138" s="97">
        <f t="shared" si="145"/>
        <v>986.51470588235293</v>
      </c>
      <c r="E138" s="97">
        <f t="shared" si="145"/>
        <v>1793.9714285714285</v>
      </c>
      <c r="F138" s="97">
        <f t="shared" si="145"/>
        <v>1961.0344827586207</v>
      </c>
      <c r="G138" s="97">
        <f t="shared" si="145"/>
        <v>2209.3333333333335</v>
      </c>
      <c r="H138" s="97">
        <f t="shared" si="145"/>
        <v>1965.377049180328</v>
      </c>
      <c r="I138" s="97">
        <f t="shared" si="145"/>
        <v>669.38271604938268</v>
      </c>
      <c r="J138" s="97" t="e">
        <f t="shared" si="145"/>
        <v>#DIV/0!</v>
      </c>
      <c r="K138" s="97">
        <f t="shared" si="145"/>
        <v>622.875</v>
      </c>
      <c r="L138" s="97">
        <f t="shared" si="145"/>
        <v>1375.1857142857143</v>
      </c>
      <c r="M138" s="97">
        <f t="shared" si="145"/>
        <v>805.09042553191489</v>
      </c>
      <c r="N138" s="97">
        <f t="shared" si="145"/>
        <v>983.375</v>
      </c>
      <c r="O138" s="248"/>
      <c r="P138" s="75">
        <f t="shared" ref="P138:Q147" si="146">P9/P126</f>
        <v>1676.246537396122</v>
      </c>
      <c r="Q138" s="122">
        <f t="shared" si="146"/>
        <v>912.91094619666046</v>
      </c>
      <c r="R138" s="122"/>
      <c r="S138" s="122"/>
      <c r="T138" s="122"/>
      <c r="U138" s="78">
        <f t="shared" ref="U138:U147" si="147">U9/U126</f>
        <v>1219.0933333333332</v>
      </c>
      <c r="V138" s="61"/>
      <c r="W138" s="89">
        <f>SUM(W139:W140)</f>
        <v>0</v>
      </c>
      <c r="X138" s="89">
        <f t="shared" ref="X138:AH138" si="148">SUM(X139:X140)</f>
        <v>0</v>
      </c>
      <c r="Y138" s="89">
        <f t="shared" si="148"/>
        <v>0</v>
      </c>
      <c r="Z138" s="89">
        <f t="shared" si="148"/>
        <v>0</v>
      </c>
      <c r="AA138" s="89">
        <f t="shared" si="148"/>
        <v>0</v>
      </c>
      <c r="AB138" s="89">
        <f t="shared" si="148"/>
        <v>0</v>
      </c>
      <c r="AC138" s="89">
        <f t="shared" si="148"/>
        <v>0</v>
      </c>
      <c r="AD138" s="89">
        <f t="shared" si="148"/>
        <v>0</v>
      </c>
      <c r="AE138" s="89">
        <f t="shared" si="148"/>
        <v>0</v>
      </c>
      <c r="AF138" s="89">
        <f t="shared" si="148"/>
        <v>0</v>
      </c>
      <c r="AG138" s="89">
        <f t="shared" si="148"/>
        <v>0</v>
      </c>
      <c r="AH138" s="89">
        <f t="shared" si="148"/>
        <v>0</v>
      </c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</row>
    <row r="139" spans="2:47" ht="15.75" hidden="1" customHeight="1">
      <c r="B139" s="79" t="s">
        <v>240</v>
      </c>
      <c r="C139" s="101">
        <f t="shared" ref="C139:N139" si="149">C10/C127</f>
        <v>606.28571428571433</v>
      </c>
      <c r="D139" s="101">
        <f t="shared" si="149"/>
        <v>683.46153846153845</v>
      </c>
      <c r="E139" s="101">
        <f t="shared" si="149"/>
        <v>1666.5</v>
      </c>
      <c r="F139" s="101">
        <f t="shared" si="149"/>
        <v>2457.6666666666665</v>
      </c>
      <c r="G139" s="101">
        <f t="shared" si="149"/>
        <v>1692.5833333333333</v>
      </c>
      <c r="H139" s="101">
        <f t="shared" si="149"/>
        <v>2012.375</v>
      </c>
      <c r="I139" s="101">
        <f t="shared" si="149"/>
        <v>713.5</v>
      </c>
      <c r="J139" s="101" t="e">
        <f t="shared" si="149"/>
        <v>#DIV/0!</v>
      </c>
      <c r="K139" s="101">
        <f t="shared" si="149"/>
        <v>389.15789473684208</v>
      </c>
      <c r="L139" s="101">
        <f t="shared" si="149"/>
        <v>1098.8</v>
      </c>
      <c r="M139" s="101">
        <f t="shared" si="149"/>
        <v>863.85</v>
      </c>
      <c r="N139" s="101">
        <f t="shared" si="149"/>
        <v>898</v>
      </c>
      <c r="O139" s="248"/>
      <c r="P139" s="80">
        <f t="shared" si="146"/>
        <v>1445.5357142857142</v>
      </c>
      <c r="Q139" s="81">
        <f t="shared" si="146"/>
        <v>804.4084507042254</v>
      </c>
      <c r="R139" s="81"/>
      <c r="S139" s="81"/>
      <c r="T139" s="81"/>
      <c r="U139" s="83">
        <f t="shared" si="147"/>
        <v>1087.1102362204724</v>
      </c>
      <c r="V139" s="61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</row>
    <row r="140" spans="2:47" ht="15.75" hidden="1" customHeight="1">
      <c r="B140" s="79" t="s">
        <v>241</v>
      </c>
      <c r="C140" s="101">
        <f t="shared" ref="C140:N140" si="150">C11/C128</f>
        <v>563.16666666666663</v>
      </c>
      <c r="D140" s="101">
        <f t="shared" si="150"/>
        <v>471.66666666666669</v>
      </c>
      <c r="E140" s="101">
        <f t="shared" si="150"/>
        <v>2211.5</v>
      </c>
      <c r="F140" s="101">
        <f t="shared" si="150"/>
        <v>1304.5555555555557</v>
      </c>
      <c r="G140" s="101">
        <f t="shared" si="150"/>
        <v>2310.2857142857142</v>
      </c>
      <c r="H140" s="101">
        <f t="shared" si="150"/>
        <v>1281.8</v>
      </c>
      <c r="I140" s="101">
        <f t="shared" si="150"/>
        <v>405.78571428571428</v>
      </c>
      <c r="J140" s="101" t="e">
        <f t="shared" si="150"/>
        <v>#DIV/0!</v>
      </c>
      <c r="K140" s="101">
        <f t="shared" si="150"/>
        <v>841</v>
      </c>
      <c r="L140" s="101" t="e">
        <f t="shared" si="150"/>
        <v>#DIV/0!</v>
      </c>
      <c r="M140" s="101">
        <f t="shared" si="150"/>
        <v>1146.25</v>
      </c>
      <c r="N140" s="101">
        <f t="shared" si="150"/>
        <v>660</v>
      </c>
      <c r="O140" s="248"/>
      <c r="P140" s="80">
        <f t="shared" si="146"/>
        <v>1216.1132075471698</v>
      </c>
      <c r="Q140" s="81">
        <f t="shared" si="146"/>
        <v>988.52173913043475</v>
      </c>
      <c r="R140" s="81"/>
      <c r="S140" s="81"/>
      <c r="T140" s="81"/>
      <c r="U140" s="83">
        <f t="shared" si="147"/>
        <v>1110.3636363636363</v>
      </c>
      <c r="V140" s="61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</row>
    <row r="141" spans="2:47" ht="15.75" hidden="1" customHeight="1">
      <c r="B141" s="79" t="s">
        <v>242</v>
      </c>
      <c r="C141" s="101">
        <f t="shared" ref="C141:N141" si="151">C12/C129</f>
        <v>795.66666666666663</v>
      </c>
      <c r="D141" s="101">
        <f t="shared" si="151"/>
        <v>333.2</v>
      </c>
      <c r="E141" s="101">
        <f t="shared" si="151"/>
        <v>1339.1428571428571</v>
      </c>
      <c r="F141" s="101">
        <f t="shared" si="151"/>
        <v>1382.5</v>
      </c>
      <c r="G141" s="101">
        <f t="shared" si="151"/>
        <v>203.57142857142858</v>
      </c>
      <c r="H141" s="101">
        <f t="shared" si="151"/>
        <v>1293.7142857142858</v>
      </c>
      <c r="I141" s="101">
        <f t="shared" si="151"/>
        <v>401.3</v>
      </c>
      <c r="J141" s="101" t="e">
        <f t="shared" si="151"/>
        <v>#DIV/0!</v>
      </c>
      <c r="K141" s="101">
        <f t="shared" si="151"/>
        <v>346.58333333333331</v>
      </c>
      <c r="L141" s="101">
        <f t="shared" si="151"/>
        <v>441.5</v>
      </c>
      <c r="M141" s="101">
        <f t="shared" si="151"/>
        <v>335.10344827586209</v>
      </c>
      <c r="N141" s="101">
        <f t="shared" si="151"/>
        <v>505.08333333333331</v>
      </c>
      <c r="O141" s="61"/>
      <c r="P141" s="80">
        <f t="shared" si="146"/>
        <v>789.66666666666663</v>
      </c>
      <c r="Q141" s="81">
        <f t="shared" si="146"/>
        <v>417.20779220779218</v>
      </c>
      <c r="R141" s="81"/>
      <c r="S141" s="81"/>
      <c r="T141" s="81"/>
      <c r="U141" s="83">
        <f t="shared" si="147"/>
        <v>554.59016393442619</v>
      </c>
      <c r="V141" s="61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</row>
    <row r="142" spans="2:47" ht="15.75" hidden="1" customHeight="1">
      <c r="B142" s="79" t="s">
        <v>243</v>
      </c>
      <c r="C142" s="101">
        <f t="shared" ref="C142:N142" si="152">C13/C130</f>
        <v>805.875</v>
      </c>
      <c r="D142" s="101">
        <f t="shared" si="152"/>
        <v>3456.4</v>
      </c>
      <c r="E142" s="101">
        <f t="shared" si="152"/>
        <v>1453.4</v>
      </c>
      <c r="F142" s="101">
        <f t="shared" si="152"/>
        <v>1749.5833333333333</v>
      </c>
      <c r="G142" s="101">
        <f t="shared" si="152"/>
        <v>2915.2727272727275</v>
      </c>
      <c r="H142" s="101">
        <f t="shared" si="152"/>
        <v>2231.1</v>
      </c>
      <c r="I142" s="101">
        <f t="shared" si="152"/>
        <v>1476.75</v>
      </c>
      <c r="J142" s="101" t="e">
        <f t="shared" si="152"/>
        <v>#DIV/0!</v>
      </c>
      <c r="K142" s="101">
        <f t="shared" si="152"/>
        <v>720.23529411764707</v>
      </c>
      <c r="L142" s="101">
        <f t="shared" si="152"/>
        <v>2021.6666666666667</v>
      </c>
      <c r="M142" s="101">
        <f t="shared" si="152"/>
        <v>1021.7142857142857</v>
      </c>
      <c r="N142" s="101">
        <f t="shared" si="152"/>
        <v>1372.5384615384614</v>
      </c>
      <c r="O142" s="61"/>
      <c r="P142" s="80">
        <f t="shared" si="146"/>
        <v>1819.1621621621621</v>
      </c>
      <c r="Q142" s="81">
        <f t="shared" si="146"/>
        <v>1260.9333333333334</v>
      </c>
      <c r="R142" s="81"/>
      <c r="S142" s="81"/>
      <c r="T142" s="81"/>
      <c r="U142" s="83">
        <f t="shared" si="147"/>
        <v>1538.1744966442952</v>
      </c>
      <c r="V142" s="61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</row>
    <row r="143" spans="2:47" ht="15.75" hidden="1" customHeight="1">
      <c r="B143" s="79" t="s">
        <v>244</v>
      </c>
      <c r="C143" s="101">
        <f t="shared" ref="C143:N143" si="153">C14/C131</f>
        <v>2004</v>
      </c>
      <c r="D143" s="101">
        <f t="shared" si="153"/>
        <v>2124.5</v>
      </c>
      <c r="E143" s="101">
        <f t="shared" si="153"/>
        <v>1625</v>
      </c>
      <c r="F143" s="101">
        <f t="shared" si="153"/>
        <v>1596.6</v>
      </c>
      <c r="G143" s="101">
        <f t="shared" si="153"/>
        <v>1527.1875</v>
      </c>
      <c r="H143" s="101">
        <f t="shared" si="153"/>
        <v>1844.5</v>
      </c>
      <c r="I143" s="101">
        <f t="shared" si="153"/>
        <v>868.1</v>
      </c>
      <c r="J143" s="101" t="e">
        <f t="shared" si="153"/>
        <v>#DIV/0!</v>
      </c>
      <c r="K143" s="101">
        <f t="shared" si="153"/>
        <v>554.51851851851848</v>
      </c>
      <c r="L143" s="101">
        <f t="shared" si="153"/>
        <v>1059.4285714285713</v>
      </c>
      <c r="M143" s="101">
        <f t="shared" si="153"/>
        <v>636.0363636363636</v>
      </c>
      <c r="N143" s="101">
        <f t="shared" si="153"/>
        <v>948.6521739130435</v>
      </c>
      <c r="O143" s="61"/>
      <c r="P143" s="80">
        <f t="shared" si="146"/>
        <v>1702.2413793103449</v>
      </c>
      <c r="Q143" s="81">
        <f t="shared" si="146"/>
        <v>807.90441176470586</v>
      </c>
      <c r="R143" s="81"/>
      <c r="S143" s="81"/>
      <c r="T143" s="81"/>
      <c r="U143" s="83">
        <f t="shared" si="147"/>
        <v>1075.2835051546392</v>
      </c>
      <c r="V143" s="61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</row>
    <row r="144" spans="2:47" ht="15.75" hidden="1" customHeight="1">
      <c r="B144" s="79" t="s">
        <v>245</v>
      </c>
      <c r="C144" s="101" t="e">
        <f t="shared" ref="C144:N144" si="154">C15/C132</f>
        <v>#DIV/0!</v>
      </c>
      <c r="D144" s="101">
        <f t="shared" si="154"/>
        <v>2554.3333333333335</v>
      </c>
      <c r="E144" s="101">
        <f t="shared" si="154"/>
        <v>2184.75</v>
      </c>
      <c r="F144" s="101">
        <f t="shared" si="154"/>
        <v>2773</v>
      </c>
      <c r="G144" s="101">
        <f t="shared" si="154"/>
        <v>3784</v>
      </c>
      <c r="H144" s="101">
        <f t="shared" si="154"/>
        <v>14488</v>
      </c>
      <c r="I144" s="101">
        <f t="shared" si="154"/>
        <v>442.53333333333336</v>
      </c>
      <c r="J144" s="101" t="e">
        <f t="shared" si="154"/>
        <v>#DIV/0!</v>
      </c>
      <c r="K144" s="101">
        <f t="shared" si="154"/>
        <v>1031.1333333333334</v>
      </c>
      <c r="L144" s="101">
        <f t="shared" si="154"/>
        <v>2089.5454545454545</v>
      </c>
      <c r="M144" s="101">
        <f t="shared" si="154"/>
        <v>1445.6</v>
      </c>
      <c r="N144" s="101">
        <f t="shared" si="154"/>
        <v>1502.7333333333333</v>
      </c>
      <c r="O144" s="61"/>
      <c r="P144" s="80">
        <f t="shared" si="146"/>
        <v>3269</v>
      </c>
      <c r="Q144" s="81">
        <f t="shared" si="146"/>
        <v>1372.6049382716049</v>
      </c>
      <c r="R144" s="81"/>
      <c r="S144" s="81"/>
      <c r="T144" s="81"/>
      <c r="U144" s="83">
        <f t="shared" si="147"/>
        <v>1792</v>
      </c>
      <c r="V144" s="61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</row>
    <row r="145" spans="2:47" ht="15.75" hidden="1" customHeight="1">
      <c r="B145" s="79" t="s">
        <v>246</v>
      </c>
      <c r="C145" s="101" t="e">
        <f t="shared" ref="C145:N145" si="155">C16/C133</f>
        <v>#DIV/0!</v>
      </c>
      <c r="D145" s="101" t="e">
        <f t="shared" si="155"/>
        <v>#DIV/0!</v>
      </c>
      <c r="E145" s="101" t="e">
        <f t="shared" si="155"/>
        <v>#DIV/0!</v>
      </c>
      <c r="F145" s="101">
        <f t="shared" si="155"/>
        <v>8185</v>
      </c>
      <c r="G145" s="101">
        <f t="shared" si="155"/>
        <v>11274</v>
      </c>
      <c r="H145" s="101">
        <f t="shared" si="155"/>
        <v>2234</v>
      </c>
      <c r="I145" s="101">
        <f t="shared" si="155"/>
        <v>2561</v>
      </c>
      <c r="J145" s="101" t="e">
        <f t="shared" si="155"/>
        <v>#DIV/0!</v>
      </c>
      <c r="K145" s="101">
        <f t="shared" si="155"/>
        <v>442.33333333333331</v>
      </c>
      <c r="L145" s="101">
        <f t="shared" si="155"/>
        <v>985.75</v>
      </c>
      <c r="M145" s="101">
        <f t="shared" si="155"/>
        <v>563.63636363636363</v>
      </c>
      <c r="N145" s="101">
        <f t="shared" si="155"/>
        <v>773.4</v>
      </c>
      <c r="O145" s="61"/>
      <c r="P145" s="80">
        <f t="shared" si="146"/>
        <v>4732.5</v>
      </c>
      <c r="Q145" s="81">
        <f t="shared" si="146"/>
        <v>759.11111111111109</v>
      </c>
      <c r="R145" s="81"/>
      <c r="S145" s="81"/>
      <c r="T145" s="81"/>
      <c r="U145" s="83">
        <f t="shared" si="147"/>
        <v>1481.5454545454545</v>
      </c>
      <c r="V145" s="61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</row>
    <row r="146" spans="2:47" ht="15.75" hidden="1" customHeight="1">
      <c r="B146" s="79" t="s">
        <v>247</v>
      </c>
      <c r="C146" s="101" t="e">
        <f t="shared" ref="C146:N146" si="156">C17/C134</f>
        <v>#DIV/0!</v>
      </c>
      <c r="D146" s="101" t="e">
        <f t="shared" si="156"/>
        <v>#DIV/0!</v>
      </c>
      <c r="E146" s="101" t="e">
        <f t="shared" si="156"/>
        <v>#DIV/0!</v>
      </c>
      <c r="F146" s="101">
        <f t="shared" si="156"/>
        <v>3087.5</v>
      </c>
      <c r="G146" s="101" t="e">
        <f t="shared" si="156"/>
        <v>#DIV/0!</v>
      </c>
      <c r="H146" s="101" t="e">
        <f t="shared" si="156"/>
        <v>#DIV/0!</v>
      </c>
      <c r="I146" s="101">
        <f t="shared" si="156"/>
        <v>644</v>
      </c>
      <c r="J146" s="101" t="e">
        <f t="shared" si="156"/>
        <v>#DIV/0!</v>
      </c>
      <c r="K146" s="101">
        <f t="shared" si="156"/>
        <v>2002</v>
      </c>
      <c r="L146" s="101">
        <f t="shared" si="156"/>
        <v>2975</v>
      </c>
      <c r="M146" s="101">
        <f t="shared" si="156"/>
        <v>584.625</v>
      </c>
      <c r="N146" s="101">
        <f t="shared" si="156"/>
        <v>972.33333333333337</v>
      </c>
      <c r="O146" s="61"/>
      <c r="P146" s="80">
        <f t="shared" si="146"/>
        <v>10710.5</v>
      </c>
      <c r="Q146" s="81">
        <f t="shared" si="146"/>
        <v>966.375</v>
      </c>
      <c r="R146" s="81"/>
      <c r="S146" s="81"/>
      <c r="T146" s="81"/>
      <c r="U146" s="83">
        <f t="shared" si="147"/>
        <v>2049.0555555555557</v>
      </c>
      <c r="V146" s="61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</row>
    <row r="147" spans="2:47" ht="15.75" hidden="1" customHeight="1">
      <c r="B147" s="79" t="s">
        <v>248</v>
      </c>
      <c r="C147" s="101">
        <f t="shared" ref="C147:N147" si="157">C18/C135</f>
        <v>1368</v>
      </c>
      <c r="D147" s="101">
        <f t="shared" si="157"/>
        <v>766.63636363636363</v>
      </c>
      <c r="E147" s="101">
        <f t="shared" si="157"/>
        <v>3099.8333333333335</v>
      </c>
      <c r="F147" s="101">
        <f t="shared" si="157"/>
        <v>1833.1666666666667</v>
      </c>
      <c r="G147" s="101">
        <f t="shared" si="157"/>
        <v>1815.1428571428571</v>
      </c>
      <c r="H147" s="101">
        <f t="shared" si="157"/>
        <v>999.4545454545455</v>
      </c>
      <c r="I147" s="101">
        <f t="shared" si="157"/>
        <v>576.5</v>
      </c>
      <c r="J147" s="101" t="e">
        <f t="shared" si="157"/>
        <v>#DIV/0!</v>
      </c>
      <c r="K147" s="101" t="e">
        <f t="shared" si="157"/>
        <v>#DIV/0!</v>
      </c>
      <c r="L147" s="101" t="e">
        <f t="shared" si="157"/>
        <v>#DIV/0!</v>
      </c>
      <c r="M147" s="101" t="e">
        <f t="shared" si="157"/>
        <v>#DIV/0!</v>
      </c>
      <c r="N147" s="101" t="e">
        <f t="shared" si="157"/>
        <v>#DIV/0!</v>
      </c>
      <c r="O147" s="61"/>
      <c r="P147" s="80">
        <f t="shared" si="146"/>
        <v>1325.9259259259259</v>
      </c>
      <c r="Q147" s="81">
        <f t="shared" si="146"/>
        <v>576.5</v>
      </c>
      <c r="R147" s="81"/>
      <c r="S147" s="81"/>
      <c r="T147" s="81"/>
      <c r="U147" s="83">
        <f t="shared" si="147"/>
        <v>1325.9259259259259</v>
      </c>
      <c r="V147" s="61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</row>
    <row r="148" spans="2:47" ht="15.75" hidden="1" customHeight="1"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</row>
    <row r="149" spans="2:47" ht="15.75" hidden="1" customHeight="1"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</row>
    <row r="150" spans="2:47" ht="15.75" hidden="1" customHeight="1"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</row>
    <row r="151" spans="2:47" ht="15.75" hidden="1" customHeight="1"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</row>
    <row r="152" spans="2:47" ht="15.75" hidden="1" customHeight="1"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</row>
    <row r="153" spans="2:47" ht="15.75" hidden="1" customHeight="1"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</row>
    <row r="154" spans="2:47" ht="15.75" hidden="1" customHeight="1"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</row>
    <row r="155" spans="2:47" ht="15.75" hidden="1" customHeight="1"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</row>
    <row r="156" spans="2:47" ht="15.75" hidden="1" customHeight="1"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</row>
    <row r="157" spans="2:47" ht="15.75" hidden="1" customHeight="1"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</row>
    <row r="158" spans="2:47" ht="15.75" hidden="1" customHeight="1"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</row>
    <row r="159" spans="2:47" ht="15.75" hidden="1" customHeight="1"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</row>
    <row r="160" spans="2:47" ht="15.75" hidden="1" customHeight="1"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</row>
    <row r="161" spans="2:47" ht="15.75" hidden="1" customHeight="1"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</row>
    <row r="162" spans="2:47" ht="15.75" hidden="1" customHeight="1"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</row>
    <row r="163" spans="2:47" ht="15.75" hidden="1" customHeight="1"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</row>
    <row r="164" spans="2:47" ht="15.75" hidden="1" customHeight="1"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</row>
    <row r="165" spans="2:47" ht="15.75" hidden="1" customHeight="1"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</row>
    <row r="166" spans="2:47" ht="15.75" hidden="1" customHeight="1"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</row>
    <row r="167" spans="2:47" ht="15.75" hidden="1" customHeight="1"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</row>
    <row r="168" spans="2:47" ht="15.75" hidden="1" customHeight="1"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</row>
    <row r="169" spans="2:47" ht="15.75" hidden="1" customHeight="1"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</row>
    <row r="170" spans="2:47" ht="15.75" hidden="1" customHeight="1"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</row>
    <row r="171" spans="2:47" ht="15.75" hidden="1" customHeight="1"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</row>
    <row r="172" spans="2:47" ht="15.75" hidden="1" customHeight="1"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</row>
    <row r="173" spans="2:47" ht="15.75" hidden="1" customHeight="1"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</row>
    <row r="174" spans="2:47" ht="15.75" hidden="1" customHeight="1"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</row>
    <row r="175" spans="2:47" ht="15.75" hidden="1" customHeight="1"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</row>
    <row r="176" spans="2:47" ht="15.75" hidden="1" customHeight="1"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</row>
    <row r="177" spans="2:47" ht="15.75" hidden="1" customHeight="1"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</row>
    <row r="178" spans="2:47" ht="15.75" hidden="1" customHeight="1"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</row>
    <row r="179" spans="2:47" ht="15.75" hidden="1" customHeight="1"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</row>
    <row r="180" spans="2:47" ht="15.75" hidden="1" customHeight="1"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</row>
    <row r="181" spans="2:47" ht="15.75" hidden="1" customHeight="1"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</row>
    <row r="182" spans="2:47" ht="15.75" hidden="1" customHeight="1"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</row>
    <row r="183" spans="2:47" ht="15.75" hidden="1" customHeight="1"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</row>
    <row r="184" spans="2:47" ht="15.75" hidden="1" customHeight="1"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</row>
    <row r="185" spans="2:47" ht="15.75" hidden="1" customHeight="1"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</row>
    <row r="186" spans="2:47" ht="15.75" hidden="1" customHeight="1"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</row>
    <row r="187" spans="2:47" ht="15.75" hidden="1" customHeight="1"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</row>
    <row r="188" spans="2:47" ht="15.75" hidden="1" customHeight="1"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</row>
    <row r="189" spans="2:47" ht="15.75" hidden="1" customHeight="1"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</row>
    <row r="190" spans="2:47" ht="15.75" hidden="1" customHeight="1"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</row>
    <row r="191" spans="2:47" ht="15.75" hidden="1" customHeight="1"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</row>
    <row r="192" spans="2:47" ht="15.75" hidden="1" customHeight="1"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</row>
    <row r="193" spans="2:47" ht="15.75" hidden="1" customHeight="1"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</row>
    <row r="194" spans="2:47" ht="15.75" hidden="1" customHeight="1"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</row>
    <row r="195" spans="2:47" ht="15.75" hidden="1" customHeight="1"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</row>
    <row r="196" spans="2:47" ht="15.75" hidden="1" customHeight="1"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</row>
    <row r="197" spans="2:47" ht="15.75" hidden="1" customHeight="1"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</row>
    <row r="198" spans="2:47" ht="15.75" hidden="1" customHeight="1"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</row>
    <row r="199" spans="2:47" ht="15.75" hidden="1" customHeight="1"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</row>
    <row r="200" spans="2:47" ht="15.75" hidden="1" customHeight="1"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</row>
    <row r="201" spans="2:47" ht="15.75" hidden="1" customHeight="1"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</row>
    <row r="202" spans="2:47" ht="15.75" hidden="1" customHeight="1"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</row>
    <row r="203" spans="2:47" ht="15.75" hidden="1" customHeight="1"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</row>
    <row r="204" spans="2:47" ht="15.75" hidden="1" customHeight="1"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</row>
    <row r="205" spans="2:47" ht="15.75" hidden="1" customHeight="1"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</row>
    <row r="206" spans="2:47" ht="15.75" hidden="1" customHeight="1"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</row>
    <row r="207" spans="2:47" ht="15.75" hidden="1" customHeight="1"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</row>
    <row r="208" spans="2:47" ht="15.75" hidden="1" customHeight="1"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</row>
    <row r="209" spans="2:47" ht="15.75" hidden="1" customHeight="1"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</row>
    <row r="210" spans="2:47" ht="15.75" hidden="1" customHeight="1"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</row>
    <row r="211" spans="2:47" ht="15.75" hidden="1" customHeight="1"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</row>
    <row r="212" spans="2:47" ht="15.75" hidden="1" customHeight="1"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</row>
    <row r="213" spans="2:47" ht="15.75" hidden="1" customHeight="1"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</row>
    <row r="214" spans="2:47" ht="15.75" hidden="1" customHeight="1"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</row>
    <row r="215" spans="2:47" ht="15.75" hidden="1" customHeight="1"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</row>
    <row r="216" spans="2:47" ht="15.75" hidden="1" customHeight="1"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</row>
    <row r="217" spans="2:47" ht="15.75" hidden="1" customHeight="1"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</row>
    <row r="218" spans="2:47" ht="15.75" hidden="1" customHeight="1"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</row>
    <row r="219" spans="2:47" ht="15.75" hidden="1" customHeight="1"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</row>
    <row r="220" spans="2:47" ht="15.75" hidden="1" customHeight="1"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</row>
    <row r="221" spans="2:47" ht="15.75" hidden="1" customHeight="1"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</row>
    <row r="222" spans="2:47" ht="15.75" hidden="1" customHeight="1"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</row>
    <row r="223" spans="2:47" ht="15.75" hidden="1" customHeight="1"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</row>
    <row r="224" spans="2:47" ht="15.75" hidden="1" customHeight="1"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</row>
    <row r="225" spans="2:47" ht="15.75" hidden="1" customHeight="1"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</row>
    <row r="226" spans="2:47" ht="15.75" hidden="1" customHeight="1"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</row>
    <row r="227" spans="2:47" ht="15.75" hidden="1" customHeight="1"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</row>
    <row r="228" spans="2:47" ht="15.75" hidden="1" customHeight="1"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</row>
    <row r="229" spans="2:47" ht="15.75" hidden="1" customHeight="1"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</row>
    <row r="230" spans="2:47" ht="15.75" hidden="1" customHeight="1"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</row>
    <row r="231" spans="2:47" ht="15.75" hidden="1" customHeight="1"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</row>
    <row r="232" spans="2:47" ht="15.75" hidden="1" customHeight="1"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</row>
    <row r="233" spans="2:47" ht="15.75" hidden="1" customHeight="1"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</row>
    <row r="234" spans="2:47" ht="15.75" hidden="1" customHeight="1"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</row>
    <row r="235" spans="2:47" ht="15.75" hidden="1" customHeight="1"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</row>
    <row r="236" spans="2:47" ht="15.75" hidden="1" customHeight="1"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</row>
    <row r="237" spans="2:47" ht="15.75" hidden="1" customHeight="1"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</row>
    <row r="238" spans="2:47" ht="15.75" hidden="1" customHeight="1"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</row>
    <row r="239" spans="2:47" ht="15.75" hidden="1" customHeight="1"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</row>
    <row r="240" spans="2:47" ht="15.75" hidden="1" customHeight="1"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</row>
    <row r="241" spans="2:47" ht="15.75" hidden="1" customHeight="1"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</row>
    <row r="242" spans="2:47" ht="15.75" hidden="1" customHeight="1"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</row>
    <row r="243" spans="2:47" ht="15.75" hidden="1" customHeight="1"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</row>
    <row r="244" spans="2:47" ht="15.75" hidden="1" customHeight="1"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</row>
    <row r="245" spans="2:47" ht="15.75" hidden="1" customHeight="1"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</row>
    <row r="246" spans="2:47" ht="15.75" hidden="1" customHeight="1"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</row>
    <row r="247" spans="2:47" ht="15.75" hidden="1" customHeight="1"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</row>
    <row r="248" spans="2:47" ht="15.75" hidden="1" customHeight="1"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</row>
    <row r="249" spans="2:47" ht="15.75" hidden="1" customHeight="1"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</row>
    <row r="250" spans="2:47" ht="15.75" hidden="1" customHeight="1"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</row>
    <row r="251" spans="2:47" ht="15.75" hidden="1" customHeight="1"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</row>
    <row r="252" spans="2:47" ht="15.75" hidden="1" customHeight="1"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</row>
    <row r="253" spans="2:47" ht="15.75" hidden="1" customHeight="1"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</row>
    <row r="254" spans="2:47" ht="15.75" hidden="1" customHeight="1"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</row>
    <row r="255" spans="2:47" ht="15.75" hidden="1" customHeight="1"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</row>
    <row r="256" spans="2:47" ht="15.75" hidden="1" customHeight="1"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</row>
    <row r="257" spans="2:47" ht="15.75" hidden="1" customHeight="1"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</row>
    <row r="258" spans="2:47" ht="15.75" hidden="1" customHeight="1"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</row>
    <row r="259" spans="2:47" ht="15.75" hidden="1" customHeight="1"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</row>
    <row r="260" spans="2:47" ht="15.75" hidden="1" customHeight="1"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</row>
    <row r="261" spans="2:47" ht="15.75" hidden="1" customHeight="1"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</row>
    <row r="262" spans="2:47" ht="15.75" hidden="1" customHeight="1"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</row>
    <row r="263" spans="2:47" ht="15.75" hidden="1" customHeight="1"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</row>
    <row r="264" spans="2:47" ht="15.75" hidden="1" customHeight="1"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</row>
    <row r="265" spans="2:47" ht="15.75" hidden="1" customHeight="1"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</row>
    <row r="266" spans="2:47" ht="15.75" hidden="1" customHeight="1"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</row>
    <row r="267" spans="2:47" ht="15.75" hidden="1" customHeight="1"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</row>
    <row r="268" spans="2:47" ht="15.75" hidden="1" customHeight="1"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</row>
    <row r="269" spans="2:47" ht="15.75" hidden="1" customHeight="1"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</row>
    <row r="270" spans="2:47" ht="15.75" hidden="1" customHeight="1"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</row>
    <row r="271" spans="2:47" ht="15.75" hidden="1" customHeight="1"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</row>
    <row r="272" spans="2:47" ht="15.75" hidden="1" customHeight="1"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</row>
    <row r="273" spans="2:47" ht="15.75" hidden="1" customHeight="1"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</row>
    <row r="274" spans="2:47" ht="15.75" hidden="1" customHeight="1"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</row>
    <row r="275" spans="2:47" ht="15.75" hidden="1" customHeight="1"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</row>
    <row r="276" spans="2:47" ht="15.75" hidden="1" customHeight="1"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</row>
    <row r="277" spans="2:47" ht="15.75" hidden="1" customHeight="1"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</row>
    <row r="278" spans="2:47" ht="15.75" hidden="1" customHeight="1"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</row>
    <row r="279" spans="2:47" ht="15.75" hidden="1" customHeight="1"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</row>
    <row r="280" spans="2:47" ht="15.75" hidden="1" customHeight="1"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</row>
    <row r="281" spans="2:47" ht="15.75" hidden="1" customHeight="1"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</row>
    <row r="282" spans="2:47" ht="15.75" hidden="1" customHeight="1"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</row>
    <row r="283" spans="2:47" ht="15.75" hidden="1" customHeight="1"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</row>
    <row r="284" spans="2:47" ht="15.75" hidden="1" customHeight="1"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</row>
    <row r="285" spans="2:47" ht="15.75" hidden="1" customHeight="1"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</row>
    <row r="286" spans="2:47" ht="15.75" hidden="1" customHeight="1"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</row>
    <row r="287" spans="2:47" ht="15.75" hidden="1" customHeight="1"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</row>
    <row r="288" spans="2:47" ht="15.75" hidden="1" customHeight="1"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</row>
    <row r="289" spans="2:47" ht="15.75" hidden="1" customHeight="1"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</row>
    <row r="290" spans="2:47" ht="15.75" hidden="1" customHeight="1"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</row>
    <row r="291" spans="2:47" ht="15.75" hidden="1" customHeight="1"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</row>
    <row r="292" spans="2:47" ht="15.75" hidden="1" customHeight="1"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</row>
    <row r="293" spans="2:47" ht="15.75" hidden="1" customHeight="1"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</row>
    <row r="294" spans="2:47" ht="15.75" hidden="1" customHeight="1"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</row>
    <row r="295" spans="2:47" ht="15.75" hidden="1" customHeight="1"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</row>
    <row r="296" spans="2:47" ht="15.75" hidden="1" customHeight="1"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</row>
    <row r="297" spans="2:47" ht="15.75" hidden="1" customHeight="1"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</row>
    <row r="298" spans="2:47" ht="15.75" hidden="1" customHeight="1"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</row>
    <row r="299" spans="2:47" ht="15.75" hidden="1" customHeight="1"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</row>
    <row r="300" spans="2:47" ht="15.75" hidden="1" customHeight="1"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</row>
    <row r="301" spans="2:47" ht="15.75" hidden="1" customHeight="1"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</row>
    <row r="302" spans="2:47" ht="15.75" hidden="1" customHeight="1"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</row>
    <row r="303" spans="2:47" ht="15.75" hidden="1" customHeight="1"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</row>
    <row r="304" spans="2:47" ht="15.75" hidden="1" customHeight="1"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</row>
    <row r="305" spans="2:47" ht="15.75" hidden="1" customHeight="1"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</row>
    <row r="306" spans="2:47" ht="15.75" hidden="1" customHeight="1"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</row>
    <row r="307" spans="2:47" ht="15.75" hidden="1" customHeight="1"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</row>
    <row r="308" spans="2:47" ht="15.75" hidden="1" customHeight="1"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</row>
    <row r="309" spans="2:47" ht="15.75" hidden="1" customHeight="1"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</row>
    <row r="310" spans="2:47" ht="15.75" hidden="1" customHeight="1"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</row>
    <row r="311" spans="2:47" ht="15.75" hidden="1" customHeight="1"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</row>
    <row r="312" spans="2:47" ht="15.75" hidden="1" customHeight="1"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</row>
    <row r="313" spans="2:47" ht="15.75" hidden="1" customHeight="1"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</row>
    <row r="314" spans="2:47" ht="15.75" hidden="1" customHeight="1"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</row>
    <row r="315" spans="2:47" ht="15.75" hidden="1" customHeight="1"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</row>
    <row r="316" spans="2:47" ht="15.75" hidden="1" customHeight="1"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</row>
    <row r="317" spans="2:47" ht="15.75" hidden="1" customHeight="1"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</row>
    <row r="318" spans="2:47" ht="15.75" hidden="1" customHeight="1"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</row>
    <row r="319" spans="2:47" ht="15.75" hidden="1" customHeight="1"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</row>
    <row r="320" spans="2:47" ht="15.75" hidden="1" customHeight="1"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</row>
    <row r="321" spans="2:47" ht="15.75" hidden="1" customHeight="1"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</row>
    <row r="322" spans="2:47" ht="15.75" hidden="1" customHeight="1"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</row>
    <row r="323" spans="2:47" ht="15.75" hidden="1" customHeight="1"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</row>
    <row r="324" spans="2:47" ht="15.75" hidden="1" customHeight="1"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</row>
    <row r="325" spans="2:47" ht="15.75" hidden="1" customHeight="1"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</row>
    <row r="326" spans="2:47" ht="15.75" hidden="1" customHeight="1"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</row>
    <row r="327" spans="2:47" ht="15.75" hidden="1" customHeight="1"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</row>
    <row r="328" spans="2:47" ht="15.75" hidden="1" customHeight="1"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</row>
    <row r="329" spans="2:47" ht="15.75" hidden="1" customHeight="1"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</row>
    <row r="330" spans="2:47" ht="15.75" hidden="1" customHeight="1"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</row>
    <row r="331" spans="2:47" ht="15.75" hidden="1" customHeight="1"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</row>
    <row r="332" spans="2:47" ht="15.75" hidden="1" customHeight="1"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</row>
    <row r="333" spans="2:47" ht="15.75" hidden="1" customHeight="1"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</row>
    <row r="334" spans="2:47" ht="15.75" hidden="1" customHeight="1"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</row>
    <row r="335" spans="2:47" ht="15.75" hidden="1" customHeight="1"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</row>
    <row r="336" spans="2:47" ht="15.75" hidden="1" customHeight="1"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</row>
    <row r="337" spans="2:47" ht="15.75" hidden="1" customHeight="1"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</row>
    <row r="338" spans="2:47" ht="15.75" hidden="1" customHeight="1"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</row>
    <row r="339" spans="2:47" ht="15.75" hidden="1" customHeight="1"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</row>
    <row r="340" spans="2:47" ht="15.75" hidden="1" customHeight="1"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</row>
    <row r="341" spans="2:47" ht="15.75" hidden="1" customHeight="1"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</row>
    <row r="342" spans="2:47" ht="15.75" hidden="1" customHeight="1"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</row>
    <row r="343" spans="2:47" ht="15.75" hidden="1" customHeight="1"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</row>
    <row r="344" spans="2:47" ht="15.75" hidden="1" customHeight="1"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</row>
    <row r="345" spans="2:47" ht="15.75" hidden="1" customHeight="1"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</row>
    <row r="346" spans="2:47" ht="15.75" hidden="1" customHeight="1"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</row>
    <row r="347" spans="2:47" ht="15.75" hidden="1" customHeight="1"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</row>
    <row r="348" spans="2:47" ht="15.75" hidden="1" customHeight="1"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</row>
    <row r="349" spans="2:47" ht="15.75" hidden="1" customHeight="1"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</row>
    <row r="350" spans="2:47" ht="15.75" hidden="1" customHeight="1"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</row>
    <row r="351" spans="2:47" ht="15.75" hidden="1" customHeight="1"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</row>
    <row r="352" spans="2:47" ht="15.75" hidden="1" customHeight="1"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</row>
    <row r="353" spans="2:47" ht="15.75" hidden="1" customHeight="1"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</row>
    <row r="354" spans="2:47" ht="15.75" hidden="1" customHeight="1"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</row>
    <row r="355" spans="2:47" ht="15.75" hidden="1" customHeight="1"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</row>
    <row r="356" spans="2:47" ht="15.75" hidden="1" customHeight="1"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</row>
    <row r="357" spans="2:47" ht="15.75" hidden="1" customHeight="1"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</row>
    <row r="358" spans="2:47" ht="15.75" customHeight="1"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</row>
    <row r="359" spans="2:47" ht="15.75" customHeight="1"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</row>
    <row r="360" spans="2:47" ht="15.75" customHeight="1"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</row>
    <row r="361" spans="2:47" ht="15.75" customHeight="1"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</row>
    <row r="362" spans="2:47" ht="15.75" customHeight="1"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</row>
    <row r="363" spans="2:47" ht="15.75" customHeight="1"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</row>
    <row r="364" spans="2:47" ht="15.75" customHeight="1"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</row>
    <row r="365" spans="2:47" ht="15.75" customHeight="1"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</row>
    <row r="366" spans="2:47" ht="15.75" customHeight="1"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</row>
    <row r="367" spans="2:47" ht="15.75" customHeight="1"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</row>
    <row r="368" spans="2:47" ht="15.75" customHeight="1"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</row>
    <row r="369" spans="2:47" ht="15.75" customHeight="1"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</row>
    <row r="370" spans="2:47" ht="15.75" customHeight="1"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</row>
    <row r="371" spans="2:47" ht="15.75" customHeight="1"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</row>
    <row r="372" spans="2:47" ht="15.75" customHeight="1"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</row>
    <row r="373" spans="2:47" ht="15.75" customHeight="1"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</row>
    <row r="374" spans="2:47" ht="15.75" customHeight="1"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</row>
    <row r="375" spans="2:47" ht="15.75" customHeight="1"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</row>
    <row r="376" spans="2:47" ht="15.75" customHeight="1"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</row>
    <row r="377" spans="2:47" ht="15.75" customHeight="1"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</row>
    <row r="378" spans="2:47" ht="15.75" customHeight="1"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</row>
    <row r="379" spans="2:47" ht="15.75" customHeight="1"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</row>
    <row r="380" spans="2:47" ht="15.75" customHeight="1"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</row>
    <row r="381" spans="2:47" ht="15.75" customHeight="1"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</row>
    <row r="382" spans="2:47" ht="15.75" customHeight="1"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</row>
    <row r="383" spans="2:47" ht="15.75" customHeight="1"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</row>
    <row r="384" spans="2:47" ht="15.75" customHeight="1"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</row>
    <row r="385" spans="2:47" ht="15.75" customHeight="1"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</row>
    <row r="386" spans="2:47" ht="15.75" customHeight="1"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</row>
    <row r="387" spans="2:47" ht="15.75" customHeight="1"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</row>
    <row r="388" spans="2:47" ht="15.75" customHeight="1"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</row>
    <row r="389" spans="2:47" ht="15.75" customHeight="1"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</row>
    <row r="390" spans="2:47" ht="15.75" customHeight="1"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</row>
    <row r="391" spans="2:47" ht="15.75" customHeight="1"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</row>
    <row r="392" spans="2:47" ht="15.75" customHeight="1"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</row>
    <row r="393" spans="2:47" ht="15.75" customHeight="1"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</row>
    <row r="394" spans="2:47" ht="15.75" customHeight="1"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</row>
    <row r="395" spans="2:47" ht="15.75" customHeight="1"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</row>
    <row r="396" spans="2:47" ht="15.75" customHeight="1"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</row>
    <row r="397" spans="2:47" ht="15.75" customHeight="1"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</row>
    <row r="398" spans="2:47" ht="15.75" customHeight="1"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</row>
    <row r="399" spans="2:47" ht="15.75" customHeight="1"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</row>
    <row r="400" spans="2:47" ht="15.75" customHeight="1"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</row>
    <row r="401" spans="2:47" ht="15.75" customHeight="1"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</row>
    <row r="402" spans="2:47" ht="15.75" customHeight="1"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</row>
    <row r="403" spans="2:47" ht="15.75" customHeight="1"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</row>
    <row r="404" spans="2:47" ht="15.75" customHeight="1"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</row>
    <row r="405" spans="2:47" ht="15.75" customHeight="1"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</row>
    <row r="406" spans="2:47" ht="15.75" customHeight="1"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</row>
    <row r="407" spans="2:47" ht="15.75" customHeight="1"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</row>
    <row r="408" spans="2:47" ht="15.75" customHeight="1"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</row>
    <row r="409" spans="2:47" ht="15.75" customHeight="1"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</row>
    <row r="410" spans="2:47" ht="15.75" customHeight="1"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</row>
    <row r="411" spans="2:47" ht="15.75" customHeight="1"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</row>
    <row r="412" spans="2:47" ht="15.75" customHeight="1"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</row>
    <row r="413" spans="2:47" ht="15.75" customHeight="1"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</row>
    <row r="414" spans="2:47" ht="15.75" customHeight="1"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</row>
    <row r="415" spans="2:47" ht="15.75" customHeight="1"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</row>
    <row r="416" spans="2:47" ht="15.75" customHeight="1"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</row>
    <row r="417" spans="2:47" ht="15.75" customHeight="1"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</row>
    <row r="418" spans="2:47" ht="15.75" customHeight="1"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</row>
    <row r="419" spans="2:47" ht="15.75" customHeight="1"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</row>
    <row r="420" spans="2:47" ht="15.75" customHeight="1"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</row>
    <row r="421" spans="2:47" ht="15.75" customHeight="1"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</row>
    <row r="422" spans="2:47" ht="15.75" customHeight="1"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</row>
    <row r="423" spans="2:47" ht="15.75" customHeight="1"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</row>
    <row r="424" spans="2:47" ht="15.75" customHeight="1"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</row>
    <row r="425" spans="2:47" ht="15.75" customHeight="1"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</row>
    <row r="426" spans="2:47" ht="15.75" customHeight="1"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</row>
    <row r="427" spans="2:47" ht="15.75" customHeight="1"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</row>
    <row r="428" spans="2:47" ht="15.75" customHeight="1"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</row>
    <row r="429" spans="2:47" ht="15.75" customHeight="1"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</row>
    <row r="430" spans="2:47" ht="15.75" customHeight="1"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</row>
    <row r="431" spans="2:47" ht="15.75" customHeight="1"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</row>
    <row r="432" spans="2:47" ht="15.75" customHeight="1"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</row>
    <row r="433" spans="2:47" ht="15.75" customHeight="1"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</row>
    <row r="434" spans="2:47" ht="15.75" customHeight="1"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</row>
    <row r="435" spans="2:47" ht="15.75" customHeight="1"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</row>
    <row r="436" spans="2:47" ht="15.75" customHeight="1"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</row>
    <row r="437" spans="2:47" ht="15.75" customHeight="1"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</row>
    <row r="438" spans="2:47" ht="15.75" customHeight="1"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</row>
    <row r="439" spans="2:47" ht="15.75" customHeight="1"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</row>
    <row r="440" spans="2:47" ht="15.75" customHeight="1"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</row>
    <row r="441" spans="2:47" ht="15.75" customHeight="1"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</row>
    <row r="442" spans="2:47" ht="15.75" customHeight="1"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</row>
    <row r="443" spans="2:47" ht="15.75" customHeight="1"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</row>
    <row r="444" spans="2:47" ht="15.75" customHeight="1"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</row>
    <row r="445" spans="2:47" ht="15.75" customHeight="1"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</row>
    <row r="446" spans="2:47" ht="15.75" customHeight="1"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</row>
    <row r="447" spans="2:47" ht="15.75" customHeight="1"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</row>
    <row r="448" spans="2:47" ht="15.75" customHeight="1"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</row>
    <row r="449" spans="2:47" ht="15.75" customHeight="1"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</row>
    <row r="450" spans="2:47" ht="15.75" customHeight="1"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</row>
    <row r="451" spans="2:47" ht="15.75" customHeight="1"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</row>
    <row r="452" spans="2:47" ht="15.75" customHeight="1"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</row>
    <row r="453" spans="2:47" ht="15.75" customHeight="1"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</row>
    <row r="454" spans="2:47" ht="15.75" customHeight="1"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</row>
    <row r="455" spans="2:47" ht="15.75" customHeight="1"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</row>
    <row r="456" spans="2:47" ht="15.75" customHeight="1"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</row>
    <row r="457" spans="2:47" ht="15.75" customHeight="1"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</row>
    <row r="458" spans="2:47" ht="15.75" customHeight="1"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</row>
    <row r="459" spans="2:47" ht="15.75" customHeight="1"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</row>
    <row r="460" spans="2:47" ht="15.75" customHeight="1"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</row>
    <row r="461" spans="2:47" ht="15.75" customHeight="1"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</row>
    <row r="462" spans="2:47" ht="15.75" customHeight="1"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</row>
    <row r="463" spans="2:47" ht="15.75" customHeight="1"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</row>
    <row r="464" spans="2:47" ht="15.75" customHeight="1"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</row>
    <row r="465" spans="2:47" ht="15.75" customHeight="1"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</row>
    <row r="466" spans="2:47" ht="15.75" customHeight="1"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</row>
    <row r="467" spans="2:47" ht="15.75" customHeight="1"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</row>
    <row r="468" spans="2:47" ht="15.75" customHeight="1"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</row>
    <row r="469" spans="2:47" ht="15.75" customHeight="1"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</row>
    <row r="470" spans="2:47" ht="15.75" customHeight="1"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</row>
    <row r="471" spans="2:47" ht="15.75" customHeight="1"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</row>
    <row r="472" spans="2:47" ht="15.75" customHeight="1"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</row>
    <row r="473" spans="2:47" ht="15.75" customHeight="1"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</row>
    <row r="474" spans="2:47" ht="15.75" customHeight="1"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</row>
    <row r="475" spans="2:47" ht="15.75" customHeight="1"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</row>
    <row r="476" spans="2:47" ht="15.75" customHeight="1"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</row>
    <row r="477" spans="2:47" ht="15.75" customHeight="1"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</row>
    <row r="478" spans="2:47" ht="15.75" customHeight="1"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</row>
    <row r="479" spans="2:47" ht="15.75" customHeight="1"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</row>
    <row r="480" spans="2:47" ht="15.75" customHeight="1"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</row>
    <row r="481" spans="2:47" ht="15.75" customHeight="1"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</row>
    <row r="482" spans="2:47" ht="15.75" customHeight="1"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</row>
    <row r="483" spans="2:47" ht="15.75" customHeight="1"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</row>
    <row r="484" spans="2:47" ht="15.75" customHeight="1"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</row>
    <row r="485" spans="2:47" ht="15.75" customHeight="1"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</row>
    <row r="486" spans="2:47" ht="15.75" customHeight="1"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</row>
    <row r="487" spans="2:47" ht="15.75" customHeight="1"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</row>
    <row r="488" spans="2:47" ht="15.75" customHeight="1"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</row>
    <row r="489" spans="2:47" ht="15.75" customHeight="1"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</row>
    <row r="490" spans="2:47" ht="15.75" customHeight="1"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</row>
    <row r="491" spans="2:47" ht="15.75" customHeight="1"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</row>
    <row r="492" spans="2:47" ht="15.75" customHeight="1"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</row>
    <row r="493" spans="2:47" ht="15.75" customHeight="1"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</row>
    <row r="494" spans="2:47" ht="15.75" customHeight="1"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</row>
    <row r="495" spans="2:47" ht="15.75" customHeight="1"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</row>
    <row r="496" spans="2:47" ht="15.75" customHeight="1"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</row>
    <row r="497" spans="2:47" ht="15.75" customHeight="1"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</row>
    <row r="498" spans="2:47" ht="15.75" customHeight="1"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</row>
    <row r="499" spans="2:47" ht="15.75" customHeight="1"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</row>
    <row r="500" spans="2:47" ht="15.75" customHeight="1"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</row>
    <row r="501" spans="2:47" ht="15.75" customHeight="1"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</row>
    <row r="502" spans="2:47" ht="15.75" customHeight="1"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</row>
    <row r="503" spans="2:47" ht="15.75" customHeight="1"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</row>
    <row r="504" spans="2:47" ht="15.75" customHeight="1"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</row>
    <row r="505" spans="2:47" ht="15.75" customHeight="1"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</row>
    <row r="506" spans="2:47" ht="15.75" customHeight="1"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</row>
    <row r="507" spans="2:47" ht="15.75" customHeight="1"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</row>
    <row r="508" spans="2:47" ht="15.75" customHeight="1"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</row>
    <row r="509" spans="2:47" ht="15.75" customHeight="1"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</row>
    <row r="510" spans="2:47" ht="15.75" customHeight="1"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</row>
    <row r="511" spans="2:47" ht="15.75" customHeight="1"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</row>
    <row r="512" spans="2:47" ht="15.75" customHeight="1"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</row>
    <row r="513" spans="2:47" ht="15.75" customHeight="1"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</row>
    <row r="514" spans="2:47" ht="15.75" customHeight="1"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</row>
    <row r="515" spans="2:47" ht="15.75" customHeight="1"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</row>
    <row r="516" spans="2:47" ht="15.75" customHeight="1"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</row>
    <row r="517" spans="2:47" ht="15.75" customHeight="1"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</row>
    <row r="518" spans="2:47" ht="15.75" customHeight="1"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</row>
    <row r="519" spans="2:47" ht="15.75" customHeight="1"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</row>
    <row r="520" spans="2:47" ht="15.75" customHeight="1"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</row>
    <row r="521" spans="2:47" ht="15.75" customHeight="1"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</row>
    <row r="522" spans="2:47" ht="15.75" customHeight="1"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</row>
    <row r="523" spans="2:47" ht="15.75" customHeight="1"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</row>
    <row r="524" spans="2:47" ht="15.75" customHeight="1"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</row>
    <row r="525" spans="2:47" ht="15.75" customHeight="1"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</row>
    <row r="526" spans="2:47" ht="15.75" customHeight="1"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</row>
    <row r="527" spans="2:47" ht="15.75" customHeight="1"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</row>
    <row r="528" spans="2:47" ht="15.75" customHeight="1"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</row>
    <row r="529" spans="2:47" ht="15.75" customHeight="1"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</row>
    <row r="530" spans="2:47" ht="15.75" customHeight="1"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</row>
    <row r="531" spans="2:47" ht="15.75" customHeight="1"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</row>
    <row r="532" spans="2:47" ht="15.75" customHeight="1"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</row>
    <row r="533" spans="2:47" ht="15.75" customHeight="1"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</row>
    <row r="534" spans="2:47" ht="15.75" customHeight="1"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</row>
    <row r="535" spans="2:47" ht="15.75" customHeight="1"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</row>
    <row r="536" spans="2:47" ht="15.75" customHeight="1"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</row>
    <row r="537" spans="2:47" ht="15.75" customHeight="1"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</row>
    <row r="538" spans="2:47" ht="15.75" customHeight="1"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</row>
    <row r="539" spans="2:47" ht="15.75" customHeight="1"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</row>
    <row r="540" spans="2:47" ht="15.75" customHeight="1"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</row>
    <row r="541" spans="2:47" ht="15.75" customHeight="1"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</row>
    <row r="542" spans="2:47" ht="15.75" customHeight="1"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</row>
    <row r="543" spans="2:47" ht="15.75" customHeight="1"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</row>
    <row r="544" spans="2:47" ht="15.75" customHeight="1"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</row>
    <row r="545" spans="2:47" ht="15.75" customHeight="1"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</row>
    <row r="546" spans="2:47" ht="15.75" customHeight="1"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</row>
    <row r="547" spans="2:47" ht="15.75" customHeight="1"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</row>
    <row r="548" spans="2:47" ht="15.75" customHeight="1"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</row>
    <row r="549" spans="2:47" ht="15.75" customHeight="1"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</row>
    <row r="550" spans="2:47" ht="15.75" customHeight="1"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</row>
    <row r="551" spans="2:47" ht="15.75" customHeight="1"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</row>
    <row r="552" spans="2:47" ht="15.75" customHeight="1"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</row>
    <row r="553" spans="2:47" ht="15.75" customHeight="1"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</row>
    <row r="554" spans="2:47" ht="15.75" customHeight="1"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</row>
    <row r="555" spans="2:47" ht="15.75" customHeight="1"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</row>
    <row r="556" spans="2:47" ht="15.75" customHeight="1"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</row>
    <row r="557" spans="2:47" ht="15.75" customHeight="1"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</row>
    <row r="558" spans="2:47" ht="15.75" customHeight="1"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</row>
    <row r="559" spans="2:47" ht="15.75" customHeight="1"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</row>
    <row r="560" spans="2:47" ht="15.75" customHeight="1"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</row>
    <row r="561" spans="2:47" ht="15.75" customHeight="1"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</row>
    <row r="562" spans="2:47" ht="15.75" customHeight="1"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</row>
    <row r="563" spans="2:47" ht="15.75" customHeight="1"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</row>
    <row r="564" spans="2:47" ht="15.75" customHeight="1"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</row>
    <row r="565" spans="2:47" ht="15.75" customHeight="1"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</row>
    <row r="566" spans="2:47" ht="15.75" customHeight="1"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</row>
    <row r="567" spans="2:47" ht="15.75" customHeight="1"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</row>
    <row r="568" spans="2:47" ht="15.75" customHeight="1"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</row>
    <row r="569" spans="2:47" ht="15.75" customHeight="1"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</row>
    <row r="570" spans="2:47" ht="15.75" customHeight="1"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</row>
    <row r="571" spans="2:47" ht="15.75" customHeight="1"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</row>
    <row r="572" spans="2:47" ht="15.75" customHeight="1"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</row>
    <row r="573" spans="2:47" ht="15.75" customHeight="1"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</row>
    <row r="574" spans="2:47" ht="15.75" customHeight="1"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</row>
    <row r="575" spans="2:47" ht="15.75" customHeight="1"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</row>
    <row r="576" spans="2:47" ht="15.75" customHeight="1"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</row>
    <row r="577" spans="2:47" ht="15.75" customHeight="1"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</row>
    <row r="578" spans="2:47" ht="15.75" customHeight="1"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</row>
    <row r="579" spans="2:47" ht="15.75" customHeight="1"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</row>
    <row r="580" spans="2:47" ht="15.75" customHeight="1"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</row>
    <row r="581" spans="2:47" ht="15.75" customHeight="1"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</row>
    <row r="582" spans="2:47" ht="15.75" customHeight="1"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</row>
    <row r="583" spans="2:47" ht="15.75" customHeight="1"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</row>
    <row r="584" spans="2:47" ht="15.75" customHeight="1"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</row>
    <row r="585" spans="2:47" ht="15.75" customHeight="1"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</row>
    <row r="586" spans="2:47" ht="15.75" customHeight="1"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</row>
    <row r="587" spans="2:47" ht="15.75" customHeight="1"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</row>
    <row r="588" spans="2:47" ht="15.75" customHeight="1"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</row>
    <row r="589" spans="2:47" ht="15.75" customHeight="1"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</row>
    <row r="590" spans="2:47" ht="15.75" customHeight="1"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</row>
    <row r="591" spans="2:47" ht="15.75" customHeight="1"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</row>
    <row r="592" spans="2:47" ht="15.75" customHeight="1"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</row>
    <row r="593" spans="2:47" ht="15.75" customHeight="1"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</row>
    <row r="594" spans="2:47" ht="15.75" customHeight="1"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</row>
    <row r="595" spans="2:47" ht="15.75" customHeight="1"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</row>
    <row r="596" spans="2:47" ht="15.75" customHeight="1"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</row>
    <row r="597" spans="2:47" ht="15.75" customHeight="1"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</row>
    <row r="598" spans="2:47" ht="15.75" customHeight="1"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</row>
    <row r="599" spans="2:47" ht="15.75" customHeight="1"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</row>
    <row r="600" spans="2:47" ht="15.75" customHeight="1"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</row>
    <row r="601" spans="2:47" ht="15.75" customHeight="1"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</row>
    <row r="602" spans="2:47" ht="15.75" customHeight="1"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</row>
    <row r="603" spans="2:47" ht="15.75" customHeight="1"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</row>
    <row r="604" spans="2:47" ht="15.75" customHeight="1"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</row>
    <row r="605" spans="2:47" ht="15.75" customHeight="1"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</row>
    <row r="606" spans="2:47" ht="15.75" customHeight="1"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</row>
    <row r="607" spans="2:47" ht="15.75" customHeight="1"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</row>
    <row r="608" spans="2:47" ht="15.75" customHeight="1"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</row>
    <row r="609" spans="2:47" ht="15.75" customHeight="1"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</row>
    <row r="610" spans="2:47" ht="15.75" customHeight="1"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</row>
    <row r="611" spans="2:47" ht="15.75" customHeight="1"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</row>
    <row r="612" spans="2:47" ht="15.75" customHeight="1"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</row>
    <row r="613" spans="2:47" ht="15.75" customHeight="1"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</row>
    <row r="614" spans="2:47" ht="15.75" customHeight="1"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</row>
    <row r="615" spans="2:47" ht="15.75" customHeight="1"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</row>
    <row r="616" spans="2:47" ht="15.75" customHeight="1"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</row>
    <row r="617" spans="2:47" ht="15.75" customHeight="1"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</row>
    <row r="618" spans="2:47" ht="15.75" customHeight="1"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</row>
    <row r="619" spans="2:47" ht="15.75" customHeight="1"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</row>
    <row r="620" spans="2:47" ht="15.75" customHeight="1"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</row>
    <row r="621" spans="2:47" ht="15.75" customHeight="1"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</row>
    <row r="622" spans="2:47" ht="15.75" customHeight="1"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</row>
    <row r="623" spans="2:47" ht="15.75" customHeight="1"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</row>
    <row r="624" spans="2:47" ht="15.75" customHeight="1"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</row>
    <row r="625" spans="2:47" ht="15.75" customHeight="1"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</row>
    <row r="626" spans="2:47" ht="15.75" customHeight="1"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</row>
    <row r="627" spans="2:47" ht="15.75" customHeight="1"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</row>
    <row r="628" spans="2:47" ht="15.75" customHeight="1"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</row>
    <row r="629" spans="2:47" ht="15.75" customHeight="1"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</row>
    <row r="630" spans="2:47" ht="15.75" customHeight="1"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</row>
    <row r="631" spans="2:47" ht="15.75" customHeight="1"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</row>
    <row r="632" spans="2:47" ht="15.75" customHeight="1"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</row>
    <row r="633" spans="2:47" ht="15.75" customHeight="1"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</row>
    <row r="634" spans="2:47" ht="15.75" customHeight="1"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</row>
    <row r="635" spans="2:47" ht="15.75" customHeight="1"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</row>
    <row r="636" spans="2:47" ht="15.75" customHeight="1"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</row>
    <row r="637" spans="2:47" ht="15.75" customHeight="1"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</row>
    <row r="638" spans="2:47" ht="15.75" customHeight="1"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</row>
    <row r="639" spans="2:47" ht="15.75" customHeight="1"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</row>
    <row r="640" spans="2:47" ht="15.75" customHeight="1"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</row>
    <row r="641" spans="2:47" ht="15.75" customHeight="1"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</row>
    <row r="642" spans="2:47" ht="15.75" customHeight="1"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</row>
    <row r="643" spans="2:47" ht="15.75" customHeight="1"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</row>
    <row r="644" spans="2:47" ht="15.75" customHeight="1"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</row>
    <row r="645" spans="2:47" ht="15.75" customHeight="1"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</row>
    <row r="646" spans="2:47" ht="15.75" customHeight="1"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</row>
    <row r="647" spans="2:47" ht="15.75" customHeight="1"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</row>
    <row r="648" spans="2:47" ht="15.75" customHeight="1"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</row>
    <row r="649" spans="2:47" ht="15.75" customHeight="1"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</row>
    <row r="650" spans="2:47" ht="15.75" customHeight="1"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</row>
    <row r="651" spans="2:47" ht="15.75" customHeight="1"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</row>
    <row r="652" spans="2:47" ht="15.75" customHeight="1"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</row>
    <row r="653" spans="2:47" ht="15.75" customHeight="1"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</row>
    <row r="654" spans="2:47" ht="15.75" customHeight="1"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</row>
    <row r="655" spans="2:47" ht="15.75" customHeight="1"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</row>
    <row r="656" spans="2:47" ht="15.75" customHeight="1"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</row>
    <row r="657" spans="2:47" ht="15.75" customHeight="1"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</row>
    <row r="658" spans="2:47" ht="15.75" customHeight="1"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</row>
    <row r="659" spans="2:47" ht="15.75" customHeight="1"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</row>
    <row r="660" spans="2:47" ht="15.75" customHeight="1"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</row>
    <row r="661" spans="2:47" ht="15.75" customHeight="1"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</row>
    <row r="662" spans="2:47" ht="15.75" customHeight="1"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</row>
    <row r="663" spans="2:47" ht="15.75" customHeight="1"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</row>
    <row r="664" spans="2:47" ht="15.75" customHeight="1"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</row>
    <row r="665" spans="2:47" ht="15.75" customHeight="1"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</row>
    <row r="666" spans="2:47" ht="15.75" customHeight="1"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</row>
    <row r="667" spans="2:47" ht="15.75" customHeight="1"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</row>
    <row r="668" spans="2:47" ht="15.75" customHeight="1"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</row>
    <row r="669" spans="2:47" ht="15.75" customHeight="1"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</row>
    <row r="670" spans="2:47" ht="15.75" customHeight="1"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</row>
    <row r="671" spans="2:47" ht="15.75" customHeight="1"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</row>
    <row r="672" spans="2:47" ht="15.75" customHeight="1"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</row>
    <row r="673" spans="2:47" ht="15.75" customHeight="1"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</row>
    <row r="674" spans="2:47" ht="15.75" customHeight="1"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</row>
    <row r="675" spans="2:47" ht="15.75" customHeight="1"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</row>
    <row r="676" spans="2:47" ht="15.75" customHeight="1"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</row>
    <row r="677" spans="2:47" ht="15.75" customHeight="1"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</row>
    <row r="678" spans="2:47" ht="15.75" customHeight="1"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</row>
    <row r="679" spans="2:47" ht="15.75" customHeight="1"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</row>
    <row r="680" spans="2:47" ht="15.75" customHeight="1"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</row>
    <row r="681" spans="2:47" ht="15.75" customHeight="1"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</row>
    <row r="682" spans="2:47" ht="15.75" customHeight="1"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</row>
    <row r="683" spans="2:47" ht="15.75" customHeight="1"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</row>
    <row r="684" spans="2:47" ht="15.75" customHeight="1"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</row>
    <row r="685" spans="2:47" ht="15.75" customHeight="1"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</row>
    <row r="686" spans="2:47" ht="15.75" customHeight="1"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</row>
    <row r="687" spans="2:47" ht="15.75" customHeight="1"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</row>
    <row r="688" spans="2:47" ht="15.75" customHeight="1"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</row>
    <row r="689" spans="2:47" ht="15.75" customHeight="1"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</row>
    <row r="690" spans="2:47" ht="15.75" customHeight="1"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</row>
    <row r="691" spans="2:47" ht="15.75" customHeight="1"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</row>
    <row r="692" spans="2:47" ht="15.75" customHeight="1"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</row>
    <row r="693" spans="2:47" ht="15.75" customHeight="1"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</row>
    <row r="694" spans="2:47" ht="15.75" customHeight="1"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</row>
    <row r="695" spans="2:47" ht="15.75" customHeight="1"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</row>
    <row r="696" spans="2:47" ht="15.75" customHeight="1"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</row>
    <row r="697" spans="2:47" ht="15.75" customHeight="1"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</row>
    <row r="698" spans="2:47" ht="15.75" customHeight="1"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</row>
    <row r="699" spans="2:47" ht="15.75" customHeight="1"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</row>
    <row r="700" spans="2:47" ht="15.75" customHeight="1"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</row>
    <row r="701" spans="2:47" ht="15.75" customHeight="1"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</row>
    <row r="702" spans="2:47" ht="15.75" customHeight="1"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</row>
    <row r="703" spans="2:47" ht="15.75" customHeight="1"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</row>
    <row r="704" spans="2:47" ht="15.75" customHeight="1"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</row>
    <row r="705" spans="2:47" ht="15.75" customHeight="1"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</row>
    <row r="706" spans="2:47" ht="15.75" customHeight="1"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</row>
    <row r="707" spans="2:47" ht="15.75" customHeight="1"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</row>
    <row r="708" spans="2:47" ht="15.75" customHeight="1"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</row>
    <row r="709" spans="2:47" ht="15.75" customHeight="1"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</row>
    <row r="710" spans="2:47" ht="15.75" customHeight="1"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</row>
    <row r="711" spans="2:47" ht="15.75" customHeight="1"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</row>
    <row r="712" spans="2:47" ht="15.75" customHeight="1"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</row>
    <row r="713" spans="2:47" ht="15.75" customHeight="1"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</row>
    <row r="714" spans="2:47" ht="15.75" customHeight="1"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</row>
    <row r="715" spans="2:47" ht="15.75" customHeight="1"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</row>
    <row r="716" spans="2:47" ht="15.75" customHeight="1"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</row>
    <row r="717" spans="2:47" ht="15.75" customHeight="1"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</row>
    <row r="718" spans="2:47" ht="15.75" customHeight="1"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</row>
    <row r="719" spans="2:47" ht="15.75" customHeight="1"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</row>
    <row r="720" spans="2:47" ht="15.75" customHeight="1"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</row>
    <row r="721" spans="2:47" ht="15.75" customHeight="1"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</row>
    <row r="722" spans="2:47" ht="15.75" customHeight="1"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</row>
    <row r="723" spans="2:47" ht="15.75" customHeight="1"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</row>
    <row r="724" spans="2:47" ht="15.75" customHeight="1"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</row>
    <row r="725" spans="2:47" ht="15.75" customHeight="1"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</row>
    <row r="726" spans="2:47" ht="15.75" customHeight="1"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</row>
    <row r="727" spans="2:47" ht="15.75" customHeight="1"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</row>
    <row r="728" spans="2:47" ht="15.75" customHeight="1"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</row>
    <row r="729" spans="2:47" ht="15.75" customHeight="1"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</row>
    <row r="730" spans="2:47" ht="15.75" customHeight="1"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</row>
    <row r="731" spans="2:47" ht="15.75" customHeight="1"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</row>
    <row r="732" spans="2:47" ht="15.75" customHeight="1"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</row>
    <row r="733" spans="2:47" ht="15.75" customHeight="1"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</row>
    <row r="734" spans="2:47" ht="15.75" customHeight="1"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</row>
    <row r="735" spans="2:47" ht="15.75" customHeight="1"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</row>
    <row r="736" spans="2:47" ht="15.75" customHeight="1"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</row>
    <row r="737" spans="2:47" ht="15.75" customHeight="1"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</row>
    <row r="738" spans="2:47" ht="15.75" customHeight="1"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</row>
    <row r="739" spans="2:47" ht="15.75" customHeight="1"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</row>
    <row r="740" spans="2:47" ht="15.75" customHeight="1"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</row>
    <row r="741" spans="2:47" ht="15.75" customHeight="1"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</row>
    <row r="742" spans="2:47" ht="15.75" customHeight="1"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</row>
    <row r="743" spans="2:47" ht="15.75" customHeight="1"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</row>
    <row r="744" spans="2:47" ht="15.75" customHeight="1"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</row>
    <row r="745" spans="2:47" ht="15.75" customHeight="1"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</row>
    <row r="746" spans="2:47" ht="15.75" customHeight="1"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</row>
    <row r="747" spans="2:47" ht="15.75" customHeight="1"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</row>
    <row r="748" spans="2:47" ht="15.75" customHeight="1"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</row>
    <row r="749" spans="2:47" ht="15.75" customHeight="1"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</row>
    <row r="750" spans="2:47" ht="15.75" customHeight="1"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</row>
    <row r="751" spans="2:47" ht="15.75" customHeight="1"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</row>
    <row r="752" spans="2:47" ht="15.75" customHeight="1"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</row>
    <row r="753" spans="2:47" ht="15.75" customHeight="1"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</row>
    <row r="754" spans="2:47" ht="15.75" customHeight="1"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</row>
    <row r="755" spans="2:47" ht="15.75" customHeight="1"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</row>
    <row r="756" spans="2:47" ht="15.75" customHeight="1"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</row>
    <row r="757" spans="2:47" ht="15.75" customHeight="1"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</row>
    <row r="758" spans="2:47" ht="15.75" customHeight="1"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</row>
    <row r="759" spans="2:47" ht="15.75" customHeight="1"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</row>
    <row r="760" spans="2:47" ht="15.75" customHeight="1"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</row>
    <row r="761" spans="2:47" ht="15.75" customHeight="1"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</row>
    <row r="762" spans="2:47" ht="15.75" customHeight="1"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</row>
    <row r="763" spans="2:47" ht="15.75" customHeight="1"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</row>
    <row r="764" spans="2:47" ht="15.75" customHeight="1"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</row>
    <row r="765" spans="2:47" ht="15.75" customHeight="1"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</row>
    <row r="766" spans="2:47" ht="15.75" customHeight="1"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</row>
    <row r="767" spans="2:47" ht="15.75" customHeight="1"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</row>
    <row r="768" spans="2:47" ht="15.75" customHeight="1"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</row>
    <row r="769" spans="2:47" ht="15.75" customHeight="1"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</row>
    <row r="770" spans="2:47" ht="15.75" customHeight="1"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</row>
    <row r="771" spans="2:47" ht="15.75" customHeight="1"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</row>
    <row r="772" spans="2:47" ht="15.75" customHeight="1"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</row>
    <row r="773" spans="2:47" ht="15.75" customHeight="1"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</row>
    <row r="774" spans="2:47" ht="15.75" customHeight="1"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</row>
    <row r="775" spans="2:47" ht="15.75" customHeight="1"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</row>
    <row r="776" spans="2:47" ht="15.75" customHeight="1"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</row>
    <row r="777" spans="2:47" ht="15.75" customHeight="1"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</row>
    <row r="778" spans="2:47" ht="15.75" customHeight="1"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</row>
    <row r="779" spans="2:47" ht="15.75" customHeight="1"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</row>
    <row r="780" spans="2:47" ht="15.75" customHeight="1"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</row>
    <row r="781" spans="2:47" ht="15.75" customHeight="1"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</row>
    <row r="782" spans="2:47" ht="15.75" customHeight="1"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</row>
    <row r="783" spans="2:47" ht="15.75" customHeight="1"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</row>
    <row r="784" spans="2:47" ht="15.75" customHeight="1"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</row>
    <row r="785" spans="2:47" ht="15.75" customHeight="1"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</row>
    <row r="786" spans="2:47" ht="15.75" customHeight="1"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</row>
    <row r="787" spans="2:47" ht="15.75" customHeight="1"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</row>
    <row r="788" spans="2:47" ht="15.75" customHeight="1"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</row>
    <row r="789" spans="2:47" ht="15.75" customHeight="1"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</row>
    <row r="790" spans="2:47" ht="15.75" customHeight="1"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</row>
    <row r="791" spans="2:47" ht="15.75" customHeight="1"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</row>
    <row r="792" spans="2:47" ht="15.75" customHeight="1"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</row>
    <row r="793" spans="2:47" ht="15.75" customHeight="1"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</row>
    <row r="794" spans="2:47" ht="15.75" customHeight="1"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</row>
    <row r="795" spans="2:47" ht="15.75" customHeight="1"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</row>
    <row r="796" spans="2:47" ht="15.75" customHeight="1"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</row>
    <row r="797" spans="2:47" ht="15.75" customHeight="1"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</row>
    <row r="798" spans="2:47" ht="15.75" customHeight="1"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</row>
    <row r="799" spans="2:47" ht="15.75" customHeight="1"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</row>
    <row r="800" spans="2:47" ht="15.75" customHeight="1"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</row>
    <row r="801" spans="2:47" ht="15.75" customHeight="1"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</row>
    <row r="802" spans="2:47" ht="15.75" customHeight="1"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</row>
    <row r="803" spans="2:47" ht="15.75" customHeight="1"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</row>
    <row r="804" spans="2:47" ht="15.75" customHeight="1"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</row>
    <row r="805" spans="2:47" ht="15.75" customHeight="1"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</row>
    <row r="806" spans="2:47" ht="15.75" customHeight="1"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</row>
    <row r="807" spans="2:47" ht="15.75" customHeight="1"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</row>
    <row r="808" spans="2:47" ht="15.75" customHeight="1"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</row>
    <row r="809" spans="2:47" ht="15.75" customHeight="1"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</row>
    <row r="810" spans="2:47" ht="15.75" customHeight="1"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</row>
    <row r="811" spans="2:47" ht="15.75" customHeight="1"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</row>
    <row r="812" spans="2:47" ht="15.75" customHeight="1"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</row>
    <row r="813" spans="2:47" ht="15.75" customHeight="1"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</row>
    <row r="814" spans="2:47" ht="15.75" customHeight="1"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</row>
    <row r="815" spans="2:47" ht="15.75" customHeight="1"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</row>
    <row r="816" spans="2:47" ht="15.75" customHeight="1"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</row>
    <row r="817" spans="2:47" ht="15.75" customHeight="1"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</row>
    <row r="818" spans="2:47" ht="15.75" customHeight="1"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</row>
    <row r="819" spans="2:47" ht="15.75" customHeight="1"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</row>
    <row r="820" spans="2:47" ht="15.75" customHeight="1"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</row>
    <row r="821" spans="2:47" ht="15.75" customHeight="1"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</row>
    <row r="822" spans="2:47" ht="15.75" customHeight="1"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</row>
    <row r="823" spans="2:47" ht="15.75" customHeight="1"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</row>
    <row r="824" spans="2:47" ht="15.75" customHeight="1"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</row>
    <row r="825" spans="2:47" ht="15.75" customHeight="1"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</row>
    <row r="826" spans="2:47" ht="15.75" customHeight="1"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</row>
    <row r="827" spans="2:47" ht="15.75" customHeight="1"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</row>
  </sheetData>
  <mergeCells count="9">
    <mergeCell ref="AJ5:AJ6"/>
    <mergeCell ref="AK5:AK6"/>
    <mergeCell ref="AL5:AL6"/>
    <mergeCell ref="B5:B6"/>
    <mergeCell ref="C5:N5"/>
    <mergeCell ref="P5:P6"/>
    <mergeCell ref="Q5:Q6"/>
    <mergeCell ref="U5:U6"/>
    <mergeCell ref="W5:A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Ambos casos</vt:lpstr>
      <vt:lpstr>Overview</vt:lpstr>
      <vt:lpstr>2023</vt:lpstr>
      <vt:lpstr>Año 2023 - meses- 1r scenario</vt:lpstr>
      <vt:lpstr>MK -CEL-2023- 1r Scenario</vt:lpstr>
      <vt:lpstr>Inputs</vt:lpstr>
      <vt:lpstr>MK -Elims-2023- 1r scenario</vt:lpstr>
      <vt:lpstr>Total-Clínica</vt:lpstr>
      <vt:lpstr>Clínicas - 1r scenario</vt:lpstr>
      <vt:lpstr>Hoja3</vt:lpstr>
      <vt:lpstr>Año 2023 - meses- 2o scenar</vt:lpstr>
      <vt:lpstr>MK-Elims-2023- 2o Scenario</vt:lpstr>
      <vt:lpstr>Clínicas - 2o scenario</vt:lpstr>
      <vt:lpstr>Datos- Cliente 2022</vt:lpstr>
      <vt:lpstr>Seasonality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Nores</dc:creator>
  <cp:lastModifiedBy>Marta Nores</cp:lastModifiedBy>
  <dcterms:created xsi:type="dcterms:W3CDTF">2022-07-10T21:42:11Z</dcterms:created>
  <dcterms:modified xsi:type="dcterms:W3CDTF">2024-11-15T18:35:16Z</dcterms:modified>
</cp:coreProperties>
</file>