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PROYECTOS\TERCER PARCIAL\"/>
    </mc:Choice>
  </mc:AlternateContent>
  <xr:revisionPtr revIDLastSave="0" documentId="13_ncr:1_{0C948768-FC46-4334-AE93-D2C2C788FA33}" xr6:coauthVersionLast="38" xr6:coauthVersionMax="38" xr10:uidLastSave="{00000000-0000-0000-0000-000000000000}"/>
  <bookViews>
    <workbookView xWindow="0" yWindow="0" windowWidth="20490" windowHeight="7485" tabRatio="835" firstSheet="1" activeTab="8" xr2:uid="{726C3C73-6A6A-462C-9161-98539B07D858}"/>
  </bookViews>
  <sheets>
    <sheet name="BG-INICIAL" sheetId="1" r:id="rId1"/>
    <sheet name="VENTAS" sheetId="3" r:id="rId2"/>
    <sheet name="DOCSCOBRADOS" sheetId="4" r:id="rId3"/>
    <sheet name="DOCSPORCOBRAR" sheetId="5" r:id="rId4"/>
    <sheet name="PRODUCCIÓN" sheetId="2" r:id="rId5"/>
    <sheet name="GASTOS-ADMIN" sheetId="6" r:id="rId6"/>
    <sheet name="EFECTIVO" sheetId="8" r:id="rId7"/>
    <sheet name="BG-FINAL" sheetId="12" r:id="rId8"/>
    <sheet name="EDO DE RESULTADOS" sheetId="13" r:id="rId9"/>
    <sheet name="Hoja2" sheetId="14" r:id="rId10"/>
  </sheets>
  <calcPr calcId="191029" iterateCount="18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3" l="1"/>
  <c r="B11" i="13"/>
  <c r="F8" i="6"/>
  <c r="B25" i="2"/>
  <c r="B17" i="2"/>
  <c r="F6" i="3"/>
  <c r="B7" i="13"/>
  <c r="B5" i="13"/>
  <c r="F13" i="8"/>
  <c r="F11" i="8"/>
  <c r="E11" i="8"/>
  <c r="D11" i="8"/>
  <c r="C11" i="8"/>
  <c r="C7" i="6"/>
  <c r="D7" i="6"/>
  <c r="E7" i="6"/>
  <c r="F7" i="6"/>
  <c r="G19" i="12" l="1"/>
  <c r="H20" i="12"/>
  <c r="C28" i="12"/>
  <c r="B5" i="1"/>
  <c r="B13" i="12"/>
  <c r="B5" i="12"/>
  <c r="C9" i="12"/>
  <c r="B23" i="12"/>
  <c r="D6" i="8"/>
  <c r="E6" i="8" s="1"/>
  <c r="F6" i="8" s="1"/>
  <c r="C6" i="8"/>
  <c r="F3" i="6"/>
  <c r="C5" i="6"/>
  <c r="D5" i="6" s="1"/>
  <c r="E5" i="6" s="1"/>
  <c r="F5" i="6" s="1"/>
  <c r="B5" i="6"/>
  <c r="D6" i="6"/>
  <c r="E6" i="6"/>
  <c r="F6" i="6" s="1"/>
  <c r="C6" i="6"/>
  <c r="D3" i="6"/>
  <c r="E3" i="6" s="1"/>
  <c r="C3" i="6"/>
  <c r="E7" i="5"/>
  <c r="D7" i="5"/>
  <c r="C7" i="5"/>
  <c r="B6" i="5"/>
  <c r="C6" i="5"/>
  <c r="E7" i="4"/>
  <c r="D7" i="4"/>
  <c r="C7" i="4"/>
  <c r="D6" i="5"/>
  <c r="E6" i="5"/>
  <c r="C6" i="3"/>
  <c r="D6" i="3"/>
  <c r="E6" i="3"/>
  <c r="B6" i="3"/>
  <c r="B15" i="12" l="1"/>
  <c r="B14" i="12"/>
  <c r="C16" i="12" s="1"/>
  <c r="B6" i="12"/>
  <c r="B24" i="12"/>
  <c r="B21" i="12"/>
  <c r="C26" i="12" s="1"/>
  <c r="B22" i="12"/>
  <c r="B25" i="12"/>
  <c r="E31" i="2"/>
  <c r="D31" i="2"/>
  <c r="F9" i="8"/>
  <c r="E9" i="8"/>
  <c r="B8" i="2"/>
  <c r="D9" i="8"/>
  <c r="C9" i="8"/>
  <c r="D3" i="8" s="1"/>
  <c r="E3" i="8" l="1"/>
  <c r="F10" i="8"/>
  <c r="C9" i="6"/>
  <c r="F3" i="8" l="1"/>
  <c r="E5" i="5"/>
  <c r="D5" i="5"/>
  <c r="C5" i="5"/>
  <c r="B5" i="5"/>
  <c r="F4" i="5"/>
  <c r="F3" i="5"/>
  <c r="D6" i="4"/>
  <c r="E5" i="4"/>
  <c r="E6" i="4" s="1"/>
  <c r="D5" i="4"/>
  <c r="C5" i="4"/>
  <c r="C6" i="4" s="1"/>
  <c r="B5" i="4"/>
  <c r="B6" i="4" s="1"/>
  <c r="F4" i="4"/>
  <c r="F3" i="4"/>
  <c r="E5" i="3"/>
  <c r="D5" i="3"/>
  <c r="C5" i="3"/>
  <c r="B5" i="3"/>
  <c r="F4" i="3"/>
  <c r="F3" i="3"/>
  <c r="B9" i="2"/>
  <c r="E38" i="2"/>
  <c r="D38" i="2"/>
  <c r="C38" i="2"/>
  <c r="B38" i="2"/>
  <c r="E28" i="2"/>
  <c r="D28" i="2"/>
  <c r="C28" i="2"/>
  <c r="C29" i="2" s="1"/>
  <c r="B28" i="2"/>
  <c r="E27" i="2"/>
  <c r="D27" i="2"/>
  <c r="E26" i="2"/>
  <c r="E29" i="2" s="1"/>
  <c r="D26" i="2"/>
  <c r="D29" i="2" s="1"/>
  <c r="C26" i="2"/>
  <c r="B26" i="2"/>
  <c r="B29" i="2" s="1"/>
  <c r="E25" i="2"/>
  <c r="D25" i="2"/>
  <c r="C25" i="2"/>
  <c r="E16" i="2"/>
  <c r="D16" i="2"/>
  <c r="C16" i="2"/>
  <c r="B16" i="2"/>
  <c r="E15" i="2"/>
  <c r="E17" i="2" s="1"/>
  <c r="D15" i="2"/>
  <c r="D17" i="2" s="1"/>
  <c r="C15" i="2"/>
  <c r="C17" i="2" s="1"/>
  <c r="B15" i="2"/>
  <c r="B31" i="2" s="1"/>
  <c r="F31" i="2" s="1"/>
  <c r="E7" i="2"/>
  <c r="E8" i="2" s="1"/>
  <c r="E9" i="2" s="1"/>
  <c r="D7" i="2"/>
  <c r="D8" i="2" s="1"/>
  <c r="D9" i="2" s="1"/>
  <c r="C7" i="2"/>
  <c r="C8" i="2" s="1"/>
  <c r="C9" i="2" s="1"/>
  <c r="B7" i="2"/>
  <c r="F6" i="5" l="1"/>
  <c r="B32" i="2"/>
  <c r="F32" i="2" s="1"/>
  <c r="F5" i="5"/>
  <c r="F6" i="4"/>
  <c r="F5" i="4"/>
  <c r="F5" i="3"/>
  <c r="D32" i="2"/>
  <c r="E32" i="2"/>
  <c r="C31" i="2"/>
  <c r="C32" i="2" s="1"/>
  <c r="C23" i="1"/>
  <c r="F8" i="5" l="1"/>
  <c r="C14" i="1"/>
  <c r="C7" i="1" l="1"/>
  <c r="C25" i="1" s="1"/>
</calcChain>
</file>

<file path=xl/sharedStrings.xml><?xml version="1.0" encoding="utf-8"?>
<sst xmlns="http://schemas.openxmlformats.org/spreadsheetml/2006/main" count="162" uniqueCount="102">
  <si>
    <t>Quiva S.A. de C.V.</t>
  </si>
  <si>
    <t xml:space="preserve">ACTIVO </t>
  </si>
  <si>
    <t>Caja</t>
  </si>
  <si>
    <t>Mobiliario y equipo de oficina</t>
  </si>
  <si>
    <t>Equipo de cómputo</t>
  </si>
  <si>
    <t>PASIVO</t>
  </si>
  <si>
    <t>CAPITAL CONTABLE</t>
  </si>
  <si>
    <t>Capital social</t>
  </si>
  <si>
    <t>Mercancías</t>
  </si>
  <si>
    <t>Documentos por cobrar</t>
  </si>
  <si>
    <t>TOTAL Capital Circulante</t>
  </si>
  <si>
    <t>FIJO</t>
  </si>
  <si>
    <t>CIRCULANTE</t>
  </si>
  <si>
    <t>Edificios</t>
  </si>
  <si>
    <t>TOTAL Capital Fijo</t>
  </si>
  <si>
    <t>DIFERIDO</t>
  </si>
  <si>
    <t>Gastos de organización</t>
  </si>
  <si>
    <t>Papelería y útiles</t>
  </si>
  <si>
    <t>Propaganda y publicidad</t>
  </si>
  <si>
    <t>Primas de seguros</t>
  </si>
  <si>
    <t xml:space="preserve">TOTAL Capital Diferido </t>
  </si>
  <si>
    <t>Utilidad/Pérdida neta del ejercicio</t>
  </si>
  <si>
    <t>TOTAL CAPITAL</t>
  </si>
  <si>
    <t>BALANCE GENERAL INICIAL AL 31 DE JULIO DE 2018</t>
  </si>
  <si>
    <t>PRESUPUESTO DE PRODUCCIÓN</t>
  </si>
  <si>
    <t>1 (AGOSTO)</t>
  </si>
  <si>
    <t>2 (SEPTIEMBRE)</t>
  </si>
  <si>
    <t>3 (OCTUBRE)</t>
  </si>
  <si>
    <t>4 (NOVIEMBRE)</t>
  </si>
  <si>
    <t>Q (Cantidad producida)</t>
  </si>
  <si>
    <t>Costo Unitario</t>
  </si>
  <si>
    <t>Gasto</t>
  </si>
  <si>
    <t>Margen de ganancia</t>
  </si>
  <si>
    <t>IVA 16%</t>
  </si>
  <si>
    <t>Precio Unitario</t>
  </si>
  <si>
    <t>Recursos Esperados</t>
  </si>
  <si>
    <t>Equipos de cómputo (Dividido por mes)</t>
  </si>
  <si>
    <t>Tractor de prueba (Renta)</t>
  </si>
  <si>
    <t>FPGA NEXYS 4DDR</t>
  </si>
  <si>
    <t>Dron Militar (Multiplicado por cantidad producida)</t>
  </si>
  <si>
    <t>Herramientas de ensamblaje</t>
  </si>
  <si>
    <t>Insumos TOTALES</t>
  </si>
  <si>
    <t>4 Desarrolladores de Software</t>
  </si>
  <si>
    <t>3 Ing  en ensamblaje  de Arquitectura</t>
  </si>
  <si>
    <t>1 Líder de proyecto</t>
  </si>
  <si>
    <t>2 Supervisores</t>
  </si>
  <si>
    <t xml:space="preserve">2 Ing especialistas en Embebidos </t>
  </si>
  <si>
    <t xml:space="preserve">1 Encargado de la primera innovación </t>
  </si>
  <si>
    <t xml:space="preserve">2 Encargado de la segunda innovación </t>
  </si>
  <si>
    <t>Mano de obra directa TOTALES</t>
  </si>
  <si>
    <t>Depreciación equipo de cómputo</t>
  </si>
  <si>
    <t>Depreciación FPGA</t>
  </si>
  <si>
    <t>Herramienta de ensamblaje</t>
  </si>
  <si>
    <t>Depreciación TOTAL</t>
  </si>
  <si>
    <t>COSTO DE PRODUCCIÓN</t>
  </si>
  <si>
    <t>GANACIA O PÉRDIDA POR PERIODO</t>
  </si>
  <si>
    <t>Inventario materia prima</t>
  </si>
  <si>
    <t>Inventario en proceso</t>
  </si>
  <si>
    <t>Inventario de productos terminados</t>
  </si>
  <si>
    <t>TOTALES</t>
  </si>
  <si>
    <t>PRESUPUESTO DE VENTAS</t>
  </si>
  <si>
    <t>TOTAL</t>
  </si>
  <si>
    <t>Cantidad</t>
  </si>
  <si>
    <t>Total Ventas</t>
  </si>
  <si>
    <t>Total Ventas Cobradas</t>
  </si>
  <si>
    <t>PRESUPUESTO DE DOCUMENTOS COBRADOS</t>
  </si>
  <si>
    <t>PRESUPUESTO DE DOCUMENTOS POR COBRAR</t>
  </si>
  <si>
    <t>PRESUPUESTO DE GASTOS ADMINISTRATIVOS</t>
  </si>
  <si>
    <t>CONCEPTO</t>
  </si>
  <si>
    <t>Papelería y útiles pagados por anticipado</t>
  </si>
  <si>
    <t>Luz, Predio y Agua</t>
  </si>
  <si>
    <t>Equipo de Cómputo (7 EQUIPOS HP PAVILION corei3)</t>
  </si>
  <si>
    <t>PRESUPUESTO DE EFECTIVO</t>
  </si>
  <si>
    <t>Saldo Inicial</t>
  </si>
  <si>
    <t>Documentos cobrados</t>
  </si>
  <si>
    <t>Depreciación</t>
  </si>
  <si>
    <t xml:space="preserve">Presupuesto de ventas </t>
  </si>
  <si>
    <t>TOTAL POR PERIODO</t>
  </si>
  <si>
    <t>FLUJO DE EFECTIVO TOTAL AL CONCLUIR OPREACIONES (4 MESES)</t>
  </si>
  <si>
    <t>TOTAL DE DOCUMENTOS POR COBRAR</t>
  </si>
  <si>
    <t>Depreciación total en equipos de computo durante el periodo</t>
  </si>
  <si>
    <t>Depreciación de los equipos de cómputo a 5 años y dividido en los meses de cada año</t>
  </si>
  <si>
    <t>BALANCE GENERAL FINAL AL 30  DE NOVIEMBRE DE 2018</t>
  </si>
  <si>
    <t>LEYENDAAAAA</t>
  </si>
  <si>
    <t>Presupuesto de producción</t>
  </si>
  <si>
    <t>Banco</t>
  </si>
  <si>
    <t>Total Ventas por Cobrar</t>
  </si>
  <si>
    <t>Sueldos</t>
  </si>
  <si>
    <t>Gastos de Ventas (Publicidad)</t>
  </si>
  <si>
    <t>PERIODO 0</t>
  </si>
  <si>
    <t>SUMA EL ACTIVO</t>
  </si>
  <si>
    <t>ESTADO DE RESULTADOS DEL 1 DE AGOSTO AL 30 DE NOVIEMBRE</t>
  </si>
  <si>
    <t>Ventas</t>
  </si>
  <si>
    <t>Costo de ventas</t>
  </si>
  <si>
    <t>Utilidad o pérdida bruta</t>
  </si>
  <si>
    <t>Gastos generales</t>
  </si>
  <si>
    <t>Gastos de venta</t>
  </si>
  <si>
    <t>Gastos de administración</t>
  </si>
  <si>
    <t>Otros ingresos y gastos neto</t>
  </si>
  <si>
    <t>Utilidad de operación (EBIT)</t>
  </si>
  <si>
    <t>Utilidad neta</t>
  </si>
  <si>
    <t>TOTAL AL CONCLUIR EL PERIODO DE 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</si>
</sst>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0" fontId="0" fillId="0" borderId="0" xfId="0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vertical="center"/>
    </xf>
    <xf numFmtId="44" fontId="2" fillId="0" borderId="0" xfId="1" applyFont="1"/>
    <xf numFmtId="44" fontId="0" fillId="0" borderId="0" xfId="1" applyFont="1" applyAlignment="1">
      <alignment horizontal="right" vertical="top"/>
    </xf>
    <xf numFmtId="44" fontId="2" fillId="0" borderId="0" xfId="0" applyNumberFormat="1" applyFont="1"/>
    <xf numFmtId="0" fontId="3" fillId="0" borderId="0" xfId="0" applyFont="1"/>
    <xf numFmtId="44" fontId="0" fillId="2" borderId="0" xfId="0" applyNumberFormat="1" applyFill="1"/>
    <xf numFmtId="44" fontId="3" fillId="0" borderId="0" xfId="0" applyNumberFormat="1" applyFont="1" applyFill="1"/>
    <xf numFmtId="44" fontId="0" fillId="3" borderId="1" xfId="0" applyNumberFormat="1" applyFill="1" applyBorder="1"/>
    <xf numFmtId="44" fontId="0" fillId="0" borderId="0" xfId="0" applyNumberFormat="1" applyFill="1"/>
    <xf numFmtId="0" fontId="0" fillId="0" borderId="0" xfId="0" applyFont="1" applyAlignment="1">
      <alignment horizontal="center"/>
    </xf>
    <xf numFmtId="44" fontId="1" fillId="0" borderId="0" xfId="1" applyFont="1"/>
    <xf numFmtId="44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2" fillId="2" borderId="0" xfId="1" applyFont="1" applyFill="1"/>
    <xf numFmtId="4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BAD5-66D9-4CF4-AFF9-FBD593C5ECFC}">
  <dimension ref="A1:L25"/>
  <sheetViews>
    <sheetView workbookViewId="0">
      <selection activeCell="A25" sqref="A25"/>
    </sheetView>
  </sheetViews>
  <sheetFormatPr baseColWidth="10" defaultRowHeight="15" x14ac:dyDescent="0.25"/>
  <cols>
    <col min="1" max="1" width="32.140625" customWidth="1"/>
    <col min="2" max="2" width="14.140625" bestFit="1" customWidth="1"/>
    <col min="3" max="3" width="15.140625" bestFit="1" customWidth="1"/>
    <col min="6" max="6" width="33.140625" customWidth="1"/>
    <col min="7" max="8" width="15.140625" bestFit="1" customWidth="1"/>
  </cols>
  <sheetData>
    <row r="1" spans="1:12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2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1" t="s">
        <v>1</v>
      </c>
      <c r="F3" s="2" t="s">
        <v>5</v>
      </c>
    </row>
    <row r="4" spans="1:12" x14ac:dyDescent="0.25">
      <c r="A4" s="2" t="s">
        <v>12</v>
      </c>
      <c r="F4" s="2"/>
    </row>
    <row r="5" spans="1:12" x14ac:dyDescent="0.25">
      <c r="A5" t="s">
        <v>2</v>
      </c>
      <c r="B5" s="3">
        <f>G15-C14-B6-75108</f>
        <v>675216.24000000022</v>
      </c>
      <c r="G5" s="3"/>
    </row>
    <row r="6" spans="1:12" x14ac:dyDescent="0.25">
      <c r="A6" t="s">
        <v>85</v>
      </c>
      <c r="B6" s="3">
        <v>1500000</v>
      </c>
      <c r="G6" s="3"/>
    </row>
    <row r="7" spans="1:12" x14ac:dyDescent="0.25">
      <c r="A7" t="s">
        <v>10</v>
      </c>
      <c r="B7" s="3"/>
      <c r="C7" s="3">
        <f>SUM(B5:B7)</f>
        <v>2175216.2400000002</v>
      </c>
      <c r="G7" s="3"/>
    </row>
    <row r="8" spans="1:12" x14ac:dyDescent="0.25">
      <c r="G8" s="3"/>
    </row>
    <row r="9" spans="1:12" x14ac:dyDescent="0.25">
      <c r="G9" s="3"/>
    </row>
    <row r="10" spans="1:12" x14ac:dyDescent="0.25">
      <c r="A10" s="2" t="s">
        <v>11</v>
      </c>
      <c r="B10" s="3"/>
    </row>
    <row r="11" spans="1:12" x14ac:dyDescent="0.25">
      <c r="A11" t="s">
        <v>13</v>
      </c>
      <c r="B11" s="3">
        <v>6218082.7599999998</v>
      </c>
    </row>
    <row r="12" spans="1:12" x14ac:dyDescent="0.25">
      <c r="A12" t="s">
        <v>3</v>
      </c>
      <c r="B12" s="3">
        <v>1018811</v>
      </c>
      <c r="C12" s="2"/>
    </row>
    <row r="13" spans="1:12" x14ac:dyDescent="0.25">
      <c r="A13" s="4" t="s">
        <v>4</v>
      </c>
      <c r="B13" s="3">
        <v>512782</v>
      </c>
    </row>
    <row r="14" spans="1:12" x14ac:dyDescent="0.25">
      <c r="A14" s="4" t="s">
        <v>14</v>
      </c>
      <c r="C14" s="5">
        <f>SUM(B11:B13)</f>
        <v>7749675.7599999998</v>
      </c>
      <c r="F14" s="2" t="s">
        <v>6</v>
      </c>
      <c r="G14" s="3"/>
    </row>
    <row r="15" spans="1:12" x14ac:dyDescent="0.25">
      <c r="F15" t="s">
        <v>7</v>
      </c>
      <c r="G15" s="3">
        <v>10000000</v>
      </c>
    </row>
    <row r="16" spans="1:12" x14ac:dyDescent="0.25">
      <c r="F16" t="s">
        <v>21</v>
      </c>
      <c r="G16" s="3"/>
    </row>
    <row r="17" spans="1:8" x14ac:dyDescent="0.25">
      <c r="A17" s="2" t="s">
        <v>15</v>
      </c>
      <c r="F17" t="s">
        <v>22</v>
      </c>
      <c r="G17" s="3"/>
      <c r="H17" s="3">
        <v>10000000</v>
      </c>
    </row>
    <row r="18" spans="1:8" x14ac:dyDescent="0.25">
      <c r="A18" t="s">
        <v>16</v>
      </c>
      <c r="B18" s="3">
        <v>32468</v>
      </c>
    </row>
    <row r="19" spans="1:8" x14ac:dyDescent="0.25">
      <c r="A19" t="s">
        <v>17</v>
      </c>
      <c r="B19" s="3">
        <v>12000</v>
      </c>
    </row>
    <row r="20" spans="1:8" x14ac:dyDescent="0.25">
      <c r="A20" t="s">
        <v>18</v>
      </c>
      <c r="B20" s="3">
        <v>9200</v>
      </c>
    </row>
    <row r="21" spans="1:8" x14ac:dyDescent="0.25">
      <c r="A21" t="s">
        <v>19</v>
      </c>
      <c r="B21" s="3">
        <v>2400</v>
      </c>
    </row>
    <row r="22" spans="1:8" x14ac:dyDescent="0.25">
      <c r="A22" t="s">
        <v>70</v>
      </c>
      <c r="B22" s="3">
        <v>19040</v>
      </c>
    </row>
    <row r="23" spans="1:8" x14ac:dyDescent="0.25">
      <c r="A23" t="s">
        <v>20</v>
      </c>
      <c r="B23" s="3"/>
      <c r="C23" s="5">
        <f>SUM(B18:B22)</f>
        <v>75108</v>
      </c>
    </row>
    <row r="25" spans="1:8" x14ac:dyDescent="0.25">
      <c r="A25" s="2" t="s">
        <v>90</v>
      </c>
      <c r="C25" s="5">
        <f>SUM(C7,C14,C23)</f>
        <v>10000000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5256-7FD4-438B-A9DA-B3E1EC1235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AE5C-52A9-4AD7-B76A-1346696D4563}">
  <dimension ref="A1:I6"/>
  <sheetViews>
    <sheetView workbookViewId="0">
      <selection activeCell="F5" sqref="F5"/>
    </sheetView>
  </sheetViews>
  <sheetFormatPr baseColWidth="10" defaultRowHeight="15" x14ac:dyDescent="0.25"/>
  <cols>
    <col min="1" max="1" width="20.710937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</cols>
  <sheetData>
    <row r="1" spans="1:9" x14ac:dyDescent="0.25">
      <c r="A1" s="23" t="s">
        <v>60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B2" s="8" t="s">
        <v>25</v>
      </c>
      <c r="C2" s="8" t="s">
        <v>26</v>
      </c>
      <c r="D2" s="8" t="s">
        <v>27</v>
      </c>
      <c r="E2" s="8" t="s">
        <v>28</v>
      </c>
      <c r="F2" s="8" t="s">
        <v>61</v>
      </c>
    </row>
    <row r="3" spans="1:9" x14ac:dyDescent="0.25">
      <c r="A3" t="s">
        <v>62</v>
      </c>
      <c r="B3" s="9">
        <v>30</v>
      </c>
      <c r="C3" s="9">
        <v>41</v>
      </c>
      <c r="D3" s="9">
        <v>69</v>
      </c>
      <c r="E3" s="9">
        <v>87</v>
      </c>
      <c r="F3">
        <f>SUM(B3:E3)</f>
        <v>227</v>
      </c>
    </row>
    <row r="4" spans="1:9" x14ac:dyDescent="0.25">
      <c r="A4" t="s">
        <v>34</v>
      </c>
      <c r="B4" s="10">
        <v>15451.2</v>
      </c>
      <c r="C4" s="10">
        <v>15451.2</v>
      </c>
      <c r="D4" s="10">
        <v>15451.2</v>
      </c>
      <c r="E4" s="10">
        <v>15451.2</v>
      </c>
      <c r="F4" s="5">
        <f t="shared" ref="F4:F6" si="0">SUM(B4:E4)</f>
        <v>61804.800000000003</v>
      </c>
    </row>
    <row r="5" spans="1:9" x14ac:dyDescent="0.25">
      <c r="A5" t="s">
        <v>63</v>
      </c>
      <c r="B5" s="3">
        <f>B3*B4</f>
        <v>463536</v>
      </c>
      <c r="C5" s="3">
        <f>C3*C4</f>
        <v>633499.20000000007</v>
      </c>
      <c r="D5" s="3">
        <f>D3*D4</f>
        <v>1066132.8</v>
      </c>
      <c r="E5" s="3">
        <f>E3*E4</f>
        <v>1344254.4000000001</v>
      </c>
      <c r="F5" s="5">
        <f t="shared" si="0"/>
        <v>3507422.4000000004</v>
      </c>
      <c r="H5" s="14"/>
    </row>
    <row r="6" spans="1:9" x14ac:dyDescent="0.25">
      <c r="A6" t="s">
        <v>64</v>
      </c>
      <c r="B6" s="5">
        <f>B5*(0.4)</f>
        <v>185414.40000000002</v>
      </c>
      <c r="C6" s="5">
        <f t="shared" ref="C6:E6" si="1">C5*(0.4)</f>
        <v>253399.68000000005</v>
      </c>
      <c r="D6" s="5">
        <f t="shared" si="1"/>
        <v>426453.12000000005</v>
      </c>
      <c r="E6" s="5">
        <f t="shared" si="1"/>
        <v>537701.76000000013</v>
      </c>
      <c r="F6" s="15">
        <f>SUM(B6:E6)</f>
        <v>1402968.9600000004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F11A-C5DD-4C69-8828-2BAFF877EBFB}">
  <dimension ref="A1:I7"/>
  <sheetViews>
    <sheetView workbookViewId="0">
      <selection activeCell="E7" sqref="E7"/>
    </sheetView>
  </sheetViews>
  <sheetFormatPr baseColWidth="10" defaultRowHeight="15" x14ac:dyDescent="0.25"/>
  <cols>
    <col min="1" max="1" width="20.710937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  <col min="8" max="8" width="6.5703125" bestFit="1" customWidth="1"/>
  </cols>
  <sheetData>
    <row r="1" spans="1:9" x14ac:dyDescent="0.25">
      <c r="A1" s="23" t="s">
        <v>65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B2" s="8" t="s">
        <v>25</v>
      </c>
      <c r="C2" s="8" t="s">
        <v>26</v>
      </c>
      <c r="D2" s="8" t="s">
        <v>27</v>
      </c>
      <c r="E2" s="8" t="s">
        <v>28</v>
      </c>
      <c r="F2" s="8" t="s">
        <v>61</v>
      </c>
    </row>
    <row r="3" spans="1:9" x14ac:dyDescent="0.25">
      <c r="A3" t="s">
        <v>62</v>
      </c>
      <c r="B3" s="9">
        <v>20</v>
      </c>
      <c r="C3" s="9">
        <v>25</v>
      </c>
      <c r="D3" s="9">
        <v>30</v>
      </c>
      <c r="E3" s="9">
        <v>40</v>
      </c>
      <c r="F3">
        <f>SUM(B3:E3)</f>
        <v>115</v>
      </c>
    </row>
    <row r="4" spans="1:9" x14ac:dyDescent="0.25">
      <c r="A4" t="s">
        <v>34</v>
      </c>
      <c r="B4" s="10">
        <v>15451.2</v>
      </c>
      <c r="C4" s="10">
        <v>15451.2</v>
      </c>
      <c r="D4" s="10">
        <v>15451.2</v>
      </c>
      <c r="E4" s="10">
        <v>15451.2</v>
      </c>
      <c r="F4" s="5">
        <f t="shared" ref="F4:F6" si="0">SUM(B4:E4)</f>
        <v>61804.800000000003</v>
      </c>
    </row>
    <row r="5" spans="1:9" x14ac:dyDescent="0.25">
      <c r="A5" t="s">
        <v>63</v>
      </c>
      <c r="B5" s="3">
        <f>B3*B4</f>
        <v>309024</v>
      </c>
      <c r="C5" s="3">
        <f>C3*C4</f>
        <v>386280</v>
      </c>
      <c r="D5" s="3">
        <f>D3*D4</f>
        <v>463536</v>
      </c>
      <c r="E5" s="3">
        <f>E3*E4</f>
        <v>618048</v>
      </c>
      <c r="F5" s="5">
        <f t="shared" si="0"/>
        <v>1776888</v>
      </c>
      <c r="H5" s="16"/>
    </row>
    <row r="6" spans="1:9" x14ac:dyDescent="0.25">
      <c r="A6" t="s">
        <v>64</v>
      </c>
      <c r="B6" s="5">
        <f>B5*(0.1)</f>
        <v>30902.400000000001</v>
      </c>
      <c r="C6" s="5">
        <f t="shared" ref="C6:E6" si="1">C5*(0.1)</f>
        <v>38628</v>
      </c>
      <c r="D6" s="5">
        <f t="shared" si="1"/>
        <v>46353.600000000006</v>
      </c>
      <c r="E6" s="5">
        <f t="shared" si="1"/>
        <v>61804.800000000003</v>
      </c>
      <c r="F6" s="17">
        <f t="shared" si="0"/>
        <v>177688.8</v>
      </c>
    </row>
    <row r="7" spans="1:9" x14ac:dyDescent="0.25">
      <c r="C7" s="5">
        <f>B6*2+C6</f>
        <v>100432.8</v>
      </c>
      <c r="D7" s="5">
        <f>B6*3+C6*2+D6</f>
        <v>216316.80000000002</v>
      </c>
      <c r="E7" s="15">
        <f>B6*4+C6*3+D6*2+E6</f>
        <v>394005.60000000003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5514-9C22-484D-AF18-BE30DF26C1C3}">
  <dimension ref="A1:F14"/>
  <sheetViews>
    <sheetView workbookViewId="0">
      <selection activeCell="C11" sqref="C11"/>
    </sheetView>
  </sheetViews>
  <sheetFormatPr baseColWidth="10" defaultRowHeight="15" x14ac:dyDescent="0.25"/>
  <cols>
    <col min="1" max="1" width="34.8554687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</cols>
  <sheetData>
    <row r="1" spans="1:6" x14ac:dyDescent="0.25">
      <c r="A1" s="23" t="s">
        <v>66</v>
      </c>
      <c r="B1" s="23"/>
      <c r="C1" s="23"/>
      <c r="D1" s="23"/>
      <c r="E1" s="23"/>
      <c r="F1" s="23"/>
    </row>
    <row r="2" spans="1:6" x14ac:dyDescent="0.25">
      <c r="B2" s="8" t="s">
        <v>25</v>
      </c>
      <c r="C2" s="8" t="s">
        <v>26</v>
      </c>
      <c r="D2" s="8" t="s">
        <v>27</v>
      </c>
      <c r="E2" s="8" t="s">
        <v>28</v>
      </c>
      <c r="F2" s="8" t="s">
        <v>61</v>
      </c>
    </row>
    <row r="3" spans="1:6" x14ac:dyDescent="0.25">
      <c r="A3" t="s">
        <v>62</v>
      </c>
      <c r="B3" s="9">
        <v>20</v>
      </c>
      <c r="C3" s="9">
        <v>25</v>
      </c>
      <c r="D3" s="9">
        <v>30</v>
      </c>
      <c r="E3" s="9">
        <v>40</v>
      </c>
      <c r="F3">
        <f>SUM(B3:E3)</f>
        <v>115</v>
      </c>
    </row>
    <row r="4" spans="1:6" x14ac:dyDescent="0.25">
      <c r="A4" t="s">
        <v>34</v>
      </c>
      <c r="B4" s="10">
        <v>15451.2</v>
      </c>
      <c r="C4" s="10">
        <v>15451.2</v>
      </c>
      <c r="D4" s="10">
        <v>15451.2</v>
      </c>
      <c r="E4" s="10">
        <v>15451.2</v>
      </c>
      <c r="F4" s="5">
        <f t="shared" ref="F4:F5" si="0">SUM(B4:E4)</f>
        <v>61804.800000000003</v>
      </c>
    </row>
    <row r="5" spans="1:6" x14ac:dyDescent="0.25">
      <c r="A5" t="s">
        <v>63</v>
      </c>
      <c r="B5" s="3">
        <f>B3*B4</f>
        <v>309024</v>
      </c>
      <c r="C5" s="3">
        <f>C3*C4</f>
        <v>386280</v>
      </c>
      <c r="D5" s="3">
        <f>D3*D4</f>
        <v>463536</v>
      </c>
      <c r="E5" s="3">
        <f>E3*E4</f>
        <v>618048</v>
      </c>
      <c r="F5" s="5">
        <f t="shared" si="0"/>
        <v>1776888</v>
      </c>
    </row>
    <row r="6" spans="1:6" x14ac:dyDescent="0.25">
      <c r="A6" t="s">
        <v>86</v>
      </c>
      <c r="B6" s="5">
        <f>B5*(0.6)</f>
        <v>185414.39999999999</v>
      </c>
      <c r="C6" s="5">
        <f>C5*(0.5)</f>
        <v>193140</v>
      </c>
      <c r="D6" s="5">
        <f>D5*(0.2)</f>
        <v>92707.200000000012</v>
      </c>
      <c r="E6" s="5">
        <f>E5*(0.2)</f>
        <v>123609.60000000001</v>
      </c>
      <c r="F6" s="18">
        <f>SUM(B6:E6)</f>
        <v>594871.20000000007</v>
      </c>
    </row>
    <row r="7" spans="1:6" x14ac:dyDescent="0.25">
      <c r="C7" s="5">
        <f>B5*(0.5)+C5*(0.6)</f>
        <v>386280</v>
      </c>
      <c r="D7" s="5">
        <f>B5*(0.4)+C5*(0.5)+D5*(0.6)</f>
        <v>594871.19999999995</v>
      </c>
      <c r="E7" s="15">
        <f>B5*(0.3)+C5*(0.4)+D5*(0.5)+E5*(0.6)</f>
        <v>849816</v>
      </c>
    </row>
    <row r="8" spans="1:6" x14ac:dyDescent="0.25">
      <c r="A8" s="2" t="s">
        <v>79</v>
      </c>
      <c r="B8" s="2"/>
      <c r="C8" s="2"/>
      <c r="D8" s="2"/>
      <c r="E8" s="2"/>
      <c r="F8" s="13">
        <f>F5-F6</f>
        <v>1182016.7999999998</v>
      </c>
    </row>
    <row r="14" spans="1:6" x14ac:dyDescent="0.25">
      <c r="C14" t="s">
        <v>83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2F6D-13C2-4E9B-96C4-513BBD3C9498}">
  <dimension ref="A1:I38"/>
  <sheetViews>
    <sheetView topLeftCell="A8" workbookViewId="0">
      <selection activeCell="B31" sqref="B31"/>
    </sheetView>
  </sheetViews>
  <sheetFormatPr baseColWidth="10" defaultRowHeight="15" x14ac:dyDescent="0.25"/>
  <cols>
    <col min="1" max="1" width="46.14062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</cols>
  <sheetData>
    <row r="1" spans="1:9" x14ac:dyDescent="0.25">
      <c r="A1" s="23" t="s">
        <v>24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6" t="s">
        <v>68</v>
      </c>
      <c r="B2" s="8" t="s">
        <v>25</v>
      </c>
      <c r="C2" s="8" t="s">
        <v>26</v>
      </c>
      <c r="D2" s="8" t="s">
        <v>27</v>
      </c>
      <c r="E2" s="8" t="s">
        <v>28</v>
      </c>
    </row>
    <row r="3" spans="1:9" x14ac:dyDescent="0.25">
      <c r="A3" t="s">
        <v>29</v>
      </c>
      <c r="B3" s="9">
        <v>38</v>
      </c>
      <c r="C3" s="9">
        <v>50</v>
      </c>
      <c r="D3" s="9">
        <v>75</v>
      </c>
      <c r="E3" s="9">
        <v>100</v>
      </c>
    </row>
    <row r="4" spans="1:9" x14ac:dyDescent="0.25">
      <c r="A4" t="s">
        <v>30</v>
      </c>
      <c r="B4" s="10">
        <v>7200</v>
      </c>
      <c r="C4" s="10">
        <v>7200</v>
      </c>
      <c r="D4" s="10">
        <v>7200</v>
      </c>
      <c r="E4" s="10">
        <v>7200</v>
      </c>
    </row>
    <row r="5" spans="1:9" x14ac:dyDescent="0.25">
      <c r="A5" t="s">
        <v>31</v>
      </c>
      <c r="B5" s="3">
        <v>3120</v>
      </c>
      <c r="C5" s="3">
        <v>3120</v>
      </c>
      <c r="D5" s="3">
        <v>3120</v>
      </c>
      <c r="E5" s="3">
        <v>3120</v>
      </c>
    </row>
    <row r="6" spans="1:9" x14ac:dyDescent="0.25">
      <c r="A6" t="s">
        <v>32</v>
      </c>
      <c r="B6" s="5">
        <v>3000</v>
      </c>
      <c r="C6" s="5">
        <v>3000</v>
      </c>
      <c r="D6" s="5">
        <v>3000</v>
      </c>
      <c r="E6" s="5">
        <v>3000</v>
      </c>
    </row>
    <row r="7" spans="1:9" x14ac:dyDescent="0.25">
      <c r="A7" t="s">
        <v>33</v>
      </c>
      <c r="B7" s="5">
        <f>SUM(B4:B6)*16%</f>
        <v>2131.1999999999998</v>
      </c>
      <c r="C7" s="5">
        <f t="shared" ref="C7:E7" si="0">SUM(C4:C6)*16%</f>
        <v>2131.1999999999998</v>
      </c>
      <c r="D7" s="5">
        <f t="shared" si="0"/>
        <v>2131.1999999999998</v>
      </c>
      <c r="E7" s="5">
        <f t="shared" si="0"/>
        <v>2131.1999999999998</v>
      </c>
    </row>
    <row r="8" spans="1:9" x14ac:dyDescent="0.25">
      <c r="A8" t="s">
        <v>34</v>
      </c>
      <c r="B8" s="3">
        <f>SUM(B4:B7)</f>
        <v>15451.2</v>
      </c>
      <c r="C8" s="3">
        <f t="shared" ref="C8:E8" si="1">SUM(C4:C7)</f>
        <v>15451.2</v>
      </c>
      <c r="D8" s="3">
        <f t="shared" si="1"/>
        <v>15451.2</v>
      </c>
      <c r="E8" s="3">
        <f t="shared" si="1"/>
        <v>15451.2</v>
      </c>
    </row>
    <row r="9" spans="1:9" x14ac:dyDescent="0.25">
      <c r="A9" s="2" t="s">
        <v>35</v>
      </c>
      <c r="B9" s="11">
        <f>B8*B3</f>
        <v>587145.6</v>
      </c>
      <c r="C9" s="11">
        <f>C8*C3</f>
        <v>772560</v>
      </c>
      <c r="D9" s="11">
        <f t="shared" ref="D9:E9" si="2">D8*D3</f>
        <v>1158840</v>
      </c>
      <c r="E9" s="11">
        <f t="shared" si="2"/>
        <v>1545120</v>
      </c>
    </row>
    <row r="12" spans="1:9" x14ac:dyDescent="0.25">
      <c r="A12" t="s">
        <v>36</v>
      </c>
      <c r="B12" s="12">
        <v>31865.33</v>
      </c>
      <c r="C12" s="12">
        <v>31865.33</v>
      </c>
      <c r="D12" s="12">
        <v>31865.33</v>
      </c>
      <c r="E12" s="12">
        <v>31865.33</v>
      </c>
    </row>
    <row r="13" spans="1:9" x14ac:dyDescent="0.25">
      <c r="A13" t="s">
        <v>37</v>
      </c>
      <c r="B13" s="3">
        <v>800</v>
      </c>
      <c r="C13" s="3">
        <v>800</v>
      </c>
      <c r="D13" s="3">
        <v>800</v>
      </c>
      <c r="E13" s="3"/>
    </row>
    <row r="14" spans="1:9" x14ac:dyDescent="0.25">
      <c r="A14" t="s">
        <v>38</v>
      </c>
      <c r="B14" s="3"/>
      <c r="C14" s="3"/>
      <c r="D14" s="3">
        <v>1766</v>
      </c>
      <c r="E14" s="3">
        <v>1766</v>
      </c>
    </row>
    <row r="15" spans="1:9" x14ac:dyDescent="0.25">
      <c r="A15" t="s">
        <v>39</v>
      </c>
      <c r="B15" s="3">
        <f>491.58*38</f>
        <v>18680.04</v>
      </c>
      <c r="C15" s="3">
        <f>491.58*C3</f>
        <v>24579</v>
      </c>
      <c r="D15" s="3">
        <f>491.58*D3</f>
        <v>36868.5</v>
      </c>
      <c r="E15" s="3">
        <f>491.58*E3</f>
        <v>49158</v>
      </c>
    </row>
    <row r="16" spans="1:9" x14ac:dyDescent="0.25">
      <c r="A16" t="s">
        <v>40</v>
      </c>
      <c r="B16">
        <f>4800/12</f>
        <v>400</v>
      </c>
      <c r="C16">
        <f t="shared" ref="C16:E16" si="3">4800/12</f>
        <v>400</v>
      </c>
      <c r="D16">
        <f t="shared" si="3"/>
        <v>400</v>
      </c>
      <c r="E16">
        <f t="shared" si="3"/>
        <v>400</v>
      </c>
    </row>
    <row r="17" spans="1:6" x14ac:dyDescent="0.25">
      <c r="A17" s="2" t="s">
        <v>41</v>
      </c>
      <c r="B17" s="11">
        <f>SUM(B12:B16)</f>
        <v>51745.37</v>
      </c>
      <c r="C17" s="11">
        <f t="shared" ref="C17:D17" si="4">SUM(C12:C16)</f>
        <v>57644.33</v>
      </c>
      <c r="D17" s="11">
        <f t="shared" si="4"/>
        <v>71699.83</v>
      </c>
      <c r="E17" s="11">
        <f>SUM(E12:E16)</f>
        <v>83189.33</v>
      </c>
    </row>
    <row r="18" spans="1:6" x14ac:dyDescent="0.25">
      <c r="A18" t="s">
        <v>42</v>
      </c>
      <c r="B18" s="3">
        <v>48000</v>
      </c>
      <c r="C18" s="3">
        <v>48000</v>
      </c>
      <c r="D18" s="3">
        <v>48000</v>
      </c>
      <c r="E18" s="3"/>
    </row>
    <row r="19" spans="1:6" x14ac:dyDescent="0.25">
      <c r="A19" t="s">
        <v>43</v>
      </c>
      <c r="B19" s="3"/>
      <c r="C19" s="3">
        <v>60000</v>
      </c>
      <c r="D19" s="3">
        <v>60000</v>
      </c>
      <c r="E19" s="3"/>
    </row>
    <row r="20" spans="1:6" x14ac:dyDescent="0.25">
      <c r="A20" t="s">
        <v>44</v>
      </c>
      <c r="B20" s="3">
        <v>35000</v>
      </c>
      <c r="C20" s="3">
        <v>35000</v>
      </c>
      <c r="D20" s="3">
        <v>35000</v>
      </c>
      <c r="E20" s="3">
        <v>35000</v>
      </c>
    </row>
    <row r="21" spans="1:6" x14ac:dyDescent="0.25">
      <c r="A21" t="s">
        <v>45</v>
      </c>
      <c r="B21" s="3">
        <v>40000</v>
      </c>
      <c r="C21" s="3">
        <v>40000</v>
      </c>
      <c r="D21" s="3">
        <v>40000</v>
      </c>
      <c r="E21" s="3">
        <v>40000</v>
      </c>
    </row>
    <row r="22" spans="1:6" x14ac:dyDescent="0.25">
      <c r="A22" t="s">
        <v>46</v>
      </c>
      <c r="B22" s="3"/>
      <c r="C22" s="3">
        <v>31000</v>
      </c>
      <c r="D22" s="3">
        <v>31000</v>
      </c>
      <c r="E22" s="3">
        <v>31000</v>
      </c>
    </row>
    <row r="23" spans="1:6" x14ac:dyDescent="0.25">
      <c r="A23" t="s">
        <v>47</v>
      </c>
      <c r="B23" s="3"/>
      <c r="C23" s="3"/>
      <c r="D23" s="3"/>
      <c r="E23" s="3">
        <v>18500</v>
      </c>
    </row>
    <row r="24" spans="1:6" x14ac:dyDescent="0.25">
      <c r="A24" t="s">
        <v>48</v>
      </c>
      <c r="B24" s="3"/>
      <c r="C24" s="3"/>
      <c r="D24" s="3"/>
      <c r="E24" s="3">
        <v>18500</v>
      </c>
    </row>
    <row r="25" spans="1:6" x14ac:dyDescent="0.25">
      <c r="A25" s="2" t="s">
        <v>49</v>
      </c>
      <c r="B25" s="13">
        <f>SUM(B18:B24)</f>
        <v>123000</v>
      </c>
      <c r="C25" s="11">
        <f>SUM(C18:C24)</f>
        <v>214000</v>
      </c>
      <c r="D25" s="11">
        <f>SUM(D18:D24)</f>
        <v>214000</v>
      </c>
      <c r="E25" s="11">
        <f>SUM(E18:E24)</f>
        <v>143000</v>
      </c>
    </row>
    <row r="26" spans="1:6" x14ac:dyDescent="0.25">
      <c r="A26" t="s">
        <v>50</v>
      </c>
      <c r="B26" s="3">
        <f>((382384*33.3%)/3)/12</f>
        <v>3537.0519999999997</v>
      </c>
      <c r="C26" s="3">
        <f t="shared" ref="C26:E26" si="5">((382384*33.3%)/3)/12</f>
        <v>3537.0519999999997</v>
      </c>
      <c r="D26" s="3">
        <f>((382384*33.3%)/3)/12</f>
        <v>3537.0519999999997</v>
      </c>
      <c r="E26" s="3">
        <f t="shared" si="5"/>
        <v>3537.0519999999997</v>
      </c>
    </row>
    <row r="27" spans="1:6" x14ac:dyDescent="0.25">
      <c r="A27" t="s">
        <v>51</v>
      </c>
      <c r="D27" s="3">
        <f>((21200*33.3%)/3)/12</f>
        <v>196.1</v>
      </c>
      <c r="E27" s="3">
        <f>((21200*33.3%)/3)/12</f>
        <v>196.1</v>
      </c>
    </row>
    <row r="28" spans="1:6" x14ac:dyDescent="0.25">
      <c r="A28" t="s">
        <v>52</v>
      </c>
      <c r="B28" s="3">
        <f>(4800*10%)/10</f>
        <v>48</v>
      </c>
      <c r="C28" s="3">
        <f t="shared" ref="C28:E28" si="6">(4800*10%)/10</f>
        <v>48</v>
      </c>
      <c r="D28" s="3">
        <f t="shared" si="6"/>
        <v>48</v>
      </c>
      <c r="E28" s="3">
        <f t="shared" si="6"/>
        <v>48</v>
      </c>
    </row>
    <row r="29" spans="1:6" x14ac:dyDescent="0.25">
      <c r="A29" s="2" t="s">
        <v>53</v>
      </c>
      <c r="B29" s="13">
        <f>SUM(B26:B28)</f>
        <v>3585.0519999999997</v>
      </c>
      <c r="C29" s="13">
        <f t="shared" ref="C29:E29" si="7">SUM(C26:C28)</f>
        <v>3585.0519999999997</v>
      </c>
      <c r="D29" s="13">
        <f t="shared" si="7"/>
        <v>3781.1519999999996</v>
      </c>
      <c r="E29" s="13">
        <f t="shared" si="7"/>
        <v>3781.1519999999996</v>
      </c>
    </row>
    <row r="31" spans="1:6" x14ac:dyDescent="0.25">
      <c r="A31" t="s">
        <v>54</v>
      </c>
      <c r="B31" s="5">
        <f>B25+B17+B29</f>
        <v>178330.42199999999</v>
      </c>
      <c r="C31" s="5">
        <f t="shared" ref="C31" si="8">C25+C17+C29</f>
        <v>275229.38200000004</v>
      </c>
      <c r="D31" s="5">
        <f>D25+D17+D29</f>
        <v>289480.98200000002</v>
      </c>
      <c r="E31" s="5">
        <f>E25+E17+E29</f>
        <v>229970.48200000002</v>
      </c>
      <c r="F31" s="5">
        <f>SUM(B31:E31)</f>
        <v>973011.26800000016</v>
      </c>
    </row>
    <row r="32" spans="1:6" x14ac:dyDescent="0.25">
      <c r="A32" t="s">
        <v>55</v>
      </c>
      <c r="B32" s="5">
        <f>B9-B31</f>
        <v>408815.17799999996</v>
      </c>
      <c r="C32" s="5">
        <f t="shared" ref="C32:E32" si="9">C9-C31</f>
        <v>497330.61799999996</v>
      </c>
      <c r="D32" s="5">
        <f t="shared" si="9"/>
        <v>869359.01799999992</v>
      </c>
      <c r="E32" s="5">
        <f t="shared" si="9"/>
        <v>1315149.5179999999</v>
      </c>
      <c r="F32" s="5">
        <f>SUM(B32:E32)</f>
        <v>3090654.3319999995</v>
      </c>
    </row>
    <row r="35" spans="1:5" x14ac:dyDescent="0.25">
      <c r="A35" t="s">
        <v>56</v>
      </c>
      <c r="B35">
        <v>5</v>
      </c>
      <c r="C35">
        <v>5</v>
      </c>
      <c r="D35">
        <v>5</v>
      </c>
      <c r="E35">
        <v>5</v>
      </c>
    </row>
    <row r="36" spans="1:5" x14ac:dyDescent="0.25">
      <c r="A36" t="s">
        <v>57</v>
      </c>
      <c r="B36">
        <v>4</v>
      </c>
      <c r="C36">
        <v>5</v>
      </c>
      <c r="D36">
        <v>11</v>
      </c>
      <c r="E36">
        <v>15</v>
      </c>
    </row>
    <row r="37" spans="1:5" x14ac:dyDescent="0.25">
      <c r="A37" t="s">
        <v>58</v>
      </c>
      <c r="B37">
        <v>26</v>
      </c>
      <c r="C37">
        <v>31</v>
      </c>
      <c r="D37">
        <v>53</v>
      </c>
      <c r="E37">
        <v>67</v>
      </c>
    </row>
    <row r="38" spans="1:5" x14ac:dyDescent="0.25">
      <c r="A38" s="2" t="s">
        <v>59</v>
      </c>
      <c r="B38" s="2">
        <f>SUM(B35:B37)</f>
        <v>35</v>
      </c>
      <c r="C38" s="2">
        <f t="shared" ref="C38:E38" si="10">SUM(C35:C37)</f>
        <v>41</v>
      </c>
      <c r="D38" s="2">
        <f t="shared" si="10"/>
        <v>69</v>
      </c>
      <c r="E38" s="2">
        <f t="shared" si="10"/>
        <v>87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2105-02E0-42FD-ABF8-C08DD71E15B5}">
  <dimension ref="A1:I17"/>
  <sheetViews>
    <sheetView workbookViewId="0">
      <selection activeCell="F9" sqref="F9"/>
    </sheetView>
  </sheetViews>
  <sheetFormatPr baseColWidth="10" defaultRowHeight="15" x14ac:dyDescent="0.25"/>
  <cols>
    <col min="1" max="1" width="76.28515625" customWidth="1"/>
    <col min="2" max="2" width="16.5703125" customWidth="1"/>
    <col min="3" max="3" width="19" customWidth="1"/>
    <col min="4" max="4" width="21.42578125" customWidth="1"/>
    <col min="5" max="5" width="20.85546875" customWidth="1"/>
    <col min="6" max="6" width="14.5703125" bestFit="1" customWidth="1"/>
  </cols>
  <sheetData>
    <row r="1" spans="1:9" x14ac:dyDescent="0.25">
      <c r="A1" s="23" t="s">
        <v>67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6" t="s">
        <v>68</v>
      </c>
      <c r="B2" s="19" t="s">
        <v>89</v>
      </c>
      <c r="C2" s="8" t="s">
        <v>25</v>
      </c>
      <c r="D2" s="8" t="s">
        <v>26</v>
      </c>
      <c r="E2" s="8" t="s">
        <v>27</v>
      </c>
      <c r="F2" s="8" t="s">
        <v>28</v>
      </c>
    </row>
    <row r="3" spans="1:9" x14ac:dyDescent="0.25">
      <c r="A3" t="s">
        <v>69</v>
      </c>
      <c r="B3" s="3">
        <v>12000</v>
      </c>
      <c r="C3" s="3">
        <f>B3-1000</f>
        <v>11000</v>
      </c>
      <c r="D3" s="3">
        <f t="shared" ref="D3:F3" si="0">C3-1000</f>
        <v>10000</v>
      </c>
      <c r="E3" s="3">
        <f t="shared" si="0"/>
        <v>9000</v>
      </c>
      <c r="F3" s="3">
        <f t="shared" si="0"/>
        <v>8000</v>
      </c>
    </row>
    <row r="4" spans="1:9" x14ac:dyDescent="0.25">
      <c r="A4" t="s">
        <v>87</v>
      </c>
      <c r="B4" s="3"/>
      <c r="C4" s="5">
        <v>146660</v>
      </c>
      <c r="D4" s="5">
        <v>146660</v>
      </c>
      <c r="E4" s="5">
        <v>146660</v>
      </c>
      <c r="F4" s="5">
        <v>146660</v>
      </c>
    </row>
    <row r="5" spans="1:9" x14ac:dyDescent="0.25">
      <c r="A5" t="s">
        <v>71</v>
      </c>
      <c r="B5" s="3">
        <f>11999*7</f>
        <v>83993</v>
      </c>
      <c r="C5" s="3">
        <f>B5-C9</f>
        <v>83526.83885</v>
      </c>
      <c r="D5" s="3">
        <f t="shared" ref="D5:F5" si="1">C5-D11</f>
        <v>83526.83885</v>
      </c>
      <c r="E5" s="3">
        <f t="shared" si="1"/>
        <v>83526.83885</v>
      </c>
      <c r="F5" s="3">
        <f t="shared" si="1"/>
        <v>83526.83885</v>
      </c>
    </row>
    <row r="6" spans="1:9" x14ac:dyDescent="0.25">
      <c r="A6" t="s">
        <v>70</v>
      </c>
      <c r="B6" s="3">
        <v>19040</v>
      </c>
      <c r="C6" s="3">
        <f>B6-1586.66</f>
        <v>17453.34</v>
      </c>
      <c r="D6" s="3">
        <f t="shared" ref="D6:F6" si="2">C6-1586.66</f>
        <v>15866.68</v>
      </c>
      <c r="E6" s="3">
        <f t="shared" si="2"/>
        <v>14280.02</v>
      </c>
      <c r="F6" s="3">
        <f t="shared" si="2"/>
        <v>12693.36</v>
      </c>
      <c r="G6" s="5"/>
    </row>
    <row r="7" spans="1:9" x14ac:dyDescent="0.25">
      <c r="A7" s="2" t="s">
        <v>61</v>
      </c>
      <c r="B7" s="11"/>
      <c r="C7" s="11">
        <f t="shared" ref="C7:F7" si="3">SUM(C3:C6)</f>
        <v>258640.17885</v>
      </c>
      <c r="D7" s="11">
        <f t="shared" si="3"/>
        <v>256053.51884999999</v>
      </c>
      <c r="E7" s="11">
        <f t="shared" si="3"/>
        <v>253466.85884999999</v>
      </c>
      <c r="F7" s="11">
        <f t="shared" si="3"/>
        <v>250880.19884999999</v>
      </c>
    </row>
    <row r="8" spans="1:9" x14ac:dyDescent="0.25">
      <c r="A8" s="2" t="s">
        <v>101</v>
      </c>
      <c r="C8" s="11"/>
      <c r="D8" s="11"/>
      <c r="E8" s="11"/>
      <c r="F8" s="25">
        <f>SUM(C7:F7)</f>
        <v>1019040.7553999999</v>
      </c>
    </row>
    <row r="9" spans="1:9" x14ac:dyDescent="0.25">
      <c r="A9" t="s">
        <v>81</v>
      </c>
      <c r="C9" s="3">
        <f>(((11999*7)*33.3%)/5)/12</f>
        <v>466.16114999999996</v>
      </c>
      <c r="D9" s="3"/>
      <c r="E9" s="3"/>
      <c r="F9" s="3"/>
    </row>
    <row r="10" spans="1:9" x14ac:dyDescent="0.25">
      <c r="C10" s="3"/>
      <c r="D10" s="3"/>
      <c r="E10" s="3"/>
      <c r="F10" s="3"/>
    </row>
    <row r="11" spans="1:9" x14ac:dyDescent="0.25">
      <c r="D11" s="3"/>
      <c r="E11" s="3"/>
      <c r="F11" s="3"/>
    </row>
    <row r="12" spans="1:9" x14ac:dyDescent="0.25">
      <c r="B12" s="3"/>
      <c r="C12" s="3"/>
      <c r="D12" s="3"/>
      <c r="E12" s="3"/>
    </row>
    <row r="13" spans="1:9" x14ac:dyDescent="0.25">
      <c r="B13" s="3"/>
      <c r="C13" s="3"/>
      <c r="D13" s="3"/>
      <c r="E13" s="3"/>
    </row>
    <row r="14" spans="1:9" x14ac:dyDescent="0.25">
      <c r="B14" s="3"/>
      <c r="C14" s="3"/>
      <c r="D14" s="3"/>
      <c r="E14" s="3"/>
    </row>
    <row r="15" spans="1:9" x14ac:dyDescent="0.25">
      <c r="B15" s="3"/>
      <c r="C15" s="3"/>
      <c r="D15" s="3"/>
      <c r="E15" s="3"/>
    </row>
    <row r="16" spans="1:9" x14ac:dyDescent="0.25">
      <c r="B16" s="3"/>
      <c r="C16" s="3"/>
      <c r="D16" s="3"/>
      <c r="E16" s="3"/>
    </row>
    <row r="17" spans="2:2" x14ac:dyDescent="0.25">
      <c r="B17" s="3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7F6-CAF1-4522-9DCC-3808E3410FF5}">
  <dimension ref="A1:I13"/>
  <sheetViews>
    <sheetView workbookViewId="0">
      <selection activeCell="C7" sqref="C7:F7"/>
    </sheetView>
  </sheetViews>
  <sheetFormatPr baseColWidth="10" defaultRowHeight="15" x14ac:dyDescent="0.25"/>
  <cols>
    <col min="1" max="1" width="59.140625" bestFit="1" customWidth="1"/>
    <col min="2" max="2" width="18.140625" customWidth="1"/>
    <col min="3" max="3" width="19.5703125" customWidth="1"/>
    <col min="4" max="4" width="17" customWidth="1"/>
    <col min="5" max="5" width="20.28515625" customWidth="1"/>
    <col min="6" max="6" width="26.42578125" customWidth="1"/>
  </cols>
  <sheetData>
    <row r="1" spans="1:9" x14ac:dyDescent="0.25">
      <c r="A1" s="23" t="s">
        <v>72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7" t="s">
        <v>68</v>
      </c>
      <c r="B2" s="19" t="s">
        <v>89</v>
      </c>
      <c r="C2" s="8" t="s">
        <v>25</v>
      </c>
      <c r="D2" s="8" t="s">
        <v>26</v>
      </c>
      <c r="E2" s="8" t="s">
        <v>27</v>
      </c>
      <c r="F2" s="8" t="s">
        <v>28</v>
      </c>
    </row>
    <row r="3" spans="1:9" x14ac:dyDescent="0.25">
      <c r="A3" t="s">
        <v>73</v>
      </c>
      <c r="C3" s="3">
        <v>450068.848</v>
      </c>
      <c r="D3" s="3">
        <f>C11</f>
        <v>503512.43800000002</v>
      </c>
      <c r="E3" s="3">
        <f>D11</f>
        <v>640305.51800000004</v>
      </c>
      <c r="F3" s="3">
        <f>E11</f>
        <v>1205596.7680000002</v>
      </c>
    </row>
    <row r="4" spans="1:9" x14ac:dyDescent="0.25">
      <c r="A4" t="s">
        <v>76</v>
      </c>
      <c r="C4" s="3">
        <v>463563</v>
      </c>
      <c r="D4" s="3">
        <v>633499.19999999995</v>
      </c>
      <c r="E4" s="3">
        <v>1066132.8</v>
      </c>
      <c r="F4" s="3">
        <v>1344254.4</v>
      </c>
    </row>
    <row r="5" spans="1:9" x14ac:dyDescent="0.25">
      <c r="A5" t="s">
        <v>74</v>
      </c>
      <c r="C5" s="3">
        <v>30902.400000000001</v>
      </c>
      <c r="D5" s="3">
        <v>38628</v>
      </c>
      <c r="E5" s="3">
        <v>46353.599999999999</v>
      </c>
      <c r="F5" s="3">
        <v>61804.800000000003</v>
      </c>
    </row>
    <row r="6" spans="1:9" x14ac:dyDescent="0.25">
      <c r="A6" t="s">
        <v>88</v>
      </c>
      <c r="B6" s="3">
        <v>9200</v>
      </c>
      <c r="C6" s="5">
        <f>B6-766.66</f>
        <v>8433.34</v>
      </c>
      <c r="D6" s="5">
        <f t="shared" ref="D6:F6" si="0">C6-766.66</f>
        <v>7666.68</v>
      </c>
      <c r="E6" s="5">
        <f t="shared" si="0"/>
        <v>6900.02</v>
      </c>
      <c r="F6" s="5">
        <f t="shared" si="0"/>
        <v>6133.3600000000006</v>
      </c>
    </row>
    <row r="7" spans="1:9" x14ac:dyDescent="0.25">
      <c r="A7" t="s">
        <v>97</v>
      </c>
      <c r="C7" s="3">
        <v>258640.18</v>
      </c>
      <c r="D7" s="3">
        <v>256053.53</v>
      </c>
      <c r="E7" s="3">
        <v>253466.86</v>
      </c>
      <c r="F7" s="3">
        <v>250880.2</v>
      </c>
    </row>
    <row r="8" spans="1:9" x14ac:dyDescent="0.25">
      <c r="A8" t="s">
        <v>84</v>
      </c>
      <c r="C8" s="3">
        <v>178330.42</v>
      </c>
      <c r="D8" s="3">
        <v>275229.38</v>
      </c>
      <c r="E8" s="3">
        <v>289480.98</v>
      </c>
      <c r="F8" s="3">
        <v>229970.48</v>
      </c>
    </row>
    <row r="9" spans="1:9" x14ac:dyDescent="0.25">
      <c r="A9" t="s">
        <v>75</v>
      </c>
      <c r="C9" s="3">
        <f>466.16+3585.05</f>
        <v>4051.21</v>
      </c>
      <c r="D9" s="3">
        <f>466.16+3585.05</f>
        <v>4051.21</v>
      </c>
      <c r="E9" s="3">
        <f>466.16+3781.15</f>
        <v>4247.3100000000004</v>
      </c>
      <c r="F9" s="3">
        <f>466.16+3781.15</f>
        <v>4247.3100000000004</v>
      </c>
    </row>
    <row r="10" spans="1:9" x14ac:dyDescent="0.25">
      <c r="A10" t="s">
        <v>80</v>
      </c>
      <c r="F10" s="13">
        <f>SUM(C9:F9)</f>
        <v>16597.04</v>
      </c>
    </row>
    <row r="11" spans="1:9" x14ac:dyDescent="0.25">
      <c r="A11" t="s">
        <v>77</v>
      </c>
      <c r="C11" s="5">
        <f>C3+C4+C5-C8-C9-C7</f>
        <v>503512.43800000002</v>
      </c>
      <c r="D11" s="5">
        <f>D3+D4+D5-D8-D9-D7</f>
        <v>640305.51800000004</v>
      </c>
      <c r="E11" s="5">
        <f>E3+E4+E5-E8-E9-E7</f>
        <v>1205596.7680000002</v>
      </c>
      <c r="F11" s="5">
        <f>F3+F4+F5-F8-F9-F7</f>
        <v>2126557.9779999997</v>
      </c>
    </row>
    <row r="13" spans="1:9" x14ac:dyDescent="0.25">
      <c r="A13" s="2" t="s">
        <v>78</v>
      </c>
      <c r="B13" s="2"/>
      <c r="C13" s="2"/>
      <c r="D13" s="2"/>
      <c r="E13" s="2"/>
      <c r="F13" s="13">
        <f>F11</f>
        <v>2126557.9779999997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9312-D842-47BF-BCFD-2EAB5FDF6258}">
  <dimension ref="A1:L28"/>
  <sheetViews>
    <sheetView topLeftCell="A9" workbookViewId="0">
      <selection activeCell="B23" sqref="B23"/>
    </sheetView>
  </sheetViews>
  <sheetFormatPr baseColWidth="10" defaultRowHeight="15" x14ac:dyDescent="0.25"/>
  <cols>
    <col min="1" max="1" width="31.140625" bestFit="1" customWidth="1"/>
    <col min="2" max="2" width="22.42578125" bestFit="1" customWidth="1"/>
    <col min="3" max="3" width="15.140625" bestFit="1" customWidth="1"/>
    <col min="6" max="6" width="32" bestFit="1" customWidth="1"/>
    <col min="7" max="8" width="15.140625" bestFit="1" customWidth="1"/>
  </cols>
  <sheetData>
    <row r="1" spans="1:12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2" t="s">
        <v>82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1</v>
      </c>
      <c r="F3" s="2" t="s">
        <v>5</v>
      </c>
    </row>
    <row r="4" spans="1:12" x14ac:dyDescent="0.25">
      <c r="A4" s="2" t="s">
        <v>12</v>
      </c>
      <c r="F4" s="2"/>
    </row>
    <row r="5" spans="1:12" x14ac:dyDescent="0.25">
      <c r="A5" t="s">
        <v>2</v>
      </c>
      <c r="B5" s="3">
        <f>750324.24 - 450068.848+394005.6</f>
        <v>694260.99199999997</v>
      </c>
      <c r="G5" s="3"/>
    </row>
    <row r="6" spans="1:12" x14ac:dyDescent="0.25">
      <c r="A6" t="s">
        <v>8</v>
      </c>
      <c r="B6" s="20">
        <f>60*15451.2</f>
        <v>927072</v>
      </c>
      <c r="G6" s="3"/>
    </row>
    <row r="7" spans="1:12" x14ac:dyDescent="0.25">
      <c r="A7" t="s">
        <v>85</v>
      </c>
      <c r="B7" s="20">
        <v>1500000</v>
      </c>
      <c r="G7" s="3"/>
    </row>
    <row r="8" spans="1:12" x14ac:dyDescent="0.25">
      <c r="A8" t="s">
        <v>9</v>
      </c>
      <c r="B8" s="21">
        <v>1243821.6000000001</v>
      </c>
      <c r="G8" s="3"/>
    </row>
    <row r="9" spans="1:12" x14ac:dyDescent="0.25">
      <c r="A9" t="s">
        <v>10</v>
      </c>
      <c r="B9" s="3"/>
      <c r="C9" s="3">
        <f>SUM(B5:B9)</f>
        <v>4365154.5920000002</v>
      </c>
      <c r="G9" s="3"/>
    </row>
    <row r="10" spans="1:12" x14ac:dyDescent="0.25">
      <c r="H10">
        <v>0</v>
      </c>
    </row>
    <row r="11" spans="1:12" x14ac:dyDescent="0.25">
      <c r="B11" s="3"/>
    </row>
    <row r="12" spans="1:12" x14ac:dyDescent="0.25">
      <c r="A12" s="2" t="s">
        <v>11</v>
      </c>
    </row>
    <row r="13" spans="1:12" x14ac:dyDescent="0.25">
      <c r="A13" t="s">
        <v>13</v>
      </c>
      <c r="B13" s="3">
        <f>1700000+4518082.76-((4518082.76*3.3%)/30)/4</f>
        <v>6216840.2872409998</v>
      </c>
    </row>
    <row r="14" spans="1:12" x14ac:dyDescent="0.25">
      <c r="A14" t="s">
        <v>3</v>
      </c>
      <c r="B14" s="3">
        <f>1018811-((1018811*10%)/3)/12</f>
        <v>1015980.9694444444</v>
      </c>
      <c r="C14" s="2"/>
    </row>
    <row r="15" spans="1:12" x14ac:dyDescent="0.25">
      <c r="A15" s="4" t="s">
        <v>4</v>
      </c>
      <c r="B15" s="3">
        <f>512782-16597.04</f>
        <v>496184.96</v>
      </c>
    </row>
    <row r="16" spans="1:12" x14ac:dyDescent="0.25">
      <c r="A16" s="4" t="s">
        <v>14</v>
      </c>
      <c r="C16" s="5">
        <f>SUM(B13:B15)</f>
        <v>7729006.2166854441</v>
      </c>
    </row>
    <row r="17" spans="1:8" x14ac:dyDescent="0.25">
      <c r="F17" s="2" t="s">
        <v>6</v>
      </c>
      <c r="G17" s="3"/>
    </row>
    <row r="18" spans="1:8" x14ac:dyDescent="0.25">
      <c r="F18" t="s">
        <v>7</v>
      </c>
      <c r="G18" s="3">
        <v>10000000</v>
      </c>
    </row>
    <row r="19" spans="1:8" x14ac:dyDescent="0.25">
      <c r="F19" t="s">
        <v>21</v>
      </c>
      <c r="G19" s="3">
        <f>C28-G18</f>
        <v>2144232.8620187771</v>
      </c>
    </row>
    <row r="20" spans="1:8" x14ac:dyDescent="0.25">
      <c r="A20" s="2" t="s">
        <v>15</v>
      </c>
      <c r="F20" t="s">
        <v>22</v>
      </c>
      <c r="G20" s="3"/>
      <c r="H20" s="3">
        <f>SUM(G18:G19)</f>
        <v>12144232.862018777</v>
      </c>
    </row>
    <row r="21" spans="1:8" x14ac:dyDescent="0.25">
      <c r="A21" t="s">
        <v>16</v>
      </c>
      <c r="B21" s="3">
        <f>32468- 4*(32468/12)</f>
        <v>21645.333333333336</v>
      </c>
    </row>
    <row r="22" spans="1:8" x14ac:dyDescent="0.25">
      <c r="A22" t="s">
        <v>17</v>
      </c>
      <c r="B22" s="3">
        <f>12000-4000</f>
        <v>8000</v>
      </c>
    </row>
    <row r="23" spans="1:8" x14ac:dyDescent="0.25">
      <c r="A23" t="s">
        <v>18</v>
      </c>
      <c r="B23" s="3">
        <f>9200-(766.66*4)</f>
        <v>6133.3600000000006</v>
      </c>
    </row>
    <row r="24" spans="1:8" x14ac:dyDescent="0.25">
      <c r="A24" t="s">
        <v>19</v>
      </c>
      <c r="B24" s="3">
        <f>2400-800</f>
        <v>1600</v>
      </c>
    </row>
    <row r="25" spans="1:8" x14ac:dyDescent="0.25">
      <c r="A25" t="s">
        <v>70</v>
      </c>
      <c r="B25" s="3">
        <f>19040-6346.64</f>
        <v>12693.36</v>
      </c>
    </row>
    <row r="26" spans="1:8" x14ac:dyDescent="0.25">
      <c r="A26" t="s">
        <v>20</v>
      </c>
      <c r="B26" s="3"/>
      <c r="C26" s="5">
        <f>SUM(B21:B25)</f>
        <v>50072.053333333337</v>
      </c>
    </row>
    <row r="28" spans="1:8" x14ac:dyDescent="0.25">
      <c r="A28" s="2" t="s">
        <v>90</v>
      </c>
      <c r="C28" s="5">
        <f>SUM(C9,C16,C26)</f>
        <v>12144232.862018777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5B68-D48A-4716-9C4E-29B867EBBAFA}">
  <dimension ref="A1:G13"/>
  <sheetViews>
    <sheetView tabSelected="1" workbookViewId="0">
      <selection sqref="A1:G13"/>
    </sheetView>
  </sheetViews>
  <sheetFormatPr baseColWidth="10" defaultRowHeight="15" x14ac:dyDescent="0.25"/>
  <cols>
    <col min="1" max="1" width="39" bestFit="1" customWidth="1"/>
    <col min="2" max="2" width="25.28515625" customWidth="1"/>
  </cols>
  <sheetData>
    <row r="1" spans="1:7" x14ac:dyDescent="0.25">
      <c r="A1" s="24" t="s">
        <v>91</v>
      </c>
      <c r="B1" s="24"/>
      <c r="C1" s="24"/>
      <c r="D1" s="24"/>
      <c r="E1" s="24"/>
      <c r="F1" s="24"/>
      <c r="G1" s="24"/>
    </row>
    <row r="2" spans="1:7" x14ac:dyDescent="0.25">
      <c r="A2" t="s">
        <v>92</v>
      </c>
      <c r="B2" s="3">
        <v>3507422.4</v>
      </c>
    </row>
    <row r="3" spans="1:7" x14ac:dyDescent="0.25">
      <c r="A3" t="s">
        <v>93</v>
      </c>
      <c r="B3" s="3">
        <v>973011.27</v>
      </c>
    </row>
    <row r="4" spans="1:7" x14ac:dyDescent="0.25">
      <c r="B4" s="3"/>
    </row>
    <row r="5" spans="1:7" x14ac:dyDescent="0.25">
      <c r="A5" s="2" t="s">
        <v>94</v>
      </c>
      <c r="B5" s="3">
        <f>B2-B3</f>
        <v>2534411.13</v>
      </c>
    </row>
    <row r="6" spans="1:7" x14ac:dyDescent="0.25">
      <c r="A6" t="s">
        <v>95</v>
      </c>
      <c r="B6" s="3">
        <v>4000</v>
      </c>
    </row>
    <row r="7" spans="1:7" x14ac:dyDescent="0.25">
      <c r="A7" t="s">
        <v>96</v>
      </c>
      <c r="B7" s="3">
        <f>766.66*4</f>
        <v>3066.64</v>
      </c>
    </row>
    <row r="8" spans="1:7" x14ac:dyDescent="0.25">
      <c r="A8" t="s">
        <v>97</v>
      </c>
      <c r="B8" s="3">
        <v>1019040.76</v>
      </c>
    </row>
    <row r="9" spans="1:7" x14ac:dyDescent="0.25">
      <c r="A9" t="s">
        <v>98</v>
      </c>
      <c r="B9" s="3">
        <v>394005.4</v>
      </c>
    </row>
    <row r="10" spans="1:7" x14ac:dyDescent="0.25">
      <c r="B10" s="3"/>
    </row>
    <row r="11" spans="1:7" x14ac:dyDescent="0.25">
      <c r="A11" s="2" t="s">
        <v>99</v>
      </c>
      <c r="B11" s="26">
        <f>(B5-B6-B7-B8-B9)</f>
        <v>1114298.3299999996</v>
      </c>
    </row>
    <row r="12" spans="1:7" x14ac:dyDescent="0.25">
      <c r="B12" s="3"/>
    </row>
    <row r="13" spans="1:7" x14ac:dyDescent="0.25">
      <c r="A13" s="2" t="s">
        <v>100</v>
      </c>
      <c r="B13" s="3">
        <f>B11</f>
        <v>1114298.3299999996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BG-INICIAL</vt:lpstr>
      <vt:lpstr>VENTAS</vt:lpstr>
      <vt:lpstr>DOCSCOBRADOS</vt:lpstr>
      <vt:lpstr>DOCSPORCOBRAR</vt:lpstr>
      <vt:lpstr>PRODUCCIÓN</vt:lpstr>
      <vt:lpstr>GASTOS-ADMIN</vt:lpstr>
      <vt:lpstr>EFECTIVO</vt:lpstr>
      <vt:lpstr>BG-FINAL</vt:lpstr>
      <vt:lpstr>EDO DE RESULTADOS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2018-11-11T04:22:18Z</dcterms:created>
  <dcterms:modified xsi:type="dcterms:W3CDTF">2018-11-27T05:10:48Z</dcterms:modified>
</cp:coreProperties>
</file>