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excel\Excel_proyects_mathematical_optimization_modeling\"/>
    </mc:Choice>
  </mc:AlternateContent>
  <bookViews>
    <workbookView xWindow="0" yWindow="0" windowWidth="16815" windowHeight="7650" firstSheet="2" activeTab="6"/>
  </bookViews>
  <sheets>
    <sheet name="Quality Sweater company" sheetId="1" r:id="rId1"/>
    <sheet name="hotdog stand" sheetId="2" r:id="rId2"/>
    <sheet name="N&amp;B bookstore" sheetId="3" r:id="rId3"/>
    <sheet name="COPIER" sheetId="4" r:id="rId4"/>
    <sheet name="Band `Screamin Blue Jays" sheetId="5" r:id="rId5"/>
    <sheet name="theory" sheetId="8" r:id="rId6"/>
    <sheet name="shop 19th Hole" sheetId="6" r:id="rId7"/>
  </sheets>
  <definedNames>
    <definedName name="_xlchart.0" hidden="1">'Quality Sweater company'!$F$7:$F$17</definedName>
    <definedName name="_xlchart.1" hidden="1">'Quality Sweater company'!$G$5:$G$6</definedName>
    <definedName name="_xlchart.2" hidden="1">'Quality Sweater company'!$G$7:$G$17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2" i="6" l="1"/>
  <c r="B73" i="6" s="1"/>
  <c r="D61" i="6"/>
  <c r="D55" i="6"/>
  <c r="D56" i="6"/>
  <c r="D57" i="6"/>
  <c r="H21" i="6"/>
  <c r="B50" i="6"/>
  <c r="D50" i="6" s="1"/>
  <c r="B51" i="6"/>
  <c r="D51" i="6" s="1"/>
  <c r="B52" i="6"/>
  <c r="D52" i="6" s="1"/>
  <c r="B53" i="6"/>
  <c r="D53" i="6" s="1"/>
  <c r="B54" i="6"/>
  <c r="D54" i="6" s="1"/>
  <c r="B55" i="6"/>
  <c r="B56" i="6"/>
  <c r="B57" i="6"/>
  <c r="B58" i="6"/>
  <c r="D58" i="6" s="1"/>
  <c r="B59" i="6"/>
  <c r="D59" i="6" s="1"/>
  <c r="B60" i="6"/>
  <c r="D60" i="6" s="1"/>
  <c r="B49" i="6"/>
  <c r="D49" i="6" s="1"/>
  <c r="B76" i="6" l="1"/>
  <c r="B75" i="6"/>
  <c r="B38" i="6"/>
  <c r="D39" i="6"/>
  <c r="D42" i="6"/>
  <c r="D43" i="6"/>
  <c r="D41" i="6"/>
  <c r="D38" i="6"/>
  <c r="B77" i="6" l="1"/>
  <c r="E66" i="6" s="1"/>
  <c r="B39" i="6"/>
  <c r="B41" i="6" s="1"/>
  <c r="F22" i="6"/>
  <c r="F27" i="6"/>
  <c r="F28" i="6"/>
  <c r="F29" i="6"/>
  <c r="F30" i="6"/>
  <c r="D22" i="6"/>
  <c r="H22" i="6" s="1"/>
  <c r="D23" i="6"/>
  <c r="H23" i="6" s="1"/>
  <c r="D24" i="6"/>
  <c r="H24" i="6" s="1"/>
  <c r="D25" i="6"/>
  <c r="H25" i="6" s="1"/>
  <c r="D26" i="6"/>
  <c r="H26" i="6" s="1"/>
  <c r="D27" i="6"/>
  <c r="H27" i="6" s="1"/>
  <c r="D28" i="6"/>
  <c r="H28" i="6" s="1"/>
  <c r="D29" i="6"/>
  <c r="H29" i="6" s="1"/>
  <c r="D30" i="6"/>
  <c r="H30" i="6" s="1"/>
  <c r="D31" i="6"/>
  <c r="H31" i="6" s="1"/>
  <c r="D32" i="6"/>
  <c r="H32" i="6" s="1"/>
  <c r="D21" i="6"/>
  <c r="H33" i="6" s="1"/>
  <c r="C22" i="6"/>
  <c r="G22" i="6" s="1"/>
  <c r="C23" i="6"/>
  <c r="G23" i="6" s="1"/>
  <c r="C24" i="6"/>
  <c r="G24" i="6" s="1"/>
  <c r="C25" i="6"/>
  <c r="G25" i="6" s="1"/>
  <c r="C26" i="6"/>
  <c r="G26" i="6" s="1"/>
  <c r="C27" i="6"/>
  <c r="G27" i="6" s="1"/>
  <c r="C28" i="6"/>
  <c r="G28" i="6" s="1"/>
  <c r="C29" i="6"/>
  <c r="G29" i="6" s="1"/>
  <c r="C30" i="6"/>
  <c r="G30" i="6" s="1"/>
  <c r="C31" i="6"/>
  <c r="G31" i="6" s="1"/>
  <c r="C32" i="6"/>
  <c r="G32" i="6" s="1"/>
  <c r="C21" i="6"/>
  <c r="G21" i="6" s="1"/>
  <c r="B22" i="6"/>
  <c r="B23" i="6"/>
  <c r="F23" i="6" s="1"/>
  <c r="B24" i="6"/>
  <c r="F24" i="6" s="1"/>
  <c r="B25" i="6"/>
  <c r="F25" i="6" s="1"/>
  <c r="B26" i="6"/>
  <c r="F26" i="6" s="1"/>
  <c r="B27" i="6"/>
  <c r="B28" i="6"/>
  <c r="B29" i="6"/>
  <c r="B30" i="6"/>
  <c r="B31" i="6"/>
  <c r="F31" i="6" s="1"/>
  <c r="B32" i="6"/>
  <c r="F32" i="6" s="1"/>
  <c r="B21" i="6"/>
  <c r="F21" i="6" s="1"/>
  <c r="F33" i="6" s="1"/>
  <c r="B42" i="6" l="1"/>
  <c r="B43" i="6" s="1"/>
  <c r="H37" i="6" s="1"/>
  <c r="G33" i="6"/>
  <c r="B11" i="5"/>
  <c r="B6" i="5"/>
  <c r="C11" i="5"/>
  <c r="C16" i="5"/>
  <c r="C21" i="5"/>
  <c r="C6" i="5"/>
  <c r="I81" i="6" l="1"/>
  <c r="B21" i="5"/>
  <c r="B16" i="5"/>
  <c r="B7" i="4"/>
  <c r="B4" i="4"/>
  <c r="B15" i="3"/>
  <c r="B12" i="3"/>
  <c r="B17" i="3" s="1"/>
  <c r="B19" i="3" s="1"/>
  <c r="F14" i="3" s="1"/>
  <c r="B9" i="2"/>
  <c r="B13" i="2"/>
  <c r="B15" i="2" s="1"/>
  <c r="B16" i="1"/>
  <c r="B20" i="1" s="1"/>
  <c r="C21" i="1"/>
  <c r="C13" i="2"/>
  <c r="C16" i="1"/>
  <c r="C15" i="2"/>
  <c r="C17" i="4"/>
  <c r="C12" i="3"/>
  <c r="C7" i="4"/>
  <c r="C19" i="3"/>
  <c r="C15" i="3"/>
  <c r="C17" i="3"/>
  <c r="C20" i="1"/>
  <c r="C11" i="1"/>
  <c r="C4" i="4"/>
  <c r="C9" i="2"/>
  <c r="B22" i="5" l="1"/>
  <c r="E3" i="5" s="1"/>
  <c r="B9" i="4"/>
  <c r="B11" i="1"/>
  <c r="B21" i="1" s="1"/>
  <c r="G5" i="1" s="1"/>
  <c r="B22" i="4" l="1"/>
  <c r="B17" i="4"/>
  <c r="B24" i="4" l="1"/>
  <c r="G2" i="4" s="1"/>
</calcChain>
</file>

<file path=xl/sharedStrings.xml><?xml version="1.0" encoding="utf-8"?>
<sst xmlns="http://schemas.openxmlformats.org/spreadsheetml/2006/main" count="173" uniqueCount="143">
  <si>
    <t>Quality Sweater Company</t>
  </si>
  <si>
    <t>Inputs:</t>
  </si>
  <si>
    <t>Costs:</t>
  </si>
  <si>
    <t>Printing:</t>
  </si>
  <si>
    <t>Variable:</t>
  </si>
  <si>
    <t>per catalog</t>
  </si>
  <si>
    <t>mailing:</t>
  </si>
  <si>
    <t>reply envelopments:</t>
  </si>
  <si>
    <t>per order</t>
  </si>
  <si>
    <t>Revenue:</t>
  </si>
  <si>
    <t>labor and materials:</t>
  </si>
  <si>
    <t>catalog ordered:</t>
  </si>
  <si>
    <t>Response rate:</t>
  </si>
  <si>
    <t>Total order:</t>
  </si>
  <si>
    <t>total revenue(ganancia):</t>
  </si>
  <si>
    <t>averange(promed)customer order</t>
  </si>
  <si>
    <t>dummy (ficticio)</t>
  </si>
  <si>
    <t>Total cost:</t>
  </si>
  <si>
    <t>TOTAL PROFIT (ganacia):</t>
  </si>
  <si>
    <t>a) Data base</t>
  </si>
  <si>
    <t>Response date:</t>
  </si>
  <si>
    <t>Profit:</t>
  </si>
  <si>
    <t>Haute Dog</t>
  </si>
  <si>
    <t>Sales:</t>
  </si>
  <si>
    <t>Days Open:</t>
  </si>
  <si>
    <t>days per week</t>
  </si>
  <si>
    <t>Daily sales:</t>
  </si>
  <si>
    <t>hot dog per day</t>
  </si>
  <si>
    <t>Open:</t>
  </si>
  <si>
    <t>variable cost:</t>
  </si>
  <si>
    <t>per hot dog</t>
  </si>
  <si>
    <t>Total weekly cost:</t>
  </si>
  <si>
    <t>Price:</t>
  </si>
  <si>
    <t>Revenue (ingresos)</t>
  </si>
  <si>
    <t>Weekly profit(ganancias):</t>
  </si>
  <si>
    <t>Total weeky revenue:</t>
  </si>
  <si>
    <t>solo se paga 1 vez</t>
  </si>
  <si>
    <t>N&amp;B bookstore</t>
  </si>
  <si>
    <t>Regular price</t>
  </si>
  <si>
    <t>Order:</t>
  </si>
  <si>
    <t>Ordered</t>
  </si>
  <si>
    <t>at least</t>
  </si>
  <si>
    <t>Unit Cost</t>
  </si>
  <si>
    <t>22´25</t>
  </si>
  <si>
    <t>21´75</t>
  </si>
  <si>
    <t>21´30</t>
  </si>
  <si>
    <t>Demand:</t>
  </si>
  <si>
    <t>(500-4500)</t>
  </si>
  <si>
    <t>Sale price :</t>
  </si>
  <si>
    <t>Surplus (dif tengo y demanda):</t>
  </si>
  <si>
    <t>Cost:</t>
  </si>
  <si>
    <t>Profit (ganancia)</t>
  </si>
  <si>
    <t>Revenue (ingresos):</t>
  </si>
  <si>
    <t xml:space="preserve">#si el resultado es un núm neg, excel pondrá un' 0' </t>
  </si>
  <si>
    <t>DEMAND</t>
  </si>
  <si>
    <t>ORDER</t>
  </si>
  <si>
    <t>COPIER</t>
  </si>
  <si>
    <t>number of rent copies</t>
  </si>
  <si>
    <t>max copies/year</t>
  </si>
  <si>
    <t>number demand/day</t>
  </si>
  <si>
    <t>demanda anual</t>
  </si>
  <si>
    <t>Copies made/ year</t>
  </si>
  <si>
    <t>COST</t>
  </si>
  <si>
    <t>Fixed cost</t>
  </si>
  <si>
    <t>per month</t>
  </si>
  <si>
    <t>Variable costs:</t>
  </si>
  <si>
    <t>copier rental</t>
  </si>
  <si>
    <t>operation cost</t>
  </si>
  <si>
    <t>per copy</t>
  </si>
  <si>
    <t>per copy per year</t>
  </si>
  <si>
    <t>Total cost/ year</t>
  </si>
  <si>
    <t>REVENUE</t>
  </si>
  <si>
    <t>selling price:</t>
  </si>
  <si>
    <t>Total annual reneuve:</t>
  </si>
  <si>
    <t>Annual Profit</t>
  </si>
  <si>
    <t>per year</t>
  </si>
  <si>
    <t>Screamin Blue Jays</t>
  </si>
  <si>
    <t>Number of concerts:</t>
  </si>
  <si>
    <t>Cocerts per week:</t>
  </si>
  <si>
    <t>Weeks on tour:</t>
  </si>
  <si>
    <t>Total concerts:</t>
  </si>
  <si>
    <t>Expected Concert Attendance:</t>
  </si>
  <si>
    <t>Maximun capacity:</t>
  </si>
  <si>
    <t>Attendance (%):</t>
  </si>
  <si>
    <t>Number of ticket sold:</t>
  </si>
  <si>
    <t>Fixed start-up cost:</t>
  </si>
  <si>
    <t>Venue (place) rental cost:</t>
  </si>
  <si>
    <t>per show</t>
  </si>
  <si>
    <t>Ticket price:</t>
  </si>
  <si>
    <t>Concession sales:</t>
  </si>
  <si>
    <t>Total revenue(ingresos):</t>
  </si>
  <si>
    <t>Profit(ganancias)</t>
  </si>
  <si>
    <t>Daily demand for photocopies</t>
  </si>
  <si>
    <t>Copies rented</t>
  </si>
  <si>
    <t>*(Datos/ Análisis de hipótesis/ Tabla de datos (con las celdas que componen la tabla previamente seleccionada))</t>
  </si>
  <si>
    <t>Month</t>
  </si>
  <si>
    <t>Price</t>
  </si>
  <si>
    <t>Intercep(b):</t>
  </si>
  <si>
    <t>La empresa quiere estimar la relación entre la demanda y el precio.</t>
  </si>
  <si>
    <t xml:space="preserve">
The company wants to estimate the relationship between demand and price</t>
  </si>
  <si>
    <t>¿Qué precio debería cobrar la empresa para maximizar las ganancias?</t>
  </si>
  <si>
    <t xml:space="preserve">
What price should the company charge to maximize profits?</t>
  </si>
  <si>
    <t>Power: y=ax^b</t>
  </si>
  <si>
    <t xml:space="preserve">Constant a= </t>
  </si>
  <si>
    <t>Exponent b=</t>
  </si>
  <si>
    <t>Constnat(a):</t>
  </si>
  <si>
    <t>Exponent(b):</t>
  </si>
  <si>
    <t>Exponential: y=ae^(bx)</t>
  </si>
  <si>
    <t>*una vez añadido la curva en gráfico, mostrar función:</t>
  </si>
  <si>
    <t>Slope(m):
(es la pendiente)</t>
  </si>
  <si>
    <t xml:space="preserve">*Diseño: </t>
  </si>
  <si>
    <t>Prediction based on models:</t>
  </si>
  <si>
    <t>Linear (lineal)</t>
  </si>
  <si>
    <t>Exponential
(exponencial)</t>
  </si>
  <si>
    <t>Price (x)</t>
  </si>
  <si>
    <t>Demand
(palos de golf vendidos)</t>
  </si>
  <si>
    <t>Demand
(palos vendidos)</t>
  </si>
  <si>
    <t>Power 
(de potencia)</t>
  </si>
  <si>
    <t>Absolute 
percent error</t>
  </si>
  <si>
    <t>Absolute percent 
error (POWER)</t>
  </si>
  <si>
    <t>Absolute percent 
error (exponencial)</t>
  </si>
  <si>
    <t>Average:</t>
  </si>
  <si>
    <t xml:space="preserve">        use the smallest error %</t>
  </si>
  <si>
    <t>Model the business:</t>
  </si>
  <si>
    <t>Unit cost:</t>
  </si>
  <si>
    <t>per set of clubs</t>
  </si>
  <si>
    <t xml:space="preserve">Sale price: </t>
  </si>
  <si>
    <t>multiple of 10</t>
  </si>
  <si>
    <t>from power model</t>
  </si>
  <si>
    <t>Actual demand:</t>
  </si>
  <si>
    <t>Profit</t>
  </si>
  <si>
    <t xml:space="preserve">
a)What price should the company charge to maximize profits?</t>
  </si>
  <si>
    <t>a)Sell at a price of $530 for a profit of 1042$</t>
  </si>
  <si>
    <t>Unit cost</t>
  </si>
  <si>
    <t>Demand (00s):
aplica la funcion power</t>
  </si>
  <si>
    <t>Model the business/EXPONENTIAL</t>
  </si>
  <si>
    <t>from exponential mode y=ae^(bx)</t>
  </si>
  <si>
    <t>La función potencial me da un beneficio máximo mayor: 1042.213 con un precio en el par de palos de 530€.</t>
  </si>
  <si>
    <t>La función exponencial me da un beneficio máximo menor respecto a la función potencial: 983.395 con un precio en el par de palos de 450€.</t>
  </si>
  <si>
    <t>Hemos visto que con la función potencial el beneficio es mayor, por lo que es la que recomendamos.</t>
  </si>
  <si>
    <t>1. Según los datos que tengo: precios y demanda (palos vendidos), he graficado estos datos (reales) con una gráfica de dispersión.
2. Le añado línea tendencia (pueden ser lineal, potencial, exponencial...), (en el símbolo + , la última opción).
3. He sacado las funciones de esas gráficas (botón derecho sobre la gráfica hay opción de mostrar la función) y las he utilizado para hallar el error porcentual absoluto, para ver qué función está más cerca de la demanda real; el porcentaje más pequeño será la función más próxima a mis datos.
4. He visto que en este caso es la función potencial; la he utilizado para hacer una hipótesis con diferentes precios para hallar el precio que me dará el beneficio mayor; poniendo en la celda fantasma el precio y en modelo de hipótesis, tabla de datos.</t>
  </si>
  <si>
    <t>Proceso de modelización: saber qué precio poner para maximizar beneficios.</t>
  </si>
  <si>
    <t>LINEAR: y= mx+b (función lineal)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</si>
</sst>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[$$-409]* #,##0.00_ ;_-[$$-409]* \-#,##0.00\ ;_-[$$-409]* &quot;-&quot;??_ ;_-@_ "/>
    <numFmt numFmtId="165" formatCode="_-[$$-409]* #,##0_ ;_-[$$-409]* \-#,##0\ ;_-[$$-409]* &quot;-&quot;??_ ;_-@_ "/>
    <numFmt numFmtId="166" formatCode="0.0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1F1F1F"/>
      <name val="Var(--cds-font-family-source-sa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4"/>
      <name val="Var(--cds-font-family-source-sa"/>
    </font>
    <font>
      <b/>
      <sz val="11"/>
      <color rgb="FF1F1F1F"/>
      <name val="Var(--cds-font-family-source-sa"/>
    </font>
  </fonts>
  <fills count="1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n">
        <color rgb="FF002060"/>
      </bottom>
      <diagonal/>
    </border>
    <border>
      <left/>
      <right/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medium">
        <color theme="3" tint="0.59999389629810485"/>
      </left>
      <right style="thin">
        <color theme="3" tint="0.59999389629810485"/>
      </right>
      <top style="medium">
        <color theme="3" tint="0.59999389629810485"/>
      </top>
      <bottom style="thin">
        <color theme="3" tint="0.59999389629810485"/>
      </bottom>
      <diagonal/>
    </border>
    <border>
      <left style="thin">
        <color theme="3" tint="0.59999389629810485"/>
      </left>
      <right style="thin">
        <color theme="3" tint="0.59999389629810485"/>
      </right>
      <top style="medium">
        <color theme="3" tint="0.59999389629810485"/>
      </top>
      <bottom style="thin">
        <color theme="3" tint="0.59999389629810485"/>
      </bottom>
      <diagonal/>
    </border>
    <border>
      <left style="thin">
        <color theme="3" tint="0.59999389629810485"/>
      </left>
      <right style="medium">
        <color theme="3" tint="0.59999389629810485"/>
      </right>
      <top style="medium">
        <color theme="3" tint="0.59999389629810485"/>
      </top>
      <bottom style="thin">
        <color theme="3" tint="0.59999389629810485"/>
      </bottom>
      <diagonal/>
    </border>
    <border>
      <left style="medium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thin">
        <color theme="3" tint="0.59999389629810485"/>
      </left>
      <right style="medium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medium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medium">
        <color theme="3" tint="0.59999389629810485"/>
      </bottom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medium">
        <color theme="3" tint="0.59999389629810485"/>
      </bottom>
      <diagonal/>
    </border>
    <border>
      <left style="thin">
        <color theme="3" tint="0.59999389629810485"/>
      </left>
      <right style="medium">
        <color theme="3" tint="0.59999389629810485"/>
      </right>
      <top style="thin">
        <color theme="3" tint="0.59999389629810485"/>
      </top>
      <bottom style="medium">
        <color theme="3" tint="0.59999389629810485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</cellStyleXfs>
  <cellXfs count="161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left" indent="1"/>
    </xf>
    <xf numFmtId="1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/>
    <xf numFmtId="9" fontId="0" fillId="2" borderId="0" xfId="1" applyFont="1" applyFill="1"/>
    <xf numFmtId="0" fontId="0" fillId="4" borderId="0" xfId="0" applyFill="1"/>
    <xf numFmtId="0" fontId="0" fillId="3" borderId="0" xfId="0" applyFill="1"/>
    <xf numFmtId="0" fontId="0" fillId="0" borderId="5" xfId="0" applyBorder="1"/>
    <xf numFmtId="164" fontId="0" fillId="0" borderId="6" xfId="0" applyNumberFormat="1" applyBorder="1"/>
    <xf numFmtId="164" fontId="0" fillId="3" borderId="0" xfId="0" applyNumberFormat="1" applyFill="1"/>
    <xf numFmtId="0" fontId="0" fillId="3" borderId="0" xfId="0" applyFill="1" applyAlignment="1">
      <alignment horizontal="left" indent="1"/>
    </xf>
    <xf numFmtId="0" fontId="0" fillId="7" borderId="4" xfId="0" applyFill="1" applyBorder="1"/>
    <xf numFmtId="164" fontId="3" fillId="7" borderId="4" xfId="0" applyNumberFormat="1" applyFont="1" applyFill="1" applyBorder="1"/>
    <xf numFmtId="9" fontId="0" fillId="7" borderId="4" xfId="1" applyFont="1" applyFill="1" applyBorder="1"/>
    <xf numFmtId="10" fontId="0" fillId="7" borderId="4" xfId="1" applyNumberFormat="1" applyFont="1" applyFill="1" applyBorder="1"/>
    <xf numFmtId="0" fontId="0" fillId="8" borderId="0" xfId="0" applyFill="1"/>
    <xf numFmtId="0" fontId="0" fillId="8" borderId="0" xfId="0" applyFill="1" applyAlignment="1">
      <alignment horizontal="left"/>
    </xf>
    <xf numFmtId="0" fontId="2" fillId="8" borderId="0" xfId="0" applyFont="1" applyFill="1"/>
    <xf numFmtId="0" fontId="2" fillId="8" borderId="2" xfId="0" applyFont="1" applyFill="1" applyBorder="1"/>
    <xf numFmtId="164" fontId="0" fillId="9" borderId="0" xfId="0" applyNumberFormat="1" applyFill="1"/>
    <xf numFmtId="0" fontId="2" fillId="5" borderId="5" xfId="0" applyFont="1" applyFill="1" applyBorder="1"/>
    <xf numFmtId="164" fontId="0" fillId="5" borderId="6" xfId="0" applyNumberFormat="1" applyFill="1" applyBorder="1"/>
    <xf numFmtId="0" fontId="0" fillId="0" borderId="0" xfId="0" quotePrefix="1"/>
    <xf numFmtId="0" fontId="0" fillId="7" borderId="3" xfId="0" applyFill="1" applyBorder="1"/>
    <xf numFmtId="164" fontId="0" fillId="7" borderId="3" xfId="0" applyNumberFormat="1" applyFill="1" applyBorder="1" applyAlignment="1">
      <alignment horizontal="left" indent="3"/>
    </xf>
    <xf numFmtId="0" fontId="0" fillId="4" borderId="6" xfId="0" applyFill="1" applyBorder="1"/>
    <xf numFmtId="0" fontId="0" fillId="4" borderId="5" xfId="0" applyFill="1" applyBorder="1"/>
    <xf numFmtId="0" fontId="4" fillId="0" borderId="0" xfId="0" applyFont="1"/>
    <xf numFmtId="0" fontId="2" fillId="0" borderId="10" xfId="0" applyFont="1" applyBorder="1"/>
    <xf numFmtId="164" fontId="0" fillId="0" borderId="11" xfId="0" applyNumberFormat="1" applyBorder="1"/>
    <xf numFmtId="164" fontId="0" fillId="0" borderId="6" xfId="0" quotePrefix="1" applyNumberFormat="1" applyBorder="1"/>
    <xf numFmtId="164" fontId="5" fillId="7" borderId="4" xfId="0" applyNumberFormat="1" applyFont="1" applyFill="1" applyBorder="1"/>
    <xf numFmtId="164" fontId="6" fillId="7" borderId="4" xfId="0" applyNumberFormat="1" applyFont="1" applyFill="1" applyBorder="1"/>
    <xf numFmtId="0" fontId="0" fillId="9" borderId="0" xfId="0" applyFill="1" applyAlignment="1">
      <alignment horizontal="left" indent="1"/>
    </xf>
    <xf numFmtId="0" fontId="0" fillId="9" borderId="0" xfId="0" applyFont="1" applyFill="1"/>
    <xf numFmtId="0" fontId="0" fillId="0" borderId="0" xfId="0" applyBorder="1" applyAlignment="1"/>
    <xf numFmtId="0" fontId="0" fillId="0" borderId="0" xfId="0" applyNumberFormat="1"/>
    <xf numFmtId="0" fontId="2" fillId="0" borderId="0" xfId="0" applyFont="1"/>
    <xf numFmtId="0" fontId="0" fillId="11" borderId="0" xfId="0" applyFill="1"/>
    <xf numFmtId="9" fontId="0" fillId="0" borderId="0" xfId="1" applyFont="1"/>
    <xf numFmtId="0" fontId="0" fillId="0" borderId="0" xfId="0" applyAlignment="1">
      <alignment horizontal="right"/>
    </xf>
    <xf numFmtId="164" fontId="0" fillId="7" borderId="4" xfId="0" applyNumberFormat="1" applyFill="1" applyBorder="1" applyAlignment="1">
      <alignment horizontal="center"/>
    </xf>
    <xf numFmtId="0" fontId="8" fillId="7" borderId="4" xfId="0" applyFont="1" applyFill="1" applyBorder="1"/>
    <xf numFmtId="0" fontId="0" fillId="8" borderId="5" xfId="0" applyFill="1" applyBorder="1"/>
    <xf numFmtId="0" fontId="0" fillId="8" borderId="6" xfId="0" applyFill="1" applyBorder="1"/>
    <xf numFmtId="0" fontId="0" fillId="11" borderId="10" xfId="0" applyFill="1" applyBorder="1"/>
    <xf numFmtId="164" fontId="0" fillId="11" borderId="11" xfId="0" applyNumberFormat="1" applyFill="1" applyBorder="1"/>
    <xf numFmtId="0" fontId="0" fillId="11" borderId="0" xfId="0" applyNumberFormat="1" applyFill="1"/>
    <xf numFmtId="0" fontId="0" fillId="11" borderId="0" xfId="0" applyFill="1" applyBorder="1"/>
    <xf numFmtId="164" fontId="0" fillId="11" borderId="0" xfId="0" applyNumberFormat="1" applyFill="1" applyBorder="1"/>
    <xf numFmtId="0" fontId="9" fillId="14" borderId="4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11" fillId="0" borderId="0" xfId="0" applyFont="1"/>
    <xf numFmtId="0" fontId="13" fillId="0" borderId="4" xfId="0" applyFont="1" applyBorder="1"/>
    <xf numFmtId="0" fontId="10" fillId="0" borderId="4" xfId="0" applyFont="1" applyBorder="1"/>
    <xf numFmtId="0" fontId="13" fillId="0" borderId="4" xfId="0" applyFont="1" applyBorder="1" applyAlignment="1">
      <alignment vertical="top" wrapText="1"/>
    </xf>
    <xf numFmtId="0" fontId="2" fillId="10" borderId="4" xfId="0" applyFont="1" applyFill="1" applyBorder="1" applyAlignment="1">
      <alignment horizontal="left" vertical="center"/>
    </xf>
    <xf numFmtId="2" fontId="0" fillId="0" borderId="4" xfId="0" applyNumberFormat="1" applyBorder="1"/>
    <xf numFmtId="2" fontId="0" fillId="0" borderId="0" xfId="0" applyNumberFormat="1"/>
    <xf numFmtId="0" fontId="2" fillId="10" borderId="4" xfId="0" applyFont="1" applyFill="1" applyBorder="1" applyAlignment="1">
      <alignment wrapText="1"/>
    </xf>
    <xf numFmtId="0" fontId="2" fillId="10" borderId="4" xfId="0" applyFont="1" applyFill="1" applyBorder="1" applyAlignment="1">
      <alignment vertical="center"/>
    </xf>
    <xf numFmtId="2" fontId="10" fillId="0" borderId="4" xfId="0" applyNumberFormat="1" applyFont="1" applyBorder="1"/>
    <xf numFmtId="0" fontId="0" fillId="0" borderId="4" xfId="0" applyBorder="1" applyAlignment="1">
      <alignment horizontal="left" wrapText="1"/>
    </xf>
    <xf numFmtId="0" fontId="0" fillId="0" borderId="4" xfId="0" applyBorder="1" applyAlignment="1">
      <alignment wrapText="1"/>
    </xf>
    <xf numFmtId="166" fontId="0" fillId="0" borderId="4" xfId="0" applyNumberFormat="1" applyBorder="1"/>
    <xf numFmtId="9" fontId="0" fillId="0" borderId="4" xfId="1" applyFont="1" applyBorder="1"/>
    <xf numFmtId="0" fontId="0" fillId="7" borderId="4" xfId="0" applyFill="1" applyBorder="1" applyAlignment="1">
      <alignment wrapText="1"/>
    </xf>
    <xf numFmtId="9" fontId="0" fillId="7" borderId="5" xfId="0" applyNumberFormat="1" applyFill="1" applyBorder="1"/>
    <xf numFmtId="9" fontId="0" fillId="7" borderId="6" xfId="0" applyNumberFormat="1" applyFill="1" applyBorder="1"/>
    <xf numFmtId="9" fontId="0" fillId="0" borderId="14" xfId="1" applyFont="1" applyBorder="1"/>
    <xf numFmtId="9" fontId="0" fillId="7" borderId="18" xfId="0" applyNumberFormat="1" applyFill="1" applyBorder="1"/>
    <xf numFmtId="0" fontId="0" fillId="16" borderId="0" xfId="0" applyFill="1" applyAlignment="1">
      <alignment wrapText="1"/>
    </xf>
    <xf numFmtId="0" fontId="0" fillId="0" borderId="0" xfId="0" applyAlignment="1"/>
    <xf numFmtId="0" fontId="0" fillId="0" borderId="0" xfId="0"/>
    <xf numFmtId="0" fontId="0" fillId="0" borderId="4" xfId="0" applyBorder="1"/>
    <xf numFmtId="165" fontId="3" fillId="7" borderId="4" xfId="0" applyNumberFormat="1" applyFont="1" applyFill="1" applyBorder="1"/>
    <xf numFmtId="165" fontId="0" fillId="7" borderId="4" xfId="0" applyNumberFormat="1" applyFill="1" applyBorder="1"/>
    <xf numFmtId="165" fontId="0" fillId="16" borderId="4" xfId="0" applyNumberFormat="1" applyFill="1" applyBorder="1"/>
    <xf numFmtId="165" fontId="0" fillId="0" borderId="4" xfId="0" applyNumberFormat="1" applyBorder="1"/>
    <xf numFmtId="165" fontId="3" fillId="0" borderId="4" xfId="0" applyNumberFormat="1" applyFont="1" applyBorder="1"/>
    <xf numFmtId="0" fontId="9" fillId="14" borderId="4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4" fillId="14" borderId="5" xfId="0" applyFont="1" applyFill="1" applyBorder="1" applyAlignment="1">
      <alignment vertical="center" wrapText="1"/>
    </xf>
    <xf numFmtId="0" fontId="13" fillId="0" borderId="5" xfId="0" applyFont="1" applyBorder="1"/>
    <xf numFmtId="0" fontId="10" fillId="0" borderId="6" xfId="0" applyFont="1" applyBorder="1"/>
    <xf numFmtId="0" fontId="12" fillId="0" borderId="28" xfId="0" applyFont="1" applyBorder="1"/>
    <xf numFmtId="0" fontId="12" fillId="0" borderId="29" xfId="0" applyFont="1" applyBorder="1"/>
    <xf numFmtId="0" fontId="12" fillId="0" borderId="30" xfId="0" applyFont="1" applyBorder="1"/>
    <xf numFmtId="2" fontId="12" fillId="0" borderId="31" xfId="0" applyNumberFormat="1" applyFont="1" applyBorder="1"/>
    <xf numFmtId="0" fontId="0" fillId="0" borderId="0" xfId="0" applyAlignment="1">
      <alignment vertical="top" wrapText="1"/>
    </xf>
    <xf numFmtId="0" fontId="9" fillId="14" borderId="32" xfId="0" applyFont="1" applyFill="1" applyBorder="1" applyAlignment="1">
      <alignment vertical="center" wrapText="1"/>
    </xf>
    <xf numFmtId="2" fontId="0" fillId="0" borderId="32" xfId="0" applyNumberFormat="1" applyBorder="1"/>
    <xf numFmtId="0" fontId="2" fillId="10" borderId="33" xfId="0" applyFont="1" applyFill="1" applyBorder="1" applyAlignment="1">
      <alignment horizontal="center" vertical="center"/>
    </xf>
    <xf numFmtId="0" fontId="0" fillId="7" borderId="34" xfId="0" applyFill="1" applyBorder="1" applyAlignment="1">
      <alignment vertical="center" wrapText="1"/>
    </xf>
    <xf numFmtId="0" fontId="0" fillId="7" borderId="35" xfId="0" applyFill="1" applyBorder="1" applyAlignment="1">
      <alignment vertical="center" wrapText="1"/>
    </xf>
    <xf numFmtId="0" fontId="9" fillId="14" borderId="36" xfId="0" applyFont="1" applyFill="1" applyBorder="1" applyAlignment="1">
      <alignment vertical="center" wrapText="1"/>
    </xf>
    <xf numFmtId="9" fontId="0" fillId="0" borderId="37" xfId="1" applyFont="1" applyBorder="1"/>
    <xf numFmtId="0" fontId="0" fillId="0" borderId="38" xfId="0" applyBorder="1"/>
    <xf numFmtId="0" fontId="0" fillId="0" borderId="39" xfId="0" applyBorder="1"/>
    <xf numFmtId="9" fontId="0" fillId="7" borderId="40" xfId="0" applyNumberFormat="1" applyFill="1" applyBorder="1"/>
    <xf numFmtId="164" fontId="0" fillId="0" borderId="0" xfId="0" applyNumberFormat="1" applyAlignment="1">
      <alignment vertical="top" wrapText="1"/>
    </xf>
    <xf numFmtId="0" fontId="10" fillId="0" borderId="36" xfId="0" applyFont="1" applyBorder="1"/>
    <xf numFmtId="0" fontId="10" fillId="0" borderId="37" xfId="0" applyFont="1" applyBorder="1"/>
    <xf numFmtId="0" fontId="10" fillId="0" borderId="38" xfId="0" applyFont="1" applyBorder="1"/>
    <xf numFmtId="2" fontId="10" fillId="0" borderId="40" xfId="0" applyNumberFormat="1" applyFont="1" applyBorder="1"/>
    <xf numFmtId="165" fontId="0" fillId="8" borderId="0" xfId="0" applyNumberFormat="1" applyFill="1"/>
    <xf numFmtId="164" fontId="0" fillId="7" borderId="4" xfId="0" applyNumberFormat="1" applyFill="1" applyBorder="1"/>
    <xf numFmtId="164" fontId="0" fillId="0" borderId="4" xfId="0" applyNumberFormat="1" applyBorder="1"/>
    <xf numFmtId="165" fontId="0" fillId="17" borderId="4" xfId="0" applyNumberFormat="1" applyFill="1" applyBorder="1"/>
    <xf numFmtId="0" fontId="0" fillId="0" borderId="0" xfId="0" applyAlignment="1">
      <alignment vertical="top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/>
    </xf>
    <xf numFmtId="1" fontId="9" fillId="14" borderId="4" xfId="0" applyNumberFormat="1" applyFont="1" applyFill="1" applyBorder="1" applyAlignment="1">
      <alignment horizontal="left" vertical="top" wrapText="1"/>
    </xf>
    <xf numFmtId="0" fontId="0" fillId="6" borderId="7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12" borderId="7" xfId="0" applyFont="1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4" xfId="0" applyFill="1" applyBorder="1" applyAlignment="1">
      <alignment horizontal="center" vertical="center" textRotation="90"/>
    </xf>
    <xf numFmtId="0" fontId="6" fillId="0" borderId="8" xfId="0" applyFont="1" applyBorder="1" applyAlignment="1">
      <alignment horizontal="left"/>
    </xf>
    <xf numFmtId="0" fontId="2" fillId="8" borderId="5" xfId="0" applyFont="1" applyFill="1" applyBorder="1" applyAlignment="1">
      <alignment horizontal="center"/>
    </xf>
    <xf numFmtId="0" fontId="2" fillId="8" borderId="9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2" xfId="0" applyFont="1" applyBorder="1" applyAlignment="1">
      <alignment horizontal="left"/>
    </xf>
    <xf numFmtId="0" fontId="2" fillId="8" borderId="14" xfId="0" applyFont="1" applyFill="1" applyBorder="1" applyAlignment="1">
      <alignment horizontal="right" vertical="center" textRotation="90"/>
    </xf>
    <xf numFmtId="0" fontId="2" fillId="8" borderId="15" xfId="0" applyFont="1" applyFill="1" applyBorder="1" applyAlignment="1">
      <alignment horizontal="right" vertical="center" textRotation="90"/>
    </xf>
    <xf numFmtId="0" fontId="2" fillId="8" borderId="16" xfId="0" applyFont="1" applyFill="1" applyBorder="1" applyAlignment="1">
      <alignment horizontal="right" vertical="center" textRotation="90"/>
    </xf>
    <xf numFmtId="0" fontId="7" fillId="13" borderId="10" xfId="0" applyFont="1" applyFill="1" applyBorder="1" applyAlignment="1">
      <alignment horizontal="center"/>
    </xf>
    <xf numFmtId="0" fontId="7" fillId="13" borderId="17" xfId="0" applyFont="1" applyFill="1" applyBorder="1" applyAlignment="1">
      <alignment horizontal="center"/>
    </xf>
    <xf numFmtId="0" fontId="7" fillId="13" borderId="11" xfId="0" applyFont="1" applyFill="1" applyBorder="1" applyAlignment="1">
      <alignment horizontal="center"/>
    </xf>
    <xf numFmtId="0" fontId="15" fillId="0" borderId="10" xfId="0" applyFont="1" applyBorder="1" applyAlignment="1">
      <alignment horizontal="left" vertical="top"/>
    </xf>
    <xf numFmtId="0" fontId="15" fillId="0" borderId="17" xfId="0" applyFont="1" applyBorder="1" applyAlignment="1">
      <alignment horizontal="left" vertical="top"/>
    </xf>
    <xf numFmtId="0" fontId="15" fillId="0" borderId="11" xfId="0" applyFont="1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2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25" xfId="0" applyBorder="1" applyAlignment="1">
      <alignment horizontal="left" wrapText="1"/>
    </xf>
    <xf numFmtId="0" fontId="2" fillId="8" borderId="0" xfId="0" applyFont="1" applyFill="1" applyAlignment="1">
      <alignment horizontal="left" vertical="center"/>
    </xf>
    <xf numFmtId="0" fontId="10" fillId="0" borderId="33" xfId="0" applyFont="1" applyBorder="1" applyAlignment="1">
      <alignment horizontal="left" vertical="top" wrapText="1"/>
    </xf>
    <xf numFmtId="0" fontId="10" fillId="0" borderId="35" xfId="0" applyFont="1" applyBorder="1" applyAlignment="1">
      <alignment horizontal="left" vertical="top" wrapText="1"/>
    </xf>
    <xf numFmtId="0" fontId="13" fillId="0" borderId="4" xfId="0" applyFont="1" applyBorder="1" applyAlignment="1">
      <alignment horizontal="left"/>
    </xf>
    <xf numFmtId="0" fontId="13" fillId="0" borderId="5" xfId="0" applyFont="1" applyBorder="1" applyAlignment="1">
      <alignment horizontal="left"/>
    </xf>
    <xf numFmtId="0" fontId="12" fillId="0" borderId="26" xfId="0" applyFont="1" applyBorder="1" applyAlignment="1">
      <alignment horizontal="left"/>
    </xf>
    <xf numFmtId="0" fontId="12" fillId="0" borderId="27" xfId="0" applyFont="1" applyBorder="1" applyAlignment="1">
      <alignment horizontal="left"/>
    </xf>
    <xf numFmtId="0" fontId="10" fillId="0" borderId="6" xfId="0" applyFont="1" applyBorder="1" applyAlignment="1">
      <alignment horizontal="left"/>
    </xf>
    <xf numFmtId="0" fontId="10" fillId="0" borderId="4" xfId="0" applyFont="1" applyBorder="1" applyAlignment="1">
      <alignment horizontal="left"/>
    </xf>
  </cellXfs>
  <cellStyles count="3">
    <cellStyle name="60% - Énfasis5 2" xfId="2"/>
    <cellStyle name="Normal" xfId="0" builtinId="0"/>
    <cellStyle name="Porcentaje" xfId="1" builtinId="5"/>
  </cellStyles>
  <dxfs count="3"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_xlchart.0</cx:f>
      </cx:strDim>
      <cx:numDim type="val">
        <cx:f>_xlchart.2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Quality Sweater</a:t>
            </a:r>
          </a:p>
        </cx:rich>
      </cx:tx>
    </cx:title>
    <cx:plotArea>
      <cx:plotAreaRegion>
        <cx:series layoutId="waterfall" uniqueId="{2AFCF099-C2F4-4A67-99F9-5104282B1F14}">
          <cx:tx>
            <cx:txData>
              <cx:f>_xlchart.1</cx:f>
              <cx:v> $-1.000,00  -40000</cx:v>
            </cx:txData>
          </cx:tx>
          <cx:dataLabels pos="outEnd">
            <cx:visibility seriesName="0" categoryName="0" value="1"/>
          </cx:dataLabels>
          <cx:dataId val="0"/>
          <cx:layoutPr>
            <cx:visibility connectorLines="0"/>
            <cx:subtotals/>
          </cx:layoutPr>
        </cx:series>
      </cx:plotAreaRegion>
      <cx:axis id="0">
        <cx:catScaling gapWidth="0.25"/>
        <cx:tickLabels/>
      </cx:axis>
      <cx:axis id="1" hidden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Daily demand for photocopies</a:t>
            </a:r>
            <a:endParaRPr lang="en-US" sz="1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78937007874015"/>
          <c:y val="0.17171296296296298"/>
          <c:w val="0.85721062992125985"/>
          <c:h val="0.6002766841644794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COPIER!$H$1:$H$2</c:f>
              <c:strCache>
                <c:ptCount val="2"/>
                <c:pt idx="0">
                  <c:v>Daily demand for photocopies</c:v>
                </c:pt>
                <c:pt idx="1">
                  <c:v>500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multiLvlStrRef>
              <c:f>COPIER!$F$3:$G$7</c:f>
              <c:multiLvlStrCache>
                <c:ptCount val="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  <c:lvl>
                  <c:pt idx="0">
                    <c:v>Copies rented</c:v>
                  </c:pt>
                </c:lvl>
              </c:multiLvlStrCache>
            </c:multiLvlStrRef>
          </c:cat>
          <c:val>
            <c:numRef>
              <c:f>COPIER!$H$3:$H$7</c:f>
              <c:numCache>
                <c:formatCode>General</c:formatCode>
                <c:ptCount val="5"/>
                <c:pt idx="0">
                  <c:v>-2800</c:v>
                </c:pt>
                <c:pt idx="1">
                  <c:v>-2025</c:v>
                </c:pt>
                <c:pt idx="2">
                  <c:v>-7025</c:v>
                </c:pt>
                <c:pt idx="3">
                  <c:v>-12025</c:v>
                </c:pt>
                <c:pt idx="4">
                  <c:v>-17025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43-4C47-955B-1BF3A014A3C6}"/>
            </c:ext>
          </c:extLst>
        </c:ser>
        <c:ser>
          <c:idx val="1"/>
          <c:order val="1"/>
          <c:tx>
            <c:strRef>
              <c:f>COPIER!$I$1:$I$2</c:f>
              <c:strCache>
                <c:ptCount val="2"/>
                <c:pt idx="0">
                  <c:v>Daily demand for photocopies</c:v>
                </c:pt>
                <c:pt idx="1">
                  <c:v>1000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multiLvlStrRef>
              <c:f>COPIER!$F$3:$G$7</c:f>
              <c:multiLvlStrCache>
                <c:ptCount val="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  <c:lvl>
                  <c:pt idx="0">
                    <c:v>Copies rented</c:v>
                  </c:pt>
                </c:lvl>
              </c:multiLvlStrCache>
            </c:multiLvlStrRef>
          </c:cat>
          <c:val>
            <c:numRef>
              <c:f>COPIER!$I$3:$I$7</c:f>
              <c:numCache>
                <c:formatCode>General</c:formatCode>
                <c:ptCount val="5"/>
                <c:pt idx="0">
                  <c:v>-2800</c:v>
                </c:pt>
                <c:pt idx="1">
                  <c:v>-800</c:v>
                </c:pt>
                <c:pt idx="2">
                  <c:v>1200</c:v>
                </c:pt>
                <c:pt idx="3">
                  <c:v>750</c:v>
                </c:pt>
                <c:pt idx="4">
                  <c:v>-4250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43-4C47-955B-1BF3A014A3C6}"/>
            </c:ext>
          </c:extLst>
        </c:ser>
        <c:ser>
          <c:idx val="2"/>
          <c:order val="2"/>
          <c:tx>
            <c:strRef>
              <c:f>COPIER!$J$1:$J$2</c:f>
              <c:strCache>
                <c:ptCount val="2"/>
                <c:pt idx="0">
                  <c:v>Daily demand for photocopies</c:v>
                </c:pt>
                <c:pt idx="1">
                  <c:v>1500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multiLvlStrRef>
              <c:f>COPIER!$F$3:$G$7</c:f>
              <c:multiLvlStrCache>
                <c:ptCount val="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  <c:lvl>
                  <c:pt idx="0">
                    <c:v>Copies rented</c:v>
                  </c:pt>
                </c:lvl>
              </c:multiLvlStrCache>
            </c:multiLvlStrRef>
          </c:cat>
          <c:val>
            <c:numRef>
              <c:f>COPIER!$J$3:$J$7</c:f>
              <c:numCache>
                <c:formatCode>General</c:formatCode>
                <c:ptCount val="5"/>
                <c:pt idx="0">
                  <c:v>-2800</c:v>
                </c:pt>
                <c:pt idx="1">
                  <c:v>-800</c:v>
                </c:pt>
                <c:pt idx="2">
                  <c:v>1200</c:v>
                </c:pt>
                <c:pt idx="3">
                  <c:v>3200</c:v>
                </c:pt>
                <c:pt idx="4">
                  <c:v>5200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43-4C47-955B-1BF3A014A3C6}"/>
            </c:ext>
          </c:extLst>
        </c:ser>
        <c:ser>
          <c:idx val="3"/>
          <c:order val="3"/>
          <c:tx>
            <c:strRef>
              <c:f>COPIER!$K$1:$K$2</c:f>
              <c:strCache>
                <c:ptCount val="2"/>
                <c:pt idx="0">
                  <c:v>Daily demand for photocopies</c:v>
                </c:pt>
                <c:pt idx="1">
                  <c:v>2000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multiLvlStrRef>
              <c:f>COPIER!$F$3:$G$7</c:f>
              <c:multiLvlStrCache>
                <c:ptCount val="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  <c:lvl>
                  <c:pt idx="0">
                    <c:v>Copies rented</c:v>
                  </c:pt>
                </c:lvl>
              </c:multiLvlStrCache>
            </c:multiLvlStrRef>
          </c:cat>
          <c:val>
            <c:numRef>
              <c:f>COPIER!$K$3:$K$7</c:f>
              <c:numCache>
                <c:formatCode>General</c:formatCode>
                <c:ptCount val="5"/>
                <c:pt idx="0">
                  <c:v>-2800</c:v>
                </c:pt>
                <c:pt idx="1">
                  <c:v>-800</c:v>
                </c:pt>
                <c:pt idx="2">
                  <c:v>1200</c:v>
                </c:pt>
                <c:pt idx="3">
                  <c:v>3200</c:v>
                </c:pt>
                <c:pt idx="4">
                  <c:v>5200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943-4C47-955B-1BF3A014A3C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262280111"/>
        <c:axId val="1262277199"/>
      </c:barChart>
      <c:catAx>
        <c:axId val="1262280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277199"/>
        <c:crosses val="autoZero"/>
        <c:auto val="1"/>
        <c:lblAlgn val="ctr"/>
        <c:lblOffset val="100"/>
        <c:noMultiLvlLbl val="0"/>
      </c:catAx>
      <c:valAx>
        <c:axId val="1262277199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262280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chemeClr val="bg1">
                    <a:lumMod val="50000"/>
                  </a:schemeClr>
                </a:solidFill>
              </a:rPr>
              <a:t>Tour profit/ price and nº of weeks</a:t>
            </a:r>
            <a:endParaRPr lang="en-US">
              <a:solidFill>
                <a:schemeClr val="bg1">
                  <a:lumMod val="50000"/>
                </a:schemeClr>
              </a:solidFill>
            </a:endParaRPr>
          </a:p>
        </c:rich>
      </c:tx>
      <c:layout>
        <c:manualLayout>
          <c:xMode val="edge"/>
          <c:yMode val="edge"/>
          <c:x val="9.8479002624671935E-2"/>
          <c:y val="5.09259259259259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val>
            <c:numRef>
              <c:f>'Band `Screamin Blue Jays'!$E$3:$E$9</c:f>
              <c:numCache>
                <c:formatCode>General</c:formatCode>
                <c:ptCount val="7"/>
                <c:pt idx="0">
                  <c:v>4420000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3F-4AB1-97A0-0E6DB12F7F09}"/>
            </c:ext>
          </c:extLst>
        </c:ser>
        <c:ser>
          <c:idx val="1"/>
          <c:order val="1"/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val>
            <c:numRef>
              <c:f>'Band `Screamin Blue Jays'!$F$3:$F$9</c:f>
              <c:numCache>
                <c:formatCode>General</c:formatCode>
                <c:ptCount val="7"/>
                <c:pt idx="0" formatCode="_-[$$-409]* #,##0.00_ ;_-[$$-409]* \-#,##0.00\ ;_-[$$-409]* &quot;-&quot;??_ ;_-@_ ">
                  <c:v>40</c:v>
                </c:pt>
                <c:pt idx="1">
                  <c:v>-1168000</c:v>
                </c:pt>
                <c:pt idx="2">
                  <c:v>-446000</c:v>
                </c:pt>
                <c:pt idx="3">
                  <c:v>276000</c:v>
                </c:pt>
                <c:pt idx="4">
                  <c:v>998000</c:v>
                </c:pt>
                <c:pt idx="5">
                  <c:v>1720000</c:v>
                </c:pt>
                <c:pt idx="6">
                  <c:v>2442000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3F-4AB1-97A0-0E6DB12F7F09}"/>
            </c:ext>
          </c:extLst>
        </c:ser>
        <c:ser>
          <c:idx val="2"/>
          <c:order val="2"/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val>
            <c:numRef>
              <c:f>'Band `Screamin Blue Jays'!$G$3:$G$9</c:f>
              <c:numCache>
                <c:formatCode>General</c:formatCode>
                <c:ptCount val="7"/>
                <c:pt idx="0" formatCode="_-[$$-409]* #,##0.00_ ;_-[$$-409]* \-#,##0.00\ ;_-[$$-409]* &quot;-&quot;??_ ;_-@_ ">
                  <c:v>45</c:v>
                </c:pt>
                <c:pt idx="1">
                  <c:v>-628000</c:v>
                </c:pt>
                <c:pt idx="2">
                  <c:v>184000</c:v>
                </c:pt>
                <c:pt idx="3">
                  <c:v>996000</c:v>
                </c:pt>
                <c:pt idx="4">
                  <c:v>1808000</c:v>
                </c:pt>
                <c:pt idx="5">
                  <c:v>2620000</c:v>
                </c:pt>
                <c:pt idx="6">
                  <c:v>3432000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3F-4AB1-97A0-0E6DB12F7F09}"/>
            </c:ext>
          </c:extLst>
        </c:ser>
        <c:ser>
          <c:idx val="3"/>
          <c:order val="3"/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val>
            <c:numRef>
              <c:f>'Band `Screamin Blue Jays'!$H$3:$H$9</c:f>
              <c:numCache>
                <c:formatCode>General</c:formatCode>
                <c:ptCount val="7"/>
                <c:pt idx="0" formatCode="_-[$$-409]* #,##0.00_ ;_-[$$-409]* \-#,##0.00\ ;_-[$$-409]* &quot;-&quot;??_ ;_-@_ ">
                  <c:v>50</c:v>
                </c:pt>
                <c:pt idx="1">
                  <c:v>-88000</c:v>
                </c:pt>
                <c:pt idx="2">
                  <c:v>814000</c:v>
                </c:pt>
                <c:pt idx="3">
                  <c:v>1716000</c:v>
                </c:pt>
                <c:pt idx="4">
                  <c:v>2618000</c:v>
                </c:pt>
                <c:pt idx="5">
                  <c:v>3520000</c:v>
                </c:pt>
                <c:pt idx="6">
                  <c:v>4422000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13F-4AB1-97A0-0E6DB12F7F09}"/>
            </c:ext>
          </c:extLst>
        </c:ser>
        <c:ser>
          <c:idx val="4"/>
          <c:order val="4"/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val>
            <c:numRef>
              <c:f>'Band `Screamin Blue Jays'!$I$3:$I$9</c:f>
              <c:numCache>
                <c:formatCode>General</c:formatCode>
                <c:ptCount val="7"/>
                <c:pt idx="0" formatCode="_-[$$-409]* #,##0.00_ ;_-[$$-409]* \-#,##0.00\ ;_-[$$-409]* &quot;-&quot;??_ ;_-@_ ">
                  <c:v>55</c:v>
                </c:pt>
                <c:pt idx="1">
                  <c:v>452000</c:v>
                </c:pt>
                <c:pt idx="2">
                  <c:v>1444000</c:v>
                </c:pt>
                <c:pt idx="3">
                  <c:v>2436000</c:v>
                </c:pt>
                <c:pt idx="4">
                  <c:v>3428000</c:v>
                </c:pt>
                <c:pt idx="5">
                  <c:v>4420000</c:v>
                </c:pt>
                <c:pt idx="6">
                  <c:v>5412000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13F-4AB1-97A0-0E6DB12F7F09}"/>
            </c:ext>
          </c:extLst>
        </c:ser>
        <c:ser>
          <c:idx val="5"/>
          <c:order val="5"/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val>
            <c:numRef>
              <c:f>'Band `Screamin Blue Jays'!$J$3:$J$9</c:f>
              <c:numCache>
                <c:formatCode>General</c:formatCode>
                <c:ptCount val="7"/>
                <c:pt idx="0" formatCode="_-[$$-409]* #,##0.00_ ;_-[$$-409]* \-#,##0.00\ ;_-[$$-409]* &quot;-&quot;??_ ;_-@_ ">
                  <c:v>60</c:v>
                </c:pt>
                <c:pt idx="1">
                  <c:v>992000</c:v>
                </c:pt>
                <c:pt idx="2">
                  <c:v>2074000</c:v>
                </c:pt>
                <c:pt idx="3">
                  <c:v>3156000</c:v>
                </c:pt>
                <c:pt idx="4">
                  <c:v>4238000</c:v>
                </c:pt>
                <c:pt idx="5">
                  <c:v>5320000</c:v>
                </c:pt>
                <c:pt idx="6">
                  <c:v>6402000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13F-4AB1-97A0-0E6DB12F7F09}"/>
            </c:ext>
          </c:extLst>
        </c:ser>
        <c:ser>
          <c:idx val="6"/>
          <c:order val="6"/>
          <c:spPr>
            <a:solidFill>
              <a:schemeClr val="accent1">
                <a:lumMod val="6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val>
            <c:numRef>
              <c:f>'Band `Screamin Blue Jays'!$K$3:$K$9</c:f>
              <c:numCache>
                <c:formatCode>General</c:formatCode>
                <c:ptCount val="7"/>
                <c:pt idx="0" formatCode="_-[$$-409]* #,##0.00_ ;_-[$$-409]* \-#,##0.00\ ;_-[$$-409]* &quot;-&quot;??_ ;_-@_ ">
                  <c:v>65</c:v>
                </c:pt>
                <c:pt idx="1">
                  <c:v>1532000</c:v>
                </c:pt>
                <c:pt idx="2">
                  <c:v>2704000</c:v>
                </c:pt>
                <c:pt idx="3">
                  <c:v>3876000</c:v>
                </c:pt>
                <c:pt idx="4">
                  <c:v>5048000</c:v>
                </c:pt>
                <c:pt idx="5">
                  <c:v>6220000</c:v>
                </c:pt>
                <c:pt idx="6">
                  <c:v>7392000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13F-4AB1-97A0-0E6DB12F7F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axId val="1266876447"/>
        <c:axId val="1266870207"/>
      </c:barChart>
      <c:catAx>
        <c:axId val="12668764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Nº WEEKS OF TOUR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6360892388451449"/>
              <c:y val="0.888958151064450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870207"/>
        <c:crosses val="autoZero"/>
        <c:auto val="1"/>
        <c:lblAlgn val="ctr"/>
        <c:lblOffset val="100"/>
        <c:noMultiLvlLbl val="0"/>
      </c:catAx>
      <c:valAx>
        <c:axId val="1266870207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SERIES=</a:t>
                </a:r>
                <a:r>
                  <a:rPr lang="en-US" baseline="0"/>
                  <a:t> price of tickets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2222222222222223E-2"/>
              <c:y val="0.325856299212598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266876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 vs Demand</a:t>
            </a:r>
          </a:p>
        </c:rich>
      </c:tx>
      <c:layout>
        <c:manualLayout>
          <c:xMode val="edge"/>
          <c:yMode val="edge"/>
          <c:x val="3.7389685828169789E-2"/>
          <c:y val="3.10113185271986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'shop 19th Hole'!$C$1</c:f>
              <c:strCache>
                <c:ptCount val="1"/>
                <c:pt idx="0">
                  <c:v>Demand
(palos de golf vendidos)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1529538167105947"/>
                  <c:y val="-0.554075129881531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rgbClr val="00B050"/>
                </a:solidFill>
                <a:prstDash val="sysDash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3.3446862663768243E-2"/>
                  <c:y val="-0.52180341511980965"/>
                </c:manualLayout>
              </c:layout>
              <c:numFmt formatCode="#,##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0.15734587861096769"/>
                  <c:y val="-0.5330433827319769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'shop 19th Hole'!$B$2:$B$13</c:f>
              <c:numCache>
                <c:formatCode>General</c:formatCode>
                <c:ptCount val="12"/>
                <c:pt idx="0">
                  <c:v>450</c:v>
                </c:pt>
                <c:pt idx="1">
                  <c:v>300</c:v>
                </c:pt>
                <c:pt idx="2">
                  <c:v>440</c:v>
                </c:pt>
                <c:pt idx="3">
                  <c:v>360</c:v>
                </c:pt>
                <c:pt idx="4">
                  <c:v>290</c:v>
                </c:pt>
                <c:pt idx="5">
                  <c:v>450</c:v>
                </c:pt>
                <c:pt idx="6">
                  <c:v>340</c:v>
                </c:pt>
                <c:pt idx="7">
                  <c:v>370</c:v>
                </c:pt>
                <c:pt idx="8">
                  <c:v>500</c:v>
                </c:pt>
                <c:pt idx="9">
                  <c:v>490</c:v>
                </c:pt>
                <c:pt idx="10">
                  <c:v>430</c:v>
                </c:pt>
                <c:pt idx="11">
                  <c:v>390</c:v>
                </c:pt>
              </c:numCache>
            </c:numRef>
          </c:xVal>
          <c:yVal>
            <c:numRef>
              <c:f>'shop 19th Hole'!$C$2:$C$13</c:f>
              <c:numCache>
                <c:formatCode>General</c:formatCode>
                <c:ptCount val="12"/>
                <c:pt idx="0">
                  <c:v>45</c:v>
                </c:pt>
                <c:pt idx="1">
                  <c:v>103</c:v>
                </c:pt>
                <c:pt idx="2">
                  <c:v>49</c:v>
                </c:pt>
                <c:pt idx="3">
                  <c:v>86</c:v>
                </c:pt>
                <c:pt idx="4">
                  <c:v>125</c:v>
                </c:pt>
                <c:pt idx="5">
                  <c:v>52</c:v>
                </c:pt>
                <c:pt idx="6">
                  <c:v>87</c:v>
                </c:pt>
                <c:pt idx="7">
                  <c:v>68</c:v>
                </c:pt>
                <c:pt idx="8">
                  <c:v>45</c:v>
                </c:pt>
                <c:pt idx="9">
                  <c:v>44</c:v>
                </c:pt>
                <c:pt idx="10">
                  <c:v>58</c:v>
                </c:pt>
                <c:pt idx="11">
                  <c:v>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AB-49A9-B9C3-9B3FD2D8C3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6874367"/>
        <c:axId val="1266875199"/>
      </c:scatterChart>
      <c:valAx>
        <c:axId val="1266874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 (€)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875199"/>
        <c:crosses val="autoZero"/>
        <c:crossBetween val="midCat"/>
      </c:valAx>
      <c:valAx>
        <c:axId val="1266875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Demand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874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'shop 19th Hole'!$G$38:$G$76</c:f>
              <c:numCache>
                <c:formatCode>_-[$$-409]* #,##0_ ;_-[$$-409]* \-#,##0\ ;_-[$$-409]* "-"??_ ;_-@_ </c:formatCode>
                <c:ptCount val="39"/>
                <c:pt idx="0">
                  <c:v>260</c:v>
                </c:pt>
                <c:pt idx="1">
                  <c:v>270</c:v>
                </c:pt>
                <c:pt idx="2">
                  <c:v>280</c:v>
                </c:pt>
                <c:pt idx="3">
                  <c:v>290</c:v>
                </c:pt>
                <c:pt idx="4">
                  <c:v>300</c:v>
                </c:pt>
                <c:pt idx="5">
                  <c:v>310</c:v>
                </c:pt>
                <c:pt idx="6">
                  <c:v>320</c:v>
                </c:pt>
                <c:pt idx="7">
                  <c:v>330</c:v>
                </c:pt>
                <c:pt idx="8">
                  <c:v>340</c:v>
                </c:pt>
                <c:pt idx="9">
                  <c:v>350</c:v>
                </c:pt>
                <c:pt idx="10">
                  <c:v>360</c:v>
                </c:pt>
                <c:pt idx="11">
                  <c:v>370</c:v>
                </c:pt>
                <c:pt idx="12">
                  <c:v>380</c:v>
                </c:pt>
                <c:pt idx="13">
                  <c:v>390</c:v>
                </c:pt>
                <c:pt idx="14">
                  <c:v>400</c:v>
                </c:pt>
                <c:pt idx="15">
                  <c:v>410</c:v>
                </c:pt>
                <c:pt idx="16">
                  <c:v>420</c:v>
                </c:pt>
                <c:pt idx="17">
                  <c:v>430</c:v>
                </c:pt>
                <c:pt idx="18">
                  <c:v>440</c:v>
                </c:pt>
                <c:pt idx="19">
                  <c:v>450</c:v>
                </c:pt>
                <c:pt idx="20">
                  <c:v>460</c:v>
                </c:pt>
                <c:pt idx="21">
                  <c:v>470</c:v>
                </c:pt>
                <c:pt idx="22">
                  <c:v>480</c:v>
                </c:pt>
                <c:pt idx="23">
                  <c:v>490</c:v>
                </c:pt>
                <c:pt idx="24">
                  <c:v>500</c:v>
                </c:pt>
                <c:pt idx="25">
                  <c:v>510</c:v>
                </c:pt>
                <c:pt idx="26">
                  <c:v>520</c:v>
                </c:pt>
                <c:pt idx="27">
                  <c:v>530</c:v>
                </c:pt>
                <c:pt idx="28">
                  <c:v>540</c:v>
                </c:pt>
                <c:pt idx="29">
                  <c:v>550</c:v>
                </c:pt>
                <c:pt idx="30">
                  <c:v>560</c:v>
                </c:pt>
                <c:pt idx="31">
                  <c:v>570</c:v>
                </c:pt>
                <c:pt idx="32">
                  <c:v>580</c:v>
                </c:pt>
                <c:pt idx="33">
                  <c:v>590</c:v>
                </c:pt>
                <c:pt idx="34">
                  <c:v>600</c:v>
                </c:pt>
                <c:pt idx="35">
                  <c:v>700</c:v>
                </c:pt>
                <c:pt idx="36">
                  <c:v>800</c:v>
                </c:pt>
                <c:pt idx="37">
                  <c:v>900</c:v>
                </c:pt>
                <c:pt idx="38">
                  <c:v>1000</c:v>
                </c:pt>
              </c:numCache>
            </c:numRef>
          </c:xVal>
          <c:yVal>
            <c:numRef>
              <c:f>'shop 19th Hole'!$H$38:$H$76</c:f>
              <c:numCache>
                <c:formatCode>_-[$$-409]* #,##0_ ;_-[$$-409]* \-#,##0\ ;_-[$$-409]* "-"??_ ;_-@_ </c:formatCode>
                <c:ptCount val="39"/>
                <c:pt idx="0">
                  <c:v>144859.72842847556</c:v>
                </c:pt>
                <c:pt idx="1">
                  <c:v>269590.60184817808</c:v>
                </c:pt>
                <c:pt idx="2">
                  <c:v>377277.18719872413</c:v>
                </c:pt>
                <c:pt idx="3">
                  <c:v>470458.61526328744</c:v>
                </c:pt>
                <c:pt idx="4">
                  <c:v>551238.40185229108</c:v>
                </c:pt>
                <c:pt idx="5">
                  <c:v>621369.53021456813</c:v>
                </c:pt>
                <c:pt idx="6">
                  <c:v>682320.93416212313</c:v>
                </c:pt>
                <c:pt idx="7">
                  <c:v>735329.86392835062</c:v>
                </c:pt>
                <c:pt idx="8">
                  <c:v>781443.44106265297</c:v>
                </c:pt>
                <c:pt idx="9">
                  <c:v>821551.86522268457</c:v>
                </c:pt>
                <c:pt idx="10">
                  <c:v>856415.12424477958</c:v>
                </c:pt>
                <c:pt idx="11">
                  <c:v>886684.61116254725</c:v>
                </c:pt>
                <c:pt idx="12">
                  <c:v>912920.72098907013</c:v>
                </c:pt>
                <c:pt idx="13">
                  <c:v>935607.253438466</c:v>
                </c:pt>
                <c:pt idx="14">
                  <c:v>955163.26238462282</c:v>
                </c:pt>
                <c:pt idx="15">
                  <c:v>971952.85243747453</c:v>
                </c:pt>
                <c:pt idx="16">
                  <c:v>986293.31587235699</c:v>
                </c:pt>
                <c:pt idx="17">
                  <c:v>998461.92082203622</c:v>
                </c:pt>
                <c:pt idx="18">
                  <c:v>1008701.5979665397</c:v>
                </c:pt>
                <c:pt idx="19">
                  <c:v>1017225.7233983984</c:v>
                </c:pt>
                <c:pt idx="20">
                  <c:v>1024222.1565401531</c:v>
                </c:pt>
                <c:pt idx="21">
                  <c:v>1029856.6614397548</c:v>
                </c:pt>
                <c:pt idx="22">
                  <c:v>1034275.8155834542</c:v>
                </c:pt>
                <c:pt idx="23">
                  <c:v>1037609.4911199291</c:v>
                </c:pt>
                <c:pt idx="24">
                  <c:v>1039972.9779989794</c:v>
                </c:pt>
                <c:pt idx="25">
                  <c:v>1041468.8061629091</c:v>
                </c:pt>
                <c:pt idx="26">
                  <c:v>1042188.3139489595</c:v>
                </c:pt>
                <c:pt idx="27">
                  <c:v>1042213.0017719698</c:v>
                </c:pt>
                <c:pt idx="28">
                  <c:v>1041615.7035724644</c:v>
                </c:pt>
                <c:pt idx="29">
                  <c:v>1040461.6031350964</c:v>
                </c:pt>
                <c:pt idx="30">
                  <c:v>1038809.1179690239</c:v>
                </c:pt>
                <c:pt idx="31">
                  <c:v>1036710.669808225</c:v>
                </c:pt>
                <c:pt idx="32">
                  <c:v>1034213.3577876764</c:v>
                </c:pt>
                <c:pt idx="33">
                  <c:v>1031359.5478624469</c:v>
                </c:pt>
                <c:pt idx="34">
                  <c:v>1028187.3899667513</c:v>
                </c:pt>
                <c:pt idx="35">
                  <c:v>985104.42081539321</c:v>
                </c:pt>
                <c:pt idx="36">
                  <c:v>933219.50848926988</c:v>
                </c:pt>
                <c:pt idx="37">
                  <c:v>880917.95766693447</c:v>
                </c:pt>
                <c:pt idx="38">
                  <c:v>831338.85314930137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0E-4382-9101-D12CD320EE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0901536"/>
        <c:axId val="1220903200"/>
      </c:scatterChart>
      <c:valAx>
        <c:axId val="1220901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903200"/>
        <c:crosses val="autoZero"/>
        <c:crossBetween val="midCat"/>
      </c:valAx>
      <c:valAx>
        <c:axId val="122090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901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7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/>
    </cs:fontRef>
    <cs:defRPr sz="900" b="1" i="0" u="none" strike="noStrike" kern="1200" baseline="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  <cs:bodyPr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280987</xdr:colOff>
      <xdr:row>2</xdr:row>
      <xdr:rowOff>114300</xdr:rowOff>
    </xdr:from>
    <xdr:to>
      <xdr:col>13</xdr:col>
      <xdr:colOff>280987</xdr:colOff>
      <xdr:row>17</xdr:row>
      <xdr:rowOff>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Gráfico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761999</xdr:colOff>
      <xdr:row>8</xdr:row>
      <xdr:rowOff>9525</xdr:rowOff>
    </xdr:from>
    <xdr:to>
      <xdr:col>11</xdr:col>
      <xdr:colOff>390524</xdr:colOff>
      <xdr:row>22</xdr:row>
      <xdr:rowOff>47625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714375</xdr:colOff>
      <xdr:row>10</xdr:row>
      <xdr:rowOff>0</xdr:rowOff>
    </xdr:from>
    <xdr:to>
      <xdr:col>9</xdr:col>
      <xdr:colOff>714375</xdr:colOff>
      <xdr:row>24</xdr:row>
      <xdr:rowOff>76200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294276</xdr:colOff>
      <xdr:row>4</xdr:row>
      <xdr:rowOff>152960</xdr:rowOff>
    </xdr:from>
    <xdr:to>
      <xdr:col>13</xdr:col>
      <xdr:colOff>638232</xdr:colOff>
      <xdr:row>19</xdr:row>
      <xdr:rowOff>122704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65767</xdr:colOff>
      <xdr:row>32</xdr:row>
      <xdr:rowOff>102053</xdr:rowOff>
    </xdr:from>
    <xdr:to>
      <xdr:col>6</xdr:col>
      <xdr:colOff>167821</xdr:colOff>
      <xdr:row>33</xdr:row>
      <xdr:rowOff>147411</xdr:rowOff>
    </xdr:to>
    <xdr:sp macro="" textlink="">
      <xdr:nvSpPr>
        <xdr:cNvPr id="3" name="Flecha arriba 2"/>
        <xdr:cNvSpPr/>
      </xdr:nvSpPr>
      <xdr:spPr>
        <a:xfrm>
          <a:off x="6568167" y="7302953"/>
          <a:ext cx="102054" cy="24855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758598</xdr:colOff>
      <xdr:row>35</xdr:row>
      <xdr:rowOff>187552</xdr:rowOff>
    </xdr:from>
    <xdr:to>
      <xdr:col>14</xdr:col>
      <xdr:colOff>394607</xdr:colOff>
      <xdr:row>50</xdr:row>
      <xdr:rowOff>39234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Normal="100" workbookViewId="0">
      <selection activeCell="A9" sqref="A9"/>
    </sheetView>
  </sheetViews>
  <sheetFormatPr baseColWidth="10" defaultRowHeight="15"/>
  <cols>
    <col min="1" max="1" width="30.7109375" customWidth="1"/>
    <col min="2" max="2" width="12.28515625" bestFit="1" customWidth="1"/>
    <col min="6" max="6" width="14.5703125" bestFit="1" customWidth="1"/>
    <col min="7" max="7" width="12" bestFit="1" customWidth="1"/>
  </cols>
  <sheetData>
    <row r="1" spans="1:7" ht="15.75" thickBot="1">
      <c r="A1" s="116" t="s">
        <v>0</v>
      </c>
      <c r="B1" s="116"/>
      <c r="C1" s="116"/>
    </row>
    <row r="3" spans="1:7">
      <c r="A3" t="s">
        <v>1</v>
      </c>
      <c r="F3" t="s">
        <v>19</v>
      </c>
    </row>
    <row r="4" spans="1:7">
      <c r="A4" s="18" t="s">
        <v>2</v>
      </c>
      <c r="F4" s="14" t="s">
        <v>20</v>
      </c>
      <c r="G4" s="14" t="s">
        <v>21</v>
      </c>
    </row>
    <row r="5" spans="1:7">
      <c r="A5" s="3" t="s">
        <v>3</v>
      </c>
      <c r="B5" s="2">
        <v>20000</v>
      </c>
      <c r="F5" s="14"/>
      <c r="G5" s="15">
        <f>B21</f>
        <v>-1000</v>
      </c>
    </row>
    <row r="6" spans="1:7">
      <c r="A6" t="s">
        <v>4</v>
      </c>
      <c r="F6" s="14"/>
      <c r="G6" s="14">
        <f t="dataTable" ref="G6:G17" dt2D="0" dtr="0" r1="B15"/>
        <v>-40000</v>
      </c>
    </row>
    <row r="7" spans="1:7">
      <c r="A7" s="3" t="s">
        <v>3</v>
      </c>
      <c r="B7" s="1">
        <v>0.1</v>
      </c>
      <c r="C7" t="s">
        <v>5</v>
      </c>
      <c r="F7" s="16">
        <v>0.03</v>
      </c>
      <c r="G7" s="14">
        <v>-16600</v>
      </c>
    </row>
    <row r="8" spans="1:7">
      <c r="A8" s="3" t="s">
        <v>6</v>
      </c>
      <c r="B8" s="1">
        <v>0.1</v>
      </c>
      <c r="C8" t="s">
        <v>5</v>
      </c>
      <c r="F8" s="17">
        <v>3.5000000000000003E-2</v>
      </c>
      <c r="G8" s="14">
        <v>-12700</v>
      </c>
    </row>
    <row r="9" spans="1:7">
      <c r="A9" s="3" t="s">
        <v>7</v>
      </c>
      <c r="B9" s="1">
        <v>0.2</v>
      </c>
      <c r="C9" t="s">
        <v>8</v>
      </c>
      <c r="F9" s="16">
        <v>0.04</v>
      </c>
      <c r="G9" s="14">
        <v>-8800</v>
      </c>
    </row>
    <row r="10" spans="1:7">
      <c r="A10" s="3" t="s">
        <v>10</v>
      </c>
      <c r="B10" s="1">
        <v>32</v>
      </c>
      <c r="C10" t="s">
        <v>8</v>
      </c>
      <c r="F10" s="17">
        <v>4.4999999999999998E-2</v>
      </c>
      <c r="G10" s="14">
        <v>-4900</v>
      </c>
    </row>
    <row r="11" spans="1:7">
      <c r="A11" s="13" t="s">
        <v>17</v>
      </c>
      <c r="B11" s="12">
        <f>B5+(B7+B8)*B14+(B9+B10)*B16</f>
        <v>201000</v>
      </c>
      <c r="C11" t="str">
        <f ca="1">_xlfn.FORMULATEXT(B11)</f>
        <v>=B5+(B7+B8)*B14+(B9+B10)*B16</v>
      </c>
      <c r="F11" s="16">
        <v>0.05</v>
      </c>
      <c r="G11" s="14">
        <v>-1000</v>
      </c>
    </row>
    <row r="12" spans="1:7">
      <c r="F12" s="17">
        <v>5.5E-2</v>
      </c>
      <c r="G12" s="14">
        <v>2899.9999999999709</v>
      </c>
    </row>
    <row r="13" spans="1:7">
      <c r="F13" s="16">
        <v>0.06</v>
      </c>
      <c r="G13" s="14">
        <v>6799.9999999999709</v>
      </c>
    </row>
    <row r="14" spans="1:7">
      <c r="A14" s="19" t="s">
        <v>11</v>
      </c>
      <c r="B14" s="4">
        <v>100000</v>
      </c>
      <c r="F14" s="17">
        <v>6.5000000000000002E-2</v>
      </c>
      <c r="G14" s="14">
        <v>10699.999999999971</v>
      </c>
    </row>
    <row r="15" spans="1:7">
      <c r="A15" s="3" t="s">
        <v>12</v>
      </c>
      <c r="B15" s="7">
        <v>0.05</v>
      </c>
      <c r="C15" t="s">
        <v>16</v>
      </c>
      <c r="F15" s="16">
        <v>7.0000000000000007E-2</v>
      </c>
      <c r="G15" s="14">
        <v>14600</v>
      </c>
    </row>
    <row r="16" spans="1:7">
      <c r="A16" s="13" t="s">
        <v>13</v>
      </c>
      <c r="B16" s="9">
        <f>B14*B15</f>
        <v>5000</v>
      </c>
      <c r="C16" t="str">
        <f ca="1">_xlfn.FORMULATEXT(B16)</f>
        <v>=B14*B15</v>
      </c>
      <c r="F16" s="17">
        <v>7.4999999999999997E-2</v>
      </c>
      <c r="G16" s="14">
        <v>18500</v>
      </c>
    </row>
    <row r="17" spans="1:7">
      <c r="F17" s="16">
        <v>0.08</v>
      </c>
      <c r="G17" s="14">
        <v>22400</v>
      </c>
    </row>
    <row r="18" spans="1:7">
      <c r="A18" s="18" t="s">
        <v>9</v>
      </c>
    </row>
    <row r="19" spans="1:7">
      <c r="A19" s="5" t="s">
        <v>15</v>
      </c>
      <c r="B19" s="2">
        <v>40</v>
      </c>
    </row>
    <row r="20" spans="1:7">
      <c r="A20" t="s">
        <v>14</v>
      </c>
      <c r="B20" s="2">
        <f>B16*B19</f>
        <v>200000</v>
      </c>
      <c r="C20" t="str">
        <f ca="1">_xlfn.FORMULATEXT(B20)</f>
        <v>=B16*B19</v>
      </c>
    </row>
    <row r="21" spans="1:7">
      <c r="A21" s="9" t="s">
        <v>18</v>
      </c>
      <c r="B21" s="12">
        <f>B20-B11</f>
        <v>-1000</v>
      </c>
      <c r="C21" t="str">
        <f ca="1">_xlfn.FORMULATEXT(B21)</f>
        <v>=B20-B11</v>
      </c>
    </row>
  </sheetData>
  <mergeCells count="1">
    <mergeCell ref="A1:C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8" sqref="D18"/>
    </sheetView>
  </sheetViews>
  <sheetFormatPr baseColWidth="10" defaultRowHeight="15"/>
  <cols>
    <col min="1" max="1" width="24.140625" bestFit="1" customWidth="1"/>
    <col min="2" max="2" width="15.7109375" customWidth="1"/>
    <col min="3" max="3" width="16.7109375" bestFit="1" customWidth="1"/>
  </cols>
  <sheetData>
    <row r="1" spans="1:5">
      <c r="A1" s="117" t="s">
        <v>22</v>
      </c>
      <c r="B1" s="117"/>
      <c r="C1" s="117"/>
    </row>
    <row r="2" spans="1:5">
      <c r="A2" s="21" t="s">
        <v>23</v>
      </c>
    </row>
    <row r="3" spans="1:5">
      <c r="A3" t="s">
        <v>24</v>
      </c>
      <c r="B3">
        <v>6</v>
      </c>
      <c r="C3" t="s">
        <v>25</v>
      </c>
    </row>
    <row r="4" spans="1:5">
      <c r="A4" t="s">
        <v>26</v>
      </c>
      <c r="B4" s="6">
        <v>50</v>
      </c>
      <c r="C4" t="s">
        <v>27</v>
      </c>
    </row>
    <row r="6" spans="1:5">
      <c r="A6" s="20" t="s">
        <v>2</v>
      </c>
    </row>
    <row r="7" spans="1:5">
      <c r="A7" t="s">
        <v>28</v>
      </c>
      <c r="B7" s="1">
        <v>200</v>
      </c>
      <c r="C7" t="s">
        <v>36</v>
      </c>
    </row>
    <row r="8" spans="1:5">
      <c r="A8" t="s">
        <v>29</v>
      </c>
      <c r="B8" s="1">
        <v>0.5</v>
      </c>
      <c r="C8" t="s">
        <v>30</v>
      </c>
      <c r="E8" s="1"/>
    </row>
    <row r="9" spans="1:5">
      <c r="A9" t="s">
        <v>31</v>
      </c>
      <c r="B9" s="1">
        <f>B7+B3*B4*B8</f>
        <v>350</v>
      </c>
      <c r="C9" t="str">
        <f ca="1">_xlfn.FORMULATEXT(B9)</f>
        <v>=B7+B3*B4*B8</v>
      </c>
    </row>
    <row r="11" spans="1:5">
      <c r="A11" s="20" t="s">
        <v>33</v>
      </c>
    </row>
    <row r="12" spans="1:5">
      <c r="A12" t="s">
        <v>32</v>
      </c>
      <c r="B12" s="1">
        <v>4</v>
      </c>
      <c r="C12" t="s">
        <v>30</v>
      </c>
    </row>
    <row r="13" spans="1:5">
      <c r="A13" t="s">
        <v>35</v>
      </c>
      <c r="B13" s="1">
        <f>B3*B4*B12</f>
        <v>1200</v>
      </c>
      <c r="C13" t="str">
        <f ca="1">_xlfn.FORMULATEXT(B13)</f>
        <v>=B3*B4*B12</v>
      </c>
    </row>
    <row r="15" spans="1:5">
      <c r="A15" s="23" t="s">
        <v>34</v>
      </c>
      <c r="B15" s="24">
        <f>B13-B9</f>
        <v>850</v>
      </c>
      <c r="C15" t="str">
        <f ca="1">_xlfn.FORMULATEXT(B15)</f>
        <v>=B13-B9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zoomScale="84" zoomScaleNormal="84" workbookViewId="0">
      <selection activeCell="E12" sqref="E12:O12"/>
    </sheetView>
  </sheetViews>
  <sheetFormatPr baseColWidth="10" defaultRowHeight="15"/>
  <cols>
    <col min="1" max="1" width="18.5703125" customWidth="1"/>
    <col min="2" max="2" width="20.85546875" customWidth="1"/>
    <col min="3" max="3" width="19.7109375" customWidth="1"/>
    <col min="6" max="6" width="12.7109375" customWidth="1"/>
    <col min="7" max="7" width="17.7109375" customWidth="1"/>
    <col min="8" max="8" width="12.5703125" customWidth="1"/>
  </cols>
  <sheetData>
    <row r="1" spans="1:15" ht="15.75" thickBot="1">
      <c r="A1" s="118" t="s">
        <v>37</v>
      </c>
      <c r="B1" s="119"/>
      <c r="C1" s="119"/>
      <c r="D1" s="119"/>
      <c r="E1" s="119"/>
      <c r="F1" s="119"/>
    </row>
    <row r="3" spans="1:15">
      <c r="E3" t="s">
        <v>41</v>
      </c>
    </row>
    <row r="4" spans="1:15">
      <c r="A4" t="s">
        <v>38</v>
      </c>
      <c r="B4" s="1">
        <v>30</v>
      </c>
      <c r="E4" s="26" t="s">
        <v>40</v>
      </c>
      <c r="F4" s="26" t="s">
        <v>42</v>
      </c>
    </row>
    <row r="5" spans="1:15">
      <c r="A5" t="s">
        <v>48</v>
      </c>
      <c r="B5" s="1">
        <v>10</v>
      </c>
      <c r="E5" s="26">
        <v>0</v>
      </c>
      <c r="F5" s="27">
        <v>24</v>
      </c>
    </row>
    <row r="6" spans="1:15">
      <c r="E6" s="26">
        <v>1000</v>
      </c>
      <c r="F6" s="27">
        <v>23</v>
      </c>
    </row>
    <row r="7" spans="1:15">
      <c r="E7" s="26">
        <v>2000</v>
      </c>
      <c r="F7" s="27" t="s">
        <v>43</v>
      </c>
    </row>
    <row r="8" spans="1:15">
      <c r="E8" s="26">
        <v>3000</v>
      </c>
      <c r="F8" s="27" t="s">
        <v>44</v>
      </c>
    </row>
    <row r="9" spans="1:15">
      <c r="A9" t="s">
        <v>46</v>
      </c>
      <c r="B9" s="8">
        <v>500</v>
      </c>
      <c r="C9" t="s">
        <v>47</v>
      </c>
      <c r="E9" s="26">
        <v>4000</v>
      </c>
      <c r="F9" s="27" t="s">
        <v>45</v>
      </c>
    </row>
    <row r="10" spans="1:15">
      <c r="A10" s="29" t="s">
        <v>39</v>
      </c>
      <c r="B10" s="28">
        <v>500</v>
      </c>
    </row>
    <row r="12" spans="1:15">
      <c r="A12" t="s">
        <v>49</v>
      </c>
      <c r="B12">
        <f>MAX(B10-B9,0)</f>
        <v>0</v>
      </c>
      <c r="C12" t="str">
        <f ca="1">_xlfn.FORMULATEXT(B12)</f>
        <v>=MAX(B10-B9;0)</v>
      </c>
      <c r="E12" s="122" t="s">
        <v>94</v>
      </c>
      <c r="F12" s="122"/>
      <c r="G12" s="122"/>
      <c r="H12" s="122"/>
      <c r="I12" s="122"/>
      <c r="J12" s="122"/>
      <c r="K12" s="122"/>
      <c r="L12" s="122"/>
      <c r="M12" s="122"/>
      <c r="N12" s="122"/>
      <c r="O12" s="122"/>
    </row>
    <row r="13" spans="1:15">
      <c r="B13" s="30" t="s">
        <v>53</v>
      </c>
      <c r="E13" s="14"/>
      <c r="F13" s="14"/>
      <c r="G13" s="120" t="s">
        <v>54</v>
      </c>
      <c r="H13" s="120"/>
      <c r="I13" s="120"/>
      <c r="J13" s="120"/>
      <c r="K13" s="120"/>
      <c r="L13" s="120"/>
      <c r="M13" s="120"/>
      <c r="N13" s="120"/>
      <c r="O13" s="120"/>
    </row>
    <row r="14" spans="1:15">
      <c r="E14" s="121" t="s">
        <v>55</v>
      </c>
      <c r="F14" s="35">
        <f>B19</f>
        <v>3000</v>
      </c>
      <c r="G14" s="14">
        <v>500</v>
      </c>
      <c r="H14" s="14">
        <v>1000</v>
      </c>
      <c r="I14" s="14">
        <v>1500</v>
      </c>
      <c r="J14" s="14">
        <v>2000</v>
      </c>
      <c r="K14" s="14">
        <v>2500</v>
      </c>
      <c r="L14" s="14">
        <v>3000</v>
      </c>
      <c r="M14" s="14">
        <v>3500</v>
      </c>
      <c r="N14" s="14">
        <v>4000</v>
      </c>
      <c r="O14" s="14">
        <v>4500</v>
      </c>
    </row>
    <row r="15" spans="1:15">
      <c r="A15" s="10" t="s">
        <v>50</v>
      </c>
      <c r="B15" s="33">
        <f>VLOOKUP(B10,E4:F9,2,TRUE)*B10</f>
        <v>12000</v>
      </c>
      <c r="C15" t="str">
        <f ca="1">_xlfn.FORMULATEXT(B15)</f>
        <v>=BUSCARV(B10;E4:F9;2;VERDADERO)*B10</v>
      </c>
      <c r="E15" s="121"/>
      <c r="F15" s="14">
        <v>500</v>
      </c>
      <c r="G15" s="14">
        <f t="dataTable" ref="G15:O23" dt2D="1" dtr="1" r1="B9" r2="B10"/>
        <v>3000</v>
      </c>
      <c r="H15" s="14">
        <v>3000</v>
      </c>
      <c r="I15" s="14">
        <v>3000</v>
      </c>
      <c r="J15" s="14">
        <v>3000</v>
      </c>
      <c r="K15" s="14">
        <v>3000</v>
      </c>
      <c r="L15" s="14">
        <v>3000</v>
      </c>
      <c r="M15" s="14">
        <v>3000</v>
      </c>
      <c r="N15" s="14">
        <v>3000</v>
      </c>
      <c r="O15" s="14">
        <v>3000</v>
      </c>
    </row>
    <row r="16" spans="1:15">
      <c r="E16" s="121"/>
      <c r="F16" s="14">
        <v>1000</v>
      </c>
      <c r="G16" s="14">
        <v>-3000</v>
      </c>
      <c r="H16" s="14">
        <v>7000</v>
      </c>
      <c r="I16" s="14">
        <v>7000</v>
      </c>
      <c r="J16" s="14">
        <v>7000</v>
      </c>
      <c r="K16" s="14">
        <v>7000</v>
      </c>
      <c r="L16" s="14">
        <v>7000</v>
      </c>
      <c r="M16" s="14">
        <v>7000</v>
      </c>
      <c r="N16" s="14">
        <v>7000</v>
      </c>
      <c r="O16" s="14">
        <v>7000</v>
      </c>
    </row>
    <row r="17" spans="1:15">
      <c r="A17" s="10" t="s">
        <v>52</v>
      </c>
      <c r="B17" s="11">
        <f>MIN(B9,B10)*B4+B12*B5</f>
        <v>15000</v>
      </c>
      <c r="C17" t="str">
        <f t="shared" ref="C17" ca="1" si="0">_xlfn.FORMULATEXT(B17)</f>
        <v>=MIN(B9;B10)*B4+B12*B5</v>
      </c>
      <c r="E17" s="121"/>
      <c r="F17" s="14">
        <v>1500</v>
      </c>
      <c r="G17" s="14">
        <v>-9500</v>
      </c>
      <c r="H17" s="14">
        <v>500</v>
      </c>
      <c r="I17" s="14">
        <v>10500</v>
      </c>
      <c r="J17" s="14">
        <v>10500</v>
      </c>
      <c r="K17" s="14">
        <v>10500</v>
      </c>
      <c r="L17" s="14">
        <v>10500</v>
      </c>
      <c r="M17" s="14">
        <v>10500</v>
      </c>
      <c r="N17" s="14">
        <v>10500</v>
      </c>
      <c r="O17" s="14">
        <v>10500</v>
      </c>
    </row>
    <row r="18" spans="1:15" ht="15.75" thickBot="1">
      <c r="E18" s="121"/>
      <c r="F18" s="14">
        <v>2000</v>
      </c>
      <c r="G18" s="14" t="e">
        <v>#VALUE!</v>
      </c>
      <c r="H18" s="14" t="e">
        <v>#VALUE!</v>
      </c>
      <c r="I18" s="14" t="e">
        <v>#VALUE!</v>
      </c>
      <c r="J18" s="14" t="e">
        <v>#VALUE!</v>
      </c>
      <c r="K18" s="14" t="e">
        <v>#VALUE!</v>
      </c>
      <c r="L18" s="14" t="e">
        <v>#VALUE!</v>
      </c>
      <c r="M18" s="14" t="e">
        <v>#VALUE!</v>
      </c>
      <c r="N18" s="14" t="e">
        <v>#VALUE!</v>
      </c>
      <c r="O18" s="14" t="e">
        <v>#VALUE!</v>
      </c>
    </row>
    <row r="19" spans="1:15" ht="15.75" thickBot="1">
      <c r="A19" s="31" t="s">
        <v>51</v>
      </c>
      <c r="B19" s="32">
        <f>B17-B15</f>
        <v>3000</v>
      </c>
      <c r="C19" t="str">
        <f ca="1">_xlfn.FORMULATEXT(B19)</f>
        <v>=B17-B15</v>
      </c>
      <c r="E19" s="121"/>
      <c r="F19" s="14">
        <v>2500</v>
      </c>
      <c r="G19" s="14" t="e">
        <v>#VALUE!</v>
      </c>
      <c r="H19" s="14" t="e">
        <v>#VALUE!</v>
      </c>
      <c r="I19" s="14" t="e">
        <v>#VALUE!</v>
      </c>
      <c r="J19" s="14" t="e">
        <v>#VALUE!</v>
      </c>
      <c r="K19" s="14" t="e">
        <v>#VALUE!</v>
      </c>
      <c r="L19" s="14" t="e">
        <v>#VALUE!</v>
      </c>
      <c r="M19" s="14" t="e">
        <v>#VALUE!</v>
      </c>
      <c r="N19" s="14" t="e">
        <v>#VALUE!</v>
      </c>
      <c r="O19" s="14" t="e">
        <v>#VALUE!</v>
      </c>
    </row>
    <row r="20" spans="1:15">
      <c r="E20" s="121"/>
      <c r="F20" s="14">
        <v>3000</v>
      </c>
      <c r="G20" s="14" t="e">
        <v>#VALUE!</v>
      </c>
      <c r="H20" s="14" t="e">
        <v>#VALUE!</v>
      </c>
      <c r="I20" s="14" t="e">
        <v>#VALUE!</v>
      </c>
      <c r="J20" s="14" t="e">
        <v>#VALUE!</v>
      </c>
      <c r="K20" s="14" t="e">
        <v>#VALUE!</v>
      </c>
      <c r="L20" s="14" t="e">
        <v>#VALUE!</v>
      </c>
      <c r="M20" s="14" t="e">
        <v>#VALUE!</v>
      </c>
      <c r="N20" s="14" t="e">
        <v>#VALUE!</v>
      </c>
      <c r="O20" s="14" t="e">
        <v>#VALUE!</v>
      </c>
    </row>
    <row r="21" spans="1:15">
      <c r="E21" s="121"/>
      <c r="F21" s="14">
        <v>3500</v>
      </c>
      <c r="G21" s="14" t="e">
        <v>#VALUE!</v>
      </c>
      <c r="H21" s="14" t="e">
        <v>#VALUE!</v>
      </c>
      <c r="I21" s="14" t="e">
        <v>#VALUE!</v>
      </c>
      <c r="J21" s="14" t="e">
        <v>#VALUE!</v>
      </c>
      <c r="K21" s="14" t="e">
        <v>#VALUE!</v>
      </c>
      <c r="L21" s="14" t="e">
        <v>#VALUE!</v>
      </c>
      <c r="M21" s="14" t="e">
        <v>#VALUE!</v>
      </c>
      <c r="N21" s="14" t="e">
        <v>#VALUE!</v>
      </c>
      <c r="O21" s="14" t="e">
        <v>#VALUE!</v>
      </c>
    </row>
    <row r="22" spans="1:15">
      <c r="E22" s="121"/>
      <c r="F22" s="14">
        <v>4000</v>
      </c>
      <c r="G22" s="14" t="e">
        <v>#VALUE!</v>
      </c>
      <c r="H22" s="14" t="e">
        <v>#VALUE!</v>
      </c>
      <c r="I22" s="14" t="e">
        <v>#VALUE!</v>
      </c>
      <c r="J22" s="14" t="e">
        <v>#VALUE!</v>
      </c>
      <c r="K22" s="14" t="e">
        <v>#VALUE!</v>
      </c>
      <c r="L22" s="14" t="e">
        <v>#VALUE!</v>
      </c>
      <c r="M22" s="14" t="e">
        <v>#VALUE!</v>
      </c>
      <c r="N22" s="14" t="e">
        <v>#VALUE!</v>
      </c>
      <c r="O22" s="14" t="e">
        <v>#VALUE!</v>
      </c>
    </row>
    <row r="23" spans="1:15">
      <c r="E23" s="121"/>
      <c r="F23" s="14">
        <v>4500</v>
      </c>
      <c r="G23" s="14" t="e">
        <v>#VALUE!</v>
      </c>
      <c r="H23" s="14" t="e">
        <v>#VALUE!</v>
      </c>
      <c r="I23" s="14" t="e">
        <v>#VALUE!</v>
      </c>
      <c r="J23" s="14" t="e">
        <v>#VALUE!</v>
      </c>
      <c r="K23" s="14" t="e">
        <v>#VALUE!</v>
      </c>
      <c r="L23" s="14" t="e">
        <v>#VALUE!</v>
      </c>
      <c r="M23" s="14" t="e">
        <v>#VALUE!</v>
      </c>
      <c r="N23" s="14" t="e">
        <v>#VALUE!</v>
      </c>
      <c r="O23" s="14" t="e">
        <v>#VALUE!</v>
      </c>
    </row>
  </sheetData>
  <mergeCells count="4">
    <mergeCell ref="A1:F1"/>
    <mergeCell ref="G13:O13"/>
    <mergeCell ref="E14:E23"/>
    <mergeCell ref="E12:O12"/>
  </mergeCells>
  <conditionalFormatting sqref="I5">
    <cfRule type="colorScale" priority="2">
      <colorScale>
        <cfvo type="min"/>
        <cfvo type="max"/>
        <color rgb="FFFCFCFF"/>
        <color rgb="FF63BE7B"/>
      </colorScale>
    </cfRule>
  </conditionalFormatting>
  <conditionalFormatting sqref="E13:O23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zoomScale="77" zoomScaleNormal="77" workbookViewId="0">
      <selection activeCell="F28" sqref="F28"/>
    </sheetView>
  </sheetViews>
  <sheetFormatPr baseColWidth="10" defaultRowHeight="15"/>
  <cols>
    <col min="1" max="1" width="21.28515625" customWidth="1"/>
    <col min="2" max="2" width="17.7109375" customWidth="1"/>
    <col min="4" max="4" width="9.140625" customWidth="1"/>
  </cols>
  <sheetData>
    <row r="1" spans="1:11" ht="15.75" thickBot="1">
      <c r="A1" s="127" t="s">
        <v>56</v>
      </c>
      <c r="B1" s="128"/>
      <c r="C1" s="129"/>
      <c r="F1" s="38"/>
      <c r="G1" s="38"/>
      <c r="H1" s="123" t="s">
        <v>92</v>
      </c>
      <c r="I1" s="124"/>
      <c r="J1" s="124"/>
      <c r="K1" s="125"/>
    </row>
    <row r="2" spans="1:11">
      <c r="G2" s="34">
        <f>B24</f>
        <v>0</v>
      </c>
      <c r="H2" s="14">
        <v>500</v>
      </c>
      <c r="I2" s="14">
        <v>1000</v>
      </c>
      <c r="J2" s="14">
        <v>1500</v>
      </c>
      <c r="K2" s="14">
        <v>2000</v>
      </c>
    </row>
    <row r="3" spans="1:11">
      <c r="A3" s="37" t="s">
        <v>57</v>
      </c>
      <c r="B3" s="37">
        <v>3</v>
      </c>
      <c r="F3" s="131" t="s">
        <v>93</v>
      </c>
      <c r="G3" s="14">
        <v>1</v>
      </c>
      <c r="H3" s="14">
        <f t="dataTable" ref="H3:K7" dt2D="1" dtr="1" r1="B6" r2="B3"/>
        <v>-2800</v>
      </c>
      <c r="I3" s="14">
        <v>-2800</v>
      </c>
      <c r="J3" s="14">
        <v>-2800</v>
      </c>
      <c r="K3" s="14">
        <v>-2800</v>
      </c>
    </row>
    <row r="4" spans="1:11">
      <c r="A4" t="s">
        <v>58</v>
      </c>
      <c r="B4">
        <f>100000*B3</f>
        <v>300000</v>
      </c>
      <c r="C4" t="str">
        <f ca="1">_xlfn.FORMULATEXT(B4)</f>
        <v>=100000*B3</v>
      </c>
      <c r="F4" s="132"/>
      <c r="G4" s="14">
        <v>2</v>
      </c>
      <c r="H4" s="14">
        <v>-2025</v>
      </c>
      <c r="I4" s="14">
        <v>-800</v>
      </c>
      <c r="J4" s="14">
        <v>-800</v>
      </c>
      <c r="K4" s="14">
        <v>-800</v>
      </c>
    </row>
    <row r="5" spans="1:11">
      <c r="F5" s="132"/>
      <c r="G5" s="14">
        <v>3</v>
      </c>
      <c r="H5" s="14">
        <v>-7025</v>
      </c>
      <c r="I5" s="14">
        <v>1200</v>
      </c>
      <c r="J5" s="14">
        <v>1200</v>
      </c>
      <c r="K5" s="14">
        <v>1200</v>
      </c>
    </row>
    <row r="6" spans="1:11">
      <c r="A6" s="37" t="s">
        <v>59</v>
      </c>
      <c r="B6" s="37">
        <v>774.95107632093936</v>
      </c>
      <c r="F6" s="132"/>
      <c r="G6" s="14">
        <v>4</v>
      </c>
      <c r="H6" s="14">
        <v>-12025</v>
      </c>
      <c r="I6" s="14">
        <v>750</v>
      </c>
      <c r="J6" s="14">
        <v>3200</v>
      </c>
      <c r="K6" s="14">
        <v>3200</v>
      </c>
    </row>
    <row r="7" spans="1:11">
      <c r="A7" t="s">
        <v>60</v>
      </c>
      <c r="B7">
        <f>365*B6</f>
        <v>282857.14285714284</v>
      </c>
      <c r="C7" t="str">
        <f ca="1">_xlfn.FORMULATEXT(B7)</f>
        <v>=365*B6</v>
      </c>
      <c r="F7" s="133"/>
      <c r="G7" s="14">
        <v>5</v>
      </c>
      <c r="H7" s="14">
        <v>-17025</v>
      </c>
      <c r="I7" s="14">
        <v>-4250</v>
      </c>
      <c r="J7" s="14">
        <v>5200</v>
      </c>
      <c r="K7" s="14">
        <v>5200</v>
      </c>
    </row>
    <row r="9" spans="1:11">
      <c r="A9" t="s">
        <v>61</v>
      </c>
      <c r="B9" s="25">
        <f>IF(B7&gt;B4, B4,B7)</f>
        <v>282857.14285714284</v>
      </c>
    </row>
    <row r="11" spans="1:11" ht="15.75" thickBot="1">
      <c r="A11" s="126" t="s">
        <v>62</v>
      </c>
      <c r="B11" s="126"/>
      <c r="C11" s="126"/>
    </row>
    <row r="12" spans="1:11" ht="15.75" thickTop="1">
      <c r="A12" t="s">
        <v>63</v>
      </c>
      <c r="B12" s="1">
        <v>400</v>
      </c>
      <c r="C12" t="s">
        <v>64</v>
      </c>
    </row>
    <row r="13" spans="1:11">
      <c r="A13" t="s">
        <v>65</v>
      </c>
    </row>
    <row r="14" spans="1:11">
      <c r="A14" s="36" t="s">
        <v>66</v>
      </c>
      <c r="B14" s="22">
        <v>5000</v>
      </c>
      <c r="C14" t="s">
        <v>69</v>
      </c>
    </row>
    <row r="15" spans="1:11">
      <c r="A15" s="36" t="s">
        <v>67</v>
      </c>
      <c r="B15" s="22">
        <v>0.03</v>
      </c>
      <c r="C15" t="s">
        <v>68</v>
      </c>
    </row>
    <row r="17" spans="1:3">
      <c r="A17" s="51" t="s">
        <v>70</v>
      </c>
      <c r="B17" s="52">
        <f>B12*12+B14*B3+B15*B9</f>
        <v>28285.714285714283</v>
      </c>
      <c r="C17" t="str">
        <f ca="1">_xlfn.FORMULATEXT(B17)</f>
        <v>=B12*12+B14*B3+B15*B9</v>
      </c>
    </row>
    <row r="19" spans="1:3" ht="15.75" thickBot="1">
      <c r="A19" s="130" t="s">
        <v>71</v>
      </c>
      <c r="B19" s="130"/>
      <c r="C19" s="130"/>
    </row>
    <row r="20" spans="1:3" ht="15.75" thickTop="1">
      <c r="A20" t="s">
        <v>72</v>
      </c>
      <c r="B20" s="1">
        <v>0.1</v>
      </c>
      <c r="C20" t="s">
        <v>68</v>
      </c>
    </row>
    <row r="22" spans="1:3">
      <c r="A22" s="41" t="s">
        <v>73</v>
      </c>
      <c r="B22" s="50">
        <f>B20*B9</f>
        <v>28285.714285714286</v>
      </c>
      <c r="C22" t="s">
        <v>75</v>
      </c>
    </row>
    <row r="23" spans="1:3" ht="15.75" thickBot="1"/>
    <row r="24" spans="1:3" ht="15.75" thickBot="1">
      <c r="A24" s="48" t="s">
        <v>74</v>
      </c>
      <c r="B24" s="49">
        <f>B22-B17</f>
        <v>0</v>
      </c>
      <c r="C24" t="s">
        <v>75</v>
      </c>
    </row>
  </sheetData>
  <mergeCells count="5">
    <mergeCell ref="H1:K1"/>
    <mergeCell ref="A11:C11"/>
    <mergeCell ref="A1:C1"/>
    <mergeCell ref="A19:C19"/>
    <mergeCell ref="F3:F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C12" sqref="C12"/>
    </sheetView>
  </sheetViews>
  <sheetFormatPr baseColWidth="10" defaultRowHeight="15"/>
  <cols>
    <col min="1" max="1" width="23.5703125" customWidth="1"/>
    <col min="2" max="2" width="15.7109375" customWidth="1"/>
  </cols>
  <sheetData>
    <row r="1" spans="1:11" ht="15.75" thickBot="1">
      <c r="A1" s="134" t="s">
        <v>76</v>
      </c>
      <c r="B1" s="135"/>
      <c r="C1" s="136"/>
    </row>
    <row r="3" spans="1:11">
      <c r="A3" s="40" t="s">
        <v>77</v>
      </c>
      <c r="E3" s="45">
        <f>B22</f>
        <v>4420000</v>
      </c>
      <c r="F3" s="44">
        <v>40</v>
      </c>
      <c r="G3" s="44">
        <v>45</v>
      </c>
      <c r="H3" s="44">
        <v>50</v>
      </c>
      <c r="I3" s="44">
        <v>55</v>
      </c>
      <c r="J3" s="44">
        <v>60</v>
      </c>
      <c r="K3" s="44">
        <v>65</v>
      </c>
    </row>
    <row r="4" spans="1:11">
      <c r="A4" t="s">
        <v>78</v>
      </c>
      <c r="B4">
        <v>5</v>
      </c>
      <c r="E4" s="14">
        <v>30</v>
      </c>
      <c r="F4" s="14">
        <f t="dataTable" ref="F4:K9" dt2D="1" dtr="1" r1="B19" r2="B5"/>
        <v>-1168000</v>
      </c>
      <c r="G4" s="14">
        <v>-628000</v>
      </c>
      <c r="H4" s="14">
        <v>-88000</v>
      </c>
      <c r="I4" s="14">
        <v>452000</v>
      </c>
      <c r="J4" s="14">
        <v>992000</v>
      </c>
      <c r="K4" s="14">
        <v>1532000</v>
      </c>
    </row>
    <row r="5" spans="1:11">
      <c r="A5" t="s">
        <v>79</v>
      </c>
      <c r="B5">
        <v>50</v>
      </c>
      <c r="E5" s="14">
        <v>35</v>
      </c>
      <c r="F5" s="14">
        <v>-446000</v>
      </c>
      <c r="G5" s="14">
        <v>184000</v>
      </c>
      <c r="H5" s="14">
        <v>814000</v>
      </c>
      <c r="I5" s="14">
        <v>1444000</v>
      </c>
      <c r="J5" s="14">
        <v>2074000</v>
      </c>
      <c r="K5" s="14">
        <v>2704000</v>
      </c>
    </row>
    <row r="6" spans="1:11">
      <c r="A6" s="18" t="s">
        <v>80</v>
      </c>
      <c r="B6" s="18">
        <f>B5*B4</f>
        <v>250</v>
      </c>
      <c r="C6" s="5" t="str">
        <f ca="1">_xlfn.FORMULATEXT(B6)</f>
        <v>=B5*B4</v>
      </c>
      <c r="E6" s="14">
        <v>40</v>
      </c>
      <c r="F6" s="14">
        <v>276000</v>
      </c>
      <c r="G6" s="14">
        <v>996000</v>
      </c>
      <c r="H6" s="14">
        <v>1716000</v>
      </c>
      <c r="I6" s="14">
        <v>2436000</v>
      </c>
      <c r="J6" s="14">
        <v>3156000</v>
      </c>
      <c r="K6" s="14">
        <v>3876000</v>
      </c>
    </row>
    <row r="7" spans="1:11">
      <c r="E7" s="14">
        <v>45</v>
      </c>
      <c r="F7" s="14">
        <v>998000</v>
      </c>
      <c r="G7" s="14">
        <v>1808000</v>
      </c>
      <c r="H7" s="14">
        <v>2618000</v>
      </c>
      <c r="I7" s="14">
        <v>3428000</v>
      </c>
      <c r="J7" s="14">
        <v>4238000</v>
      </c>
      <c r="K7" s="14">
        <v>5048000</v>
      </c>
    </row>
    <row r="8" spans="1:11">
      <c r="A8" s="40" t="s">
        <v>81</v>
      </c>
      <c r="E8" s="14">
        <v>50</v>
      </c>
      <c r="F8" s="14">
        <v>1720000</v>
      </c>
      <c r="G8" s="14">
        <v>2620000</v>
      </c>
      <c r="H8" s="14">
        <v>3520000</v>
      </c>
      <c r="I8" s="14">
        <v>4420000</v>
      </c>
      <c r="J8" s="14">
        <v>5320000</v>
      </c>
      <c r="K8" s="14">
        <v>6220000</v>
      </c>
    </row>
    <row r="9" spans="1:11">
      <c r="A9" t="s">
        <v>82</v>
      </c>
      <c r="B9">
        <v>800</v>
      </c>
      <c r="E9" s="14">
        <v>55</v>
      </c>
      <c r="F9" s="14">
        <v>2442000</v>
      </c>
      <c r="G9" s="14">
        <v>3432000</v>
      </c>
      <c r="H9" s="14">
        <v>4422000</v>
      </c>
      <c r="I9" s="14">
        <v>5412000</v>
      </c>
      <c r="J9" s="14">
        <v>6402000</v>
      </c>
      <c r="K9" s="14">
        <v>7392000</v>
      </c>
    </row>
    <row r="10" spans="1:11">
      <c r="A10" t="s">
        <v>83</v>
      </c>
      <c r="B10" s="42">
        <v>0.9</v>
      </c>
    </row>
    <row r="11" spans="1:11">
      <c r="A11" t="s">
        <v>84</v>
      </c>
      <c r="B11">
        <f>B9*B10</f>
        <v>720</v>
      </c>
      <c r="C11" t="str">
        <f ca="1">_xlfn.FORMULATEXT(B11)</f>
        <v>=B9*B10</v>
      </c>
    </row>
    <row r="13" spans="1:11">
      <c r="A13" s="40" t="s">
        <v>50</v>
      </c>
    </row>
    <row r="14" spans="1:11">
      <c r="A14" t="s">
        <v>85</v>
      </c>
      <c r="B14">
        <v>5500000</v>
      </c>
    </row>
    <row r="15" spans="1:11">
      <c r="A15" t="s">
        <v>86</v>
      </c>
      <c r="B15">
        <v>1000</v>
      </c>
      <c r="C15" s="43" t="s">
        <v>87</v>
      </c>
    </row>
    <row r="16" spans="1:11">
      <c r="A16" s="18" t="s">
        <v>17</v>
      </c>
      <c r="B16" s="18">
        <f>B14+B6*B15</f>
        <v>5750000</v>
      </c>
      <c r="C16" t="str">
        <f ca="1">_xlfn.FORMULATEXT(B16)</f>
        <v>=B14+B6*B15</v>
      </c>
    </row>
    <row r="18" spans="1:3">
      <c r="A18" s="40" t="s">
        <v>9</v>
      </c>
    </row>
    <row r="19" spans="1:3">
      <c r="A19" t="s">
        <v>88</v>
      </c>
      <c r="B19" s="2">
        <v>55</v>
      </c>
    </row>
    <row r="20" spans="1:3">
      <c r="A20" t="s">
        <v>89</v>
      </c>
      <c r="B20" s="2">
        <v>1.5</v>
      </c>
    </row>
    <row r="21" spans="1:3">
      <c r="A21" t="s">
        <v>90</v>
      </c>
      <c r="B21" s="39">
        <f>B11*B6*(B19+B20)</f>
        <v>10170000</v>
      </c>
      <c r="C21" t="str">
        <f ca="1">_xlfn.FORMULATEXT(B21)</f>
        <v>=B11*B6*(B19+B20)</v>
      </c>
    </row>
    <row r="22" spans="1:3">
      <c r="A22" s="46" t="s">
        <v>91</v>
      </c>
      <c r="B22" s="47">
        <f>B21-B16</f>
        <v>4420000</v>
      </c>
    </row>
  </sheetData>
  <mergeCells count="1">
    <mergeCell ref="A1:C1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4" sqref="D4"/>
    </sheetView>
  </sheetViews>
  <sheetFormatPr baseColWidth="10" defaultRowHeight="15"/>
  <cols>
    <col min="1" max="1" width="134.140625" style="112" bestFit="1" customWidth="1"/>
  </cols>
  <sheetData>
    <row r="1" spans="1:3" ht="15.75" thickBot="1"/>
    <row r="2" spans="1:3" ht="15.75" thickBot="1">
      <c r="A2" s="137" t="s">
        <v>141</v>
      </c>
      <c r="B2" s="138"/>
      <c r="C2" s="139"/>
    </row>
    <row r="4" spans="1:3" ht="99.75">
      <c r="A4" s="113" t="s">
        <v>140</v>
      </c>
    </row>
    <row r="6" spans="1:3">
      <c r="A6" s="114" t="s">
        <v>137</v>
      </c>
    </row>
    <row r="8" spans="1:3">
      <c r="A8" s="114" t="s">
        <v>138</v>
      </c>
    </row>
    <row r="10" spans="1:3">
      <c r="A10" s="114" t="s">
        <v>139</v>
      </c>
    </row>
  </sheetData>
  <mergeCells count="1">
    <mergeCell ref="A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0"/>
  <sheetViews>
    <sheetView tabSelected="1" zoomScale="68" zoomScaleNormal="68" workbookViewId="0">
      <selection activeCell="F8" sqref="F8"/>
    </sheetView>
  </sheetViews>
  <sheetFormatPr baseColWidth="10" defaultRowHeight="15"/>
  <cols>
    <col min="1" max="1" width="26.85546875" customWidth="1"/>
    <col min="2" max="2" width="15.7109375" customWidth="1"/>
    <col min="3" max="3" width="16.140625" customWidth="1"/>
    <col min="4" max="4" width="17.28515625" customWidth="1"/>
    <col min="5" max="5" width="15.140625" customWidth="1"/>
    <col min="6" max="6" width="13.140625" customWidth="1"/>
    <col min="7" max="7" width="19.140625" customWidth="1"/>
    <col min="8" max="8" width="26.140625" customWidth="1"/>
    <col min="9" max="9" width="13.7109375" bestFit="1" customWidth="1"/>
    <col min="10" max="10" width="24.28515625" customWidth="1"/>
    <col min="11" max="14" width="15.28515625" bestFit="1" customWidth="1"/>
  </cols>
  <sheetData>
    <row r="1" spans="1:10" ht="45">
      <c r="A1" s="63" t="s">
        <v>95</v>
      </c>
      <c r="B1" s="63" t="s">
        <v>96</v>
      </c>
      <c r="C1" s="62" t="s">
        <v>115</v>
      </c>
      <c r="E1" s="140" t="s">
        <v>98</v>
      </c>
      <c r="F1" s="141"/>
      <c r="G1" s="141"/>
      <c r="H1" s="142"/>
    </row>
    <row r="2" spans="1:10">
      <c r="A2" s="53">
        <v>1</v>
      </c>
      <c r="B2" s="53">
        <v>450</v>
      </c>
      <c r="C2" s="53">
        <v>45</v>
      </c>
      <c r="E2" s="143" t="s">
        <v>99</v>
      </c>
      <c r="F2" s="144"/>
      <c r="G2" s="144"/>
      <c r="H2" s="145"/>
    </row>
    <row r="3" spans="1:10" ht="21.75" customHeight="1">
      <c r="A3" s="53">
        <v>2</v>
      </c>
      <c r="B3" s="53">
        <v>300</v>
      </c>
      <c r="C3" s="53">
        <v>103</v>
      </c>
      <c r="E3" s="146" t="s">
        <v>100</v>
      </c>
      <c r="F3" s="147"/>
      <c r="G3" s="147"/>
      <c r="H3" s="148"/>
      <c r="J3" t="s">
        <v>110</v>
      </c>
    </row>
    <row r="4" spans="1:10" ht="21" customHeight="1" thickBot="1">
      <c r="A4" s="53">
        <v>3</v>
      </c>
      <c r="B4" s="53">
        <v>440</v>
      </c>
      <c r="C4" s="53">
        <v>49</v>
      </c>
      <c r="E4" s="149" t="s">
        <v>101</v>
      </c>
      <c r="F4" s="150"/>
      <c r="G4" s="150"/>
      <c r="H4" s="151"/>
      <c r="J4" s="55" t="s">
        <v>108</v>
      </c>
    </row>
    <row r="5" spans="1:10" s="84" customFormat="1" ht="24.75" customHeight="1">
      <c r="A5" s="115">
        <v>4</v>
      </c>
      <c r="B5" s="83">
        <v>360</v>
      </c>
      <c r="C5" s="83">
        <v>86</v>
      </c>
    </row>
    <row r="6" spans="1:10">
      <c r="A6" s="53">
        <v>5</v>
      </c>
      <c r="B6" s="53">
        <v>290</v>
      </c>
      <c r="C6" s="53">
        <v>125</v>
      </c>
    </row>
    <row r="7" spans="1:10">
      <c r="A7" s="53">
        <v>6</v>
      </c>
      <c r="B7" s="53">
        <v>450</v>
      </c>
      <c r="C7" s="53">
        <v>52</v>
      </c>
    </row>
    <row r="8" spans="1:10">
      <c r="A8" s="53">
        <v>7</v>
      </c>
      <c r="B8" s="53">
        <v>340</v>
      </c>
      <c r="C8" s="53">
        <v>87</v>
      </c>
    </row>
    <row r="9" spans="1:10">
      <c r="A9" s="53">
        <v>8</v>
      </c>
      <c r="B9" s="53">
        <v>370</v>
      </c>
      <c r="C9" s="53">
        <v>68</v>
      </c>
    </row>
    <row r="10" spans="1:10">
      <c r="A10" s="53">
        <v>9</v>
      </c>
      <c r="B10" s="53">
        <v>500</v>
      </c>
      <c r="C10" s="53">
        <v>45</v>
      </c>
    </row>
    <row r="11" spans="1:10">
      <c r="A11" s="53">
        <v>10</v>
      </c>
      <c r="B11" s="53">
        <v>490</v>
      </c>
      <c r="C11" s="53">
        <v>44</v>
      </c>
    </row>
    <row r="12" spans="1:10">
      <c r="A12" s="53">
        <v>11</v>
      </c>
      <c r="B12" s="53">
        <v>430</v>
      </c>
      <c r="C12" s="53">
        <v>58</v>
      </c>
    </row>
    <row r="13" spans="1:10">
      <c r="A13" s="53">
        <v>12</v>
      </c>
      <c r="B13" s="53">
        <v>390</v>
      </c>
      <c r="C13" s="53">
        <v>68</v>
      </c>
    </row>
    <row r="14" spans="1:10" ht="15.75" thickBot="1"/>
    <row r="15" spans="1:10">
      <c r="A15" s="155" t="s">
        <v>142</v>
      </c>
      <c r="B15" s="156"/>
      <c r="C15" s="157" t="s">
        <v>102</v>
      </c>
      <c r="D15" s="158"/>
      <c r="E15" s="159" t="s">
        <v>107</v>
      </c>
      <c r="F15" s="160"/>
    </row>
    <row r="16" spans="1:10">
      <c r="A16" s="56" t="s">
        <v>97</v>
      </c>
      <c r="B16" s="85">
        <v>211.31</v>
      </c>
      <c r="C16" s="88" t="s">
        <v>103</v>
      </c>
      <c r="D16" s="89">
        <v>5871064</v>
      </c>
      <c r="E16" s="87" t="s">
        <v>105</v>
      </c>
      <c r="F16" s="57">
        <v>466.51</v>
      </c>
      <c r="H16" s="76"/>
    </row>
    <row r="17" spans="1:8" ht="30" customHeight="1" thickBot="1">
      <c r="A17" s="58" t="s">
        <v>109</v>
      </c>
      <c r="B17" s="86">
        <v>-0.35460000000000003</v>
      </c>
      <c r="C17" s="90" t="s">
        <v>104</v>
      </c>
      <c r="D17" s="91">
        <v>-1.9079999999999999</v>
      </c>
      <c r="E17" s="87" t="s">
        <v>106</v>
      </c>
      <c r="F17" s="64">
        <v>-5.0000000000000001E-3</v>
      </c>
    </row>
    <row r="18" spans="1:8">
      <c r="F18" s="61"/>
    </row>
    <row r="19" spans="1:8">
      <c r="A19" t="s">
        <v>111</v>
      </c>
    </row>
    <row r="20" spans="1:8" ht="30.75" customHeight="1">
      <c r="A20" s="59" t="s">
        <v>114</v>
      </c>
      <c r="B20" s="65" t="s">
        <v>112</v>
      </c>
      <c r="C20" s="66" t="s">
        <v>117</v>
      </c>
      <c r="D20" s="66" t="s">
        <v>113</v>
      </c>
      <c r="E20" s="66" t="s">
        <v>116</v>
      </c>
      <c r="F20" s="69" t="s">
        <v>118</v>
      </c>
      <c r="G20" s="69" t="s">
        <v>119</v>
      </c>
      <c r="H20" s="69" t="s">
        <v>120</v>
      </c>
    </row>
    <row r="21" spans="1:8">
      <c r="A21" s="53">
        <v>450</v>
      </c>
      <c r="B21" s="67">
        <f>$B$17*A21+$B$16</f>
        <v>51.739999999999981</v>
      </c>
      <c r="C21" s="67">
        <f>$D$16*A21^$D$17</f>
        <v>50.861286169919921</v>
      </c>
      <c r="D21" s="60">
        <f>$F$16*EXP($F$17*A21)</f>
        <v>49.169792250355329</v>
      </c>
      <c r="E21" s="53">
        <v>45</v>
      </c>
      <c r="F21" s="68">
        <f>ABS(B21-E21)/E21</f>
        <v>0.14977777777777734</v>
      </c>
      <c r="G21" s="68">
        <f>ABS(C21-E21)/E21</f>
        <v>0.13025080377599826</v>
      </c>
      <c r="H21" s="68">
        <f>ABS(D21-E21)/E21</f>
        <v>9.2662050007896193E-2</v>
      </c>
    </row>
    <row r="22" spans="1:8">
      <c r="A22" s="53">
        <v>300</v>
      </c>
      <c r="B22" s="67">
        <f t="shared" ref="B22:B32" si="0">$B$17*A22+$B$16</f>
        <v>104.92999999999999</v>
      </c>
      <c r="C22" s="67">
        <f t="shared" ref="C22:C32" si="1">$D$16*A22^$D$17</f>
        <v>110.2476803704582</v>
      </c>
      <c r="D22" s="60">
        <f t="shared" ref="D22:D32" si="2">$F$16*EXP($F$17*A22)</f>
        <v>104.09245101084399</v>
      </c>
      <c r="E22" s="53">
        <v>103</v>
      </c>
      <c r="F22" s="68">
        <f t="shared" ref="F22:F32" si="3">ABS(B22-E22)/E22</f>
        <v>1.8737864077669832E-2</v>
      </c>
      <c r="G22" s="68">
        <f t="shared" ref="G22:G32" si="4">ABS(C22-E22)/E22</f>
        <v>7.0365828839399985E-2</v>
      </c>
      <c r="H22" s="68">
        <f t="shared" ref="H22:H32" si="5">ABS(D22-E22)/E22</f>
        <v>1.0606320493630948E-2</v>
      </c>
    </row>
    <row r="23" spans="1:8">
      <c r="A23" s="53">
        <v>440</v>
      </c>
      <c r="B23" s="67">
        <f t="shared" si="0"/>
        <v>55.286000000000001</v>
      </c>
      <c r="C23" s="67">
        <f t="shared" si="1"/>
        <v>53.089557787712614</v>
      </c>
      <c r="D23" s="60">
        <f t="shared" si="2"/>
        <v>51.69078140761237</v>
      </c>
      <c r="E23" s="53">
        <v>49</v>
      </c>
      <c r="F23" s="68">
        <f t="shared" si="3"/>
        <v>0.12828571428571431</v>
      </c>
      <c r="G23" s="68">
        <f t="shared" si="4"/>
        <v>8.3460363014543154E-2</v>
      </c>
      <c r="H23" s="68">
        <f t="shared" si="5"/>
        <v>5.4913906277803466E-2</v>
      </c>
    </row>
    <row r="24" spans="1:8">
      <c r="A24" s="53">
        <v>360</v>
      </c>
      <c r="B24" s="67">
        <f t="shared" si="0"/>
        <v>83.653999999999996</v>
      </c>
      <c r="C24" s="67">
        <f t="shared" si="1"/>
        <v>77.85592038588905</v>
      </c>
      <c r="D24" s="60">
        <f t="shared" si="2"/>
        <v>77.113584344252331</v>
      </c>
      <c r="E24" s="53">
        <v>86</v>
      </c>
      <c r="F24" s="68">
        <f t="shared" si="3"/>
        <v>2.7279069767441901E-2</v>
      </c>
      <c r="G24" s="68">
        <f t="shared" si="4"/>
        <v>9.4698600164080812E-2</v>
      </c>
      <c r="H24" s="68">
        <f t="shared" si="5"/>
        <v>0.10333041460171709</v>
      </c>
    </row>
    <row r="25" spans="1:8">
      <c r="A25" s="53">
        <v>290</v>
      </c>
      <c r="B25" s="67">
        <f t="shared" si="0"/>
        <v>108.476</v>
      </c>
      <c r="C25" s="67">
        <f t="shared" si="1"/>
        <v>117.61465381582187</v>
      </c>
      <c r="D25" s="60">
        <f t="shared" si="2"/>
        <v>109.42938509863754</v>
      </c>
      <c r="E25" s="53">
        <v>125</v>
      </c>
      <c r="F25" s="68">
        <f t="shared" si="3"/>
        <v>0.132192</v>
      </c>
      <c r="G25" s="68">
        <f t="shared" si="4"/>
        <v>5.9082769473425063E-2</v>
      </c>
      <c r="H25" s="68">
        <f t="shared" si="5"/>
        <v>0.12456491921089968</v>
      </c>
    </row>
    <row r="26" spans="1:8">
      <c r="A26" s="53">
        <v>450</v>
      </c>
      <c r="B26" s="67">
        <f t="shared" si="0"/>
        <v>51.739999999999981</v>
      </c>
      <c r="C26" s="67">
        <f t="shared" si="1"/>
        <v>50.861286169919921</v>
      </c>
      <c r="D26" s="60">
        <f t="shared" si="2"/>
        <v>49.169792250355329</v>
      </c>
      <c r="E26" s="53">
        <v>52</v>
      </c>
      <c r="F26" s="68">
        <f t="shared" si="3"/>
        <v>5.0000000000003713E-3</v>
      </c>
      <c r="G26" s="68">
        <f t="shared" si="4"/>
        <v>2.1898342886155355E-2</v>
      </c>
      <c r="H26" s="68">
        <f t="shared" si="5"/>
        <v>5.4427072108551369E-2</v>
      </c>
    </row>
    <row r="27" spans="1:8">
      <c r="A27" s="53">
        <v>340</v>
      </c>
      <c r="B27" s="67">
        <f t="shared" si="0"/>
        <v>90.745999999999995</v>
      </c>
      <c r="C27" s="67">
        <f t="shared" si="1"/>
        <v>86.827049006961417</v>
      </c>
      <c r="D27" s="60">
        <f t="shared" si="2"/>
        <v>85.223690805841244</v>
      </c>
      <c r="E27" s="53">
        <v>87</v>
      </c>
      <c r="F27" s="68">
        <f t="shared" si="3"/>
        <v>4.3057471264367757E-2</v>
      </c>
      <c r="G27" s="68">
        <f t="shared" si="4"/>
        <v>1.9879424487193459E-3</v>
      </c>
      <c r="H27" s="68">
        <f t="shared" si="5"/>
        <v>2.0417347059296046E-2</v>
      </c>
    </row>
    <row r="28" spans="1:8">
      <c r="A28" s="53">
        <v>370</v>
      </c>
      <c r="B28" s="67">
        <f t="shared" si="0"/>
        <v>80.108000000000004</v>
      </c>
      <c r="C28" s="67">
        <f t="shared" si="1"/>
        <v>73.890384263545585</v>
      </c>
      <c r="D28" s="60">
        <f t="shared" si="2"/>
        <v>73.352710456970414</v>
      </c>
      <c r="E28" s="53">
        <v>68</v>
      </c>
      <c r="F28" s="68">
        <f t="shared" si="3"/>
        <v>0.17805882352941182</v>
      </c>
      <c r="G28" s="68">
        <f t="shared" si="4"/>
        <v>8.6623297993317416E-2</v>
      </c>
      <c r="H28" s="68">
        <f t="shared" si="5"/>
        <v>7.8716330249564911E-2</v>
      </c>
    </row>
    <row r="29" spans="1:8">
      <c r="A29" s="53">
        <v>500</v>
      </c>
      <c r="B29" s="67">
        <f t="shared" si="0"/>
        <v>34.009999999999991</v>
      </c>
      <c r="C29" s="67">
        <f t="shared" si="1"/>
        <v>41.59891911995917</v>
      </c>
      <c r="D29" s="60">
        <f t="shared" si="2"/>
        <v>38.293472708035026</v>
      </c>
      <c r="E29" s="53">
        <v>45</v>
      </c>
      <c r="F29" s="68">
        <f t="shared" si="3"/>
        <v>0.24422222222222242</v>
      </c>
      <c r="G29" s="68">
        <f t="shared" si="4"/>
        <v>7.5579575112018446E-2</v>
      </c>
      <c r="H29" s="68">
        <f t="shared" si="5"/>
        <v>0.14903393982144386</v>
      </c>
    </row>
    <row r="30" spans="1:8">
      <c r="A30" s="53">
        <v>490</v>
      </c>
      <c r="B30" s="67">
        <f t="shared" si="0"/>
        <v>37.555999999999983</v>
      </c>
      <c r="C30" s="67">
        <f t="shared" si="1"/>
        <v>43.233728796663705</v>
      </c>
      <c r="D30" s="60">
        <f t="shared" si="2"/>
        <v>40.256821037821332</v>
      </c>
      <c r="E30" s="53">
        <v>44</v>
      </c>
      <c r="F30" s="68">
        <f t="shared" si="3"/>
        <v>0.14645454545454584</v>
      </c>
      <c r="G30" s="68">
        <f t="shared" si="4"/>
        <v>1.7415254621279432E-2</v>
      </c>
      <c r="H30" s="68">
        <f t="shared" si="5"/>
        <v>8.5072249140424272E-2</v>
      </c>
    </row>
    <row r="31" spans="1:8">
      <c r="A31" s="53">
        <v>430</v>
      </c>
      <c r="B31" s="67">
        <f t="shared" si="0"/>
        <v>58.831999999999994</v>
      </c>
      <c r="C31" s="67">
        <f t="shared" si="1"/>
        <v>55.470106712335337</v>
      </c>
      <c r="D31" s="60">
        <f t="shared" si="2"/>
        <v>54.341024442914069</v>
      </c>
      <c r="E31" s="53">
        <v>58</v>
      </c>
      <c r="F31" s="68">
        <f t="shared" si="3"/>
        <v>1.4344827586206787E-2</v>
      </c>
      <c r="G31" s="68">
        <f t="shared" si="4"/>
        <v>4.3618849787321778E-2</v>
      </c>
      <c r="H31" s="68">
        <f t="shared" si="5"/>
        <v>6.3085785466998806E-2</v>
      </c>
    </row>
    <row r="32" spans="1:8" ht="15.75" thickBot="1">
      <c r="A32" s="53">
        <v>390</v>
      </c>
      <c r="B32" s="67">
        <f t="shared" si="0"/>
        <v>73.015999999999991</v>
      </c>
      <c r="C32" s="67">
        <f t="shared" si="1"/>
        <v>66.829089531318985</v>
      </c>
      <c r="D32" s="60">
        <f t="shared" si="2"/>
        <v>66.372277135824447</v>
      </c>
      <c r="E32" s="53">
        <v>68</v>
      </c>
      <c r="F32" s="68">
        <f t="shared" si="3"/>
        <v>7.3764705882352816E-2</v>
      </c>
      <c r="G32" s="72">
        <f t="shared" si="4"/>
        <v>1.7219271598250221E-2</v>
      </c>
      <c r="H32" s="68">
        <f t="shared" si="5"/>
        <v>2.393710094375813E-2</v>
      </c>
    </row>
    <row r="33" spans="1:8" ht="15.75" thickBot="1">
      <c r="E33" s="14" t="s">
        <v>121</v>
      </c>
      <c r="F33" s="70">
        <f>AVERAGE(F21:F32)</f>
        <v>9.6764585153975916E-2</v>
      </c>
      <c r="G33" s="73">
        <f>AVERAGE(G21:G32)</f>
        <v>5.8516741642875771E-2</v>
      </c>
      <c r="H33" s="71">
        <f>AVERAGE(H21:H32)</f>
        <v>7.17306196151654E-2</v>
      </c>
    </row>
    <row r="34" spans="1:8">
      <c r="G34" t="s">
        <v>122</v>
      </c>
    </row>
    <row r="35" spans="1:8">
      <c r="A35" t="s">
        <v>123</v>
      </c>
    </row>
    <row r="36" spans="1:8">
      <c r="A36" t="s">
        <v>124</v>
      </c>
      <c r="B36" s="2">
        <v>250</v>
      </c>
      <c r="C36" t="s">
        <v>125</v>
      </c>
      <c r="G36" s="77" t="s">
        <v>96</v>
      </c>
      <c r="H36" s="77" t="s">
        <v>130</v>
      </c>
    </row>
    <row r="37" spans="1:8">
      <c r="A37" t="s">
        <v>126</v>
      </c>
      <c r="B37" s="2">
        <v>700</v>
      </c>
      <c r="C37" t="s">
        <v>127</v>
      </c>
      <c r="G37" s="14"/>
      <c r="H37" s="78">
        <f>B43</f>
        <v>985104.42081539321</v>
      </c>
    </row>
    <row r="38" spans="1:8" ht="31.5" customHeight="1">
      <c r="A38" s="92" t="s">
        <v>134</v>
      </c>
      <c r="B38" s="4">
        <f>D16*B37^D17</f>
        <v>21.891209351453181</v>
      </c>
      <c r="C38" t="s">
        <v>128</v>
      </c>
      <c r="D38" t="str">
        <f ca="1">_xlfn.FORMULATEXT(B38)</f>
        <v>=D16*B37^D17</v>
      </c>
      <c r="G38" s="79">
        <v>260</v>
      </c>
      <c r="H38" s="79">
        <f t="dataTable" ref="H38:H76" dt2D="0" dtr="0" r1="B37"/>
        <v>144859.72842847556</v>
      </c>
    </row>
    <row r="39" spans="1:8">
      <c r="A39" t="s">
        <v>129</v>
      </c>
      <c r="B39" s="4">
        <f>B38*100</f>
        <v>2189.1209351453181</v>
      </c>
      <c r="D39" t="str">
        <f ca="1">_xlfn.FORMULATEXT(B39)</f>
        <v>=B38*100</v>
      </c>
      <c r="G39" s="79">
        <v>270</v>
      </c>
      <c r="H39" s="79">
        <v>269590.60184817808</v>
      </c>
    </row>
    <row r="40" spans="1:8">
      <c r="G40" s="79">
        <v>280</v>
      </c>
      <c r="H40" s="79">
        <v>377277.18719872413</v>
      </c>
    </row>
    <row r="41" spans="1:8">
      <c r="A41" t="s">
        <v>50</v>
      </c>
      <c r="B41" s="2">
        <f>B39*B36</f>
        <v>547280.23378632951</v>
      </c>
      <c r="D41" t="str">
        <f t="shared" ref="D41:D43" ca="1" si="6">_xlfn.FORMULATEXT(B41)</f>
        <v>=B39*B36</v>
      </c>
      <c r="G41" s="79">
        <v>290</v>
      </c>
      <c r="H41" s="79">
        <v>470458.61526328744</v>
      </c>
    </row>
    <row r="42" spans="1:8">
      <c r="A42" t="s">
        <v>52</v>
      </c>
      <c r="B42" s="2">
        <f>B39*B37</f>
        <v>1532384.6546017227</v>
      </c>
      <c r="D42" t="str">
        <f t="shared" ca="1" si="6"/>
        <v>=B39*B37</v>
      </c>
      <c r="G42" s="79">
        <v>300</v>
      </c>
      <c r="H42" s="79">
        <v>551238.40185229108</v>
      </c>
    </row>
    <row r="43" spans="1:8">
      <c r="A43" t="s">
        <v>51</v>
      </c>
      <c r="B43" s="2">
        <f>B42-B41</f>
        <v>985104.42081539321</v>
      </c>
      <c r="D43" t="str">
        <f t="shared" ca="1" si="6"/>
        <v>=B42-B41</v>
      </c>
      <c r="G43" s="79">
        <v>310</v>
      </c>
      <c r="H43" s="79">
        <v>621369.53021456813</v>
      </c>
    </row>
    <row r="44" spans="1:8">
      <c r="G44" s="79">
        <v>320</v>
      </c>
      <c r="H44" s="79">
        <v>682320.93416212313</v>
      </c>
    </row>
    <row r="45" spans="1:8">
      <c r="F45" s="76"/>
      <c r="G45" s="79">
        <v>330</v>
      </c>
      <c r="H45" s="79">
        <v>735329.86392835062</v>
      </c>
    </row>
    <row r="46" spans="1:8">
      <c r="G46" s="79">
        <v>340</v>
      </c>
      <c r="H46" s="79">
        <v>781443.44106265297</v>
      </c>
    </row>
    <row r="47" spans="1:8" ht="15.75" thickBot="1">
      <c r="G47" s="79">
        <v>350</v>
      </c>
      <c r="H47" s="79">
        <v>821551.86522268457</v>
      </c>
    </row>
    <row r="48" spans="1:8" ht="35.25" customHeight="1">
      <c r="A48" s="95" t="s">
        <v>114</v>
      </c>
      <c r="B48" s="96" t="s">
        <v>113</v>
      </c>
      <c r="C48" s="96" t="s">
        <v>116</v>
      </c>
      <c r="D48" s="97" t="s">
        <v>120</v>
      </c>
      <c r="G48" s="79">
        <v>360</v>
      </c>
      <c r="H48" s="79">
        <v>856415.12424477958</v>
      </c>
    </row>
    <row r="49" spans="1:10">
      <c r="A49" s="98">
        <v>450</v>
      </c>
      <c r="B49" s="94">
        <f t="shared" ref="B49:B60" si="7">$F$16*EXP($F$17*A49)</f>
        <v>49.169792250355329</v>
      </c>
      <c r="C49" s="93">
        <v>45</v>
      </c>
      <c r="D49" s="99">
        <f t="shared" ref="D49:D60" si="8">ABS(B49-C49)/C49</f>
        <v>9.2662050007896193E-2</v>
      </c>
      <c r="G49" s="79">
        <v>370</v>
      </c>
      <c r="H49" s="79">
        <v>886684.61116254725</v>
      </c>
    </row>
    <row r="50" spans="1:10">
      <c r="A50" s="98">
        <v>300</v>
      </c>
      <c r="B50" s="94">
        <f t="shared" si="7"/>
        <v>104.09245101084399</v>
      </c>
      <c r="C50" s="93">
        <v>103</v>
      </c>
      <c r="D50" s="99">
        <f t="shared" si="8"/>
        <v>1.0606320493630948E-2</v>
      </c>
      <c r="G50" s="79">
        <v>380</v>
      </c>
      <c r="H50" s="79">
        <v>912920.72098907013</v>
      </c>
    </row>
    <row r="51" spans="1:10">
      <c r="A51" s="98">
        <v>440</v>
      </c>
      <c r="B51" s="94">
        <f t="shared" si="7"/>
        <v>51.69078140761237</v>
      </c>
      <c r="C51" s="93">
        <v>49</v>
      </c>
      <c r="D51" s="99">
        <f t="shared" si="8"/>
        <v>5.4913906277803466E-2</v>
      </c>
      <c r="G51" s="79">
        <v>390</v>
      </c>
      <c r="H51" s="79">
        <v>935607.253438466</v>
      </c>
    </row>
    <row r="52" spans="1:10">
      <c r="A52" s="98">
        <v>360</v>
      </c>
      <c r="B52" s="94">
        <f t="shared" si="7"/>
        <v>77.113584344252331</v>
      </c>
      <c r="C52" s="93">
        <v>86</v>
      </c>
      <c r="D52" s="99">
        <f t="shared" si="8"/>
        <v>0.10333041460171709</v>
      </c>
      <c r="G52" s="79">
        <v>400</v>
      </c>
      <c r="H52" s="79">
        <v>955163.26238462282</v>
      </c>
    </row>
    <row r="53" spans="1:10">
      <c r="A53" s="98">
        <v>290</v>
      </c>
      <c r="B53" s="94">
        <f t="shared" si="7"/>
        <v>109.42938509863754</v>
      </c>
      <c r="C53" s="93">
        <v>125</v>
      </c>
      <c r="D53" s="99">
        <f t="shared" si="8"/>
        <v>0.12456491921089968</v>
      </c>
      <c r="G53" s="79">
        <v>410</v>
      </c>
      <c r="H53" s="79">
        <v>971952.85243747453</v>
      </c>
    </row>
    <row r="54" spans="1:10">
      <c r="A54" s="98">
        <v>450</v>
      </c>
      <c r="B54" s="94">
        <f t="shared" si="7"/>
        <v>49.169792250355329</v>
      </c>
      <c r="C54" s="93">
        <v>52</v>
      </c>
      <c r="D54" s="99">
        <f t="shared" si="8"/>
        <v>5.4427072108551369E-2</v>
      </c>
      <c r="G54" s="79">
        <v>420</v>
      </c>
      <c r="H54" s="79">
        <v>986293.31587235699</v>
      </c>
    </row>
    <row r="55" spans="1:10">
      <c r="A55" s="98">
        <v>340</v>
      </c>
      <c r="B55" s="94">
        <f t="shared" si="7"/>
        <v>85.223690805841244</v>
      </c>
      <c r="C55" s="93">
        <v>87</v>
      </c>
      <c r="D55" s="99">
        <f t="shared" si="8"/>
        <v>2.0417347059296046E-2</v>
      </c>
      <c r="G55" s="79">
        <v>430</v>
      </c>
      <c r="H55" s="79">
        <v>998461.92082203622</v>
      </c>
    </row>
    <row r="56" spans="1:10">
      <c r="A56" s="98">
        <v>370</v>
      </c>
      <c r="B56" s="94">
        <f t="shared" si="7"/>
        <v>73.352710456970414</v>
      </c>
      <c r="C56" s="93">
        <v>68</v>
      </c>
      <c r="D56" s="99">
        <f t="shared" si="8"/>
        <v>7.8716330249564911E-2</v>
      </c>
      <c r="G56" s="79">
        <v>440</v>
      </c>
      <c r="H56" s="79">
        <v>1008701.5979665397</v>
      </c>
    </row>
    <row r="57" spans="1:10">
      <c r="A57" s="98">
        <v>500</v>
      </c>
      <c r="B57" s="94">
        <f t="shared" si="7"/>
        <v>38.293472708035026</v>
      </c>
      <c r="C57" s="93">
        <v>45</v>
      </c>
      <c r="D57" s="99">
        <f t="shared" si="8"/>
        <v>0.14903393982144386</v>
      </c>
      <c r="G57" s="79">
        <v>450</v>
      </c>
      <c r="H57" s="79">
        <v>1017225.7233983984</v>
      </c>
    </row>
    <row r="58" spans="1:10">
      <c r="A58" s="98">
        <v>490</v>
      </c>
      <c r="B58" s="94">
        <f t="shared" si="7"/>
        <v>40.256821037821332</v>
      </c>
      <c r="C58" s="93">
        <v>44</v>
      </c>
      <c r="D58" s="99">
        <f t="shared" si="8"/>
        <v>8.5072249140424272E-2</v>
      </c>
      <c r="G58" s="79">
        <v>460</v>
      </c>
      <c r="H58" s="79">
        <v>1024222.1565401531</v>
      </c>
    </row>
    <row r="59" spans="1:10">
      <c r="A59" s="98">
        <v>430</v>
      </c>
      <c r="B59" s="94">
        <f t="shared" si="7"/>
        <v>54.341024442914069</v>
      </c>
      <c r="C59" s="93">
        <v>58</v>
      </c>
      <c r="D59" s="99">
        <f t="shared" si="8"/>
        <v>6.3085785466998806E-2</v>
      </c>
      <c r="G59" s="79">
        <v>470</v>
      </c>
      <c r="H59" s="79">
        <v>1029856.6614397548</v>
      </c>
    </row>
    <row r="60" spans="1:10">
      <c r="A60" s="98">
        <v>390</v>
      </c>
      <c r="B60" s="94">
        <f t="shared" si="7"/>
        <v>66.372277135824447</v>
      </c>
      <c r="C60" s="93">
        <v>68</v>
      </c>
      <c r="D60" s="99">
        <f t="shared" si="8"/>
        <v>2.393710094375813E-2</v>
      </c>
      <c r="G60" s="79">
        <v>480</v>
      </c>
      <c r="H60" s="79">
        <v>1034275.8155834542</v>
      </c>
    </row>
    <row r="61" spans="1:10" ht="15.75" thickBot="1">
      <c r="A61" s="100"/>
      <c r="B61" s="101"/>
      <c r="C61" s="101"/>
      <c r="D61" s="102">
        <f>AVERAGE(D49:D60)</f>
        <v>7.17306196151654E-2</v>
      </c>
      <c r="G61" s="79">
        <v>490</v>
      </c>
      <c r="H61" s="79">
        <v>1037609.4911199291</v>
      </c>
    </row>
    <row r="62" spans="1:10">
      <c r="E62" s="76"/>
      <c r="G62" s="79">
        <v>500</v>
      </c>
      <c r="H62" s="79">
        <v>1039972.9779989794</v>
      </c>
    </row>
    <row r="63" spans="1:10">
      <c r="G63" s="79">
        <v>510</v>
      </c>
      <c r="H63" s="79">
        <v>1041468.8061629091</v>
      </c>
    </row>
    <row r="64" spans="1:10" ht="15.75" thickBot="1">
      <c r="G64" s="79">
        <v>520</v>
      </c>
      <c r="H64" s="79">
        <v>1042188.3139489595</v>
      </c>
      <c r="J64" s="75" t="s">
        <v>131</v>
      </c>
    </row>
    <row r="65" spans="1:16" ht="30">
      <c r="A65" s="153" t="s">
        <v>136</v>
      </c>
      <c r="B65" s="154"/>
      <c r="C65" s="76"/>
      <c r="D65" s="77" t="s">
        <v>96</v>
      </c>
      <c r="E65" s="77" t="s">
        <v>130</v>
      </c>
      <c r="G65" s="80">
        <v>530</v>
      </c>
      <c r="H65" s="80">
        <v>1042213.0017719698</v>
      </c>
      <c r="J65" s="74" t="s">
        <v>132</v>
      </c>
    </row>
    <row r="66" spans="1:16">
      <c r="A66" s="104" t="s">
        <v>105</v>
      </c>
      <c r="B66" s="105">
        <v>466.51</v>
      </c>
      <c r="C66" s="76"/>
      <c r="D66" s="14"/>
      <c r="E66" s="78">
        <f>B77</f>
        <v>633932.16031556111</v>
      </c>
      <c r="G66" s="79">
        <v>540</v>
      </c>
      <c r="H66" s="79">
        <v>1041615.7035724644</v>
      </c>
    </row>
    <row r="67" spans="1:16" ht="15.75" thickBot="1">
      <c r="A67" s="106" t="s">
        <v>106</v>
      </c>
      <c r="B67" s="107">
        <v>-5.0000000000000001E-3</v>
      </c>
      <c r="C67" s="76"/>
      <c r="D67" s="79">
        <v>260</v>
      </c>
      <c r="E67" s="109">
        <f t="dataTable" ref="E67:E104" dt2D="0" dtr="0" r1="B71"/>
        <v>127138.80676829722</v>
      </c>
      <c r="G67" s="79">
        <v>550</v>
      </c>
      <c r="H67" s="79">
        <v>1040461.6031350964</v>
      </c>
    </row>
    <row r="68" spans="1:16" ht="13.5" customHeight="1">
      <c r="D68" s="81">
        <v>270</v>
      </c>
      <c r="E68" s="110">
        <v>241876.34798782971</v>
      </c>
      <c r="G68" s="79">
        <v>560</v>
      </c>
      <c r="H68" s="79">
        <v>1038809.1179690239</v>
      </c>
      <c r="J68" s="54"/>
    </row>
    <row r="69" spans="1:16">
      <c r="A69" s="152" t="s">
        <v>135</v>
      </c>
      <c r="B69" s="152"/>
      <c r="D69" s="79">
        <v>280</v>
      </c>
      <c r="E69" s="110">
        <v>345119.84894519672</v>
      </c>
      <c r="G69" s="79">
        <v>570</v>
      </c>
      <c r="H69" s="79">
        <v>1036710.669808225</v>
      </c>
    </row>
    <row r="70" spans="1:16">
      <c r="A70" s="76" t="s">
        <v>124</v>
      </c>
      <c r="B70" s="2">
        <v>250</v>
      </c>
      <c r="D70" s="81">
        <v>290</v>
      </c>
      <c r="E70" s="110">
        <v>437717.54039455019</v>
      </c>
      <c r="G70" s="79">
        <v>580</v>
      </c>
      <c r="H70" s="79">
        <v>1034213.3577876764</v>
      </c>
    </row>
    <row r="71" spans="1:16">
      <c r="A71" s="76" t="s">
        <v>126</v>
      </c>
      <c r="B71" s="2">
        <v>700</v>
      </c>
      <c r="D71" s="79">
        <v>300</v>
      </c>
      <c r="E71" s="110">
        <v>520462.25505421963</v>
      </c>
      <c r="G71" s="79">
        <v>590</v>
      </c>
      <c r="H71" s="79">
        <v>1031359.5478624469</v>
      </c>
    </row>
    <row r="72" spans="1:16" ht="30">
      <c r="A72" s="92" t="s">
        <v>134</v>
      </c>
      <c r="B72" s="103">
        <f>$F$16*EXP(F17*$B$71)</f>
        <v>14.087381340345804</v>
      </c>
      <c r="C72" s="76"/>
      <c r="D72" s="81">
        <v>310</v>
      </c>
      <c r="E72" s="110">
        <v>594094.81361948326</v>
      </c>
      <c r="G72" s="79">
        <v>600</v>
      </c>
      <c r="H72" s="79">
        <v>1028187.3899667513</v>
      </c>
    </row>
    <row r="73" spans="1:16">
      <c r="A73" s="76" t="s">
        <v>129</v>
      </c>
      <c r="B73" s="4">
        <f>B72*100</f>
        <v>1408.7381340345803</v>
      </c>
      <c r="C73" s="76"/>
      <c r="D73" s="79">
        <v>320</v>
      </c>
      <c r="E73" s="110">
        <v>659307.21226780722</v>
      </c>
      <c r="G73" s="81">
        <v>700</v>
      </c>
      <c r="H73" s="81">
        <v>985104.42081539321</v>
      </c>
    </row>
    <row r="74" spans="1:16">
      <c r="A74" s="76"/>
      <c r="B74" s="76"/>
      <c r="D74" s="81">
        <v>330</v>
      </c>
      <c r="E74" s="110">
        <v>716745.62296534376</v>
      </c>
      <c r="G74" s="79">
        <v>800</v>
      </c>
      <c r="H74" s="81">
        <v>933219.50848926988</v>
      </c>
    </row>
    <row r="75" spans="1:16">
      <c r="A75" s="76" t="s">
        <v>50</v>
      </c>
      <c r="B75" s="2">
        <f>B73*B70</f>
        <v>352184.53350864508</v>
      </c>
      <c r="D75" s="79">
        <v>340</v>
      </c>
      <c r="E75" s="110">
        <v>767013.21725257114</v>
      </c>
      <c r="G75" s="81">
        <v>900</v>
      </c>
      <c r="H75" s="81">
        <v>880917.95766693447</v>
      </c>
    </row>
    <row r="76" spans="1:16">
      <c r="A76" s="76" t="s">
        <v>52</v>
      </c>
      <c r="B76" s="2">
        <f>B73*B71</f>
        <v>986116.69382420625</v>
      </c>
      <c r="D76" s="81">
        <v>350</v>
      </c>
      <c r="E76" s="110">
        <v>810672.82359067164</v>
      </c>
      <c r="G76" s="81">
        <v>1000</v>
      </c>
      <c r="H76" s="81">
        <v>831338.85314930137</v>
      </c>
    </row>
    <row r="77" spans="1:16">
      <c r="A77" s="18" t="s">
        <v>51</v>
      </c>
      <c r="B77" s="108">
        <f>B76-B75</f>
        <v>633932.16031556111</v>
      </c>
      <c r="D77" s="79">
        <v>360</v>
      </c>
      <c r="E77" s="110">
        <v>848249.42778677586</v>
      </c>
      <c r="G77" s="2"/>
    </row>
    <row r="78" spans="1:16">
      <c r="D78" s="81">
        <v>370</v>
      </c>
      <c r="E78" s="110">
        <v>880232.5254836448</v>
      </c>
      <c r="G78" s="2"/>
    </row>
    <row r="79" spans="1:16">
      <c r="D79" s="79">
        <v>380</v>
      </c>
      <c r="E79" s="110">
        <v>907078.33519616933</v>
      </c>
      <c r="G79" s="2"/>
    </row>
    <row r="80" spans="1:16">
      <c r="D80" s="81">
        <v>390</v>
      </c>
      <c r="E80" s="110">
        <v>929211.8799015421</v>
      </c>
      <c r="G80" s="2"/>
      <c r="H80" s="77"/>
      <c r="I80" s="81"/>
      <c r="J80" s="77" t="s">
        <v>133</v>
      </c>
      <c r="K80" s="77"/>
      <c r="L80" s="77"/>
      <c r="M80" s="77"/>
      <c r="N80" s="77"/>
      <c r="O80" s="77"/>
      <c r="P80" s="77"/>
    </row>
    <row r="81" spans="4:16">
      <c r="D81" s="79">
        <v>400</v>
      </c>
      <c r="E81" s="110">
        <v>947028.94474068307</v>
      </c>
      <c r="G81" s="2"/>
      <c r="H81" s="77"/>
      <c r="I81" s="82">
        <f>B42-B41</f>
        <v>985104.42081539321</v>
      </c>
      <c r="J81" s="77">
        <v>250</v>
      </c>
      <c r="K81" s="77">
        <v>300</v>
      </c>
      <c r="L81" s="77">
        <v>350</v>
      </c>
      <c r="M81" s="77">
        <v>400</v>
      </c>
      <c r="N81" s="77">
        <v>450</v>
      </c>
      <c r="O81" s="77">
        <v>500</v>
      </c>
      <c r="P81" s="77">
        <v>550</v>
      </c>
    </row>
    <row r="82" spans="4:16">
      <c r="D82" s="81">
        <v>410</v>
      </c>
      <c r="E82" s="110">
        <v>960897.91796394461</v>
      </c>
      <c r="G82" s="2"/>
      <c r="H82" s="77" t="s">
        <v>96</v>
      </c>
      <c r="I82" s="79">
        <v>260</v>
      </c>
      <c r="J82" s="81">
        <f t="dataTable" ref="J82:P120" dt2D="1" dtr="1" r1="B36" r2="B37" ca="1"/>
        <v>144859.72842847556</v>
      </c>
      <c r="K82" s="81">
        <v>-579438.91371390224</v>
      </c>
      <c r="L82" s="81">
        <v>-1303737.5558562791</v>
      </c>
      <c r="M82" s="81">
        <v>-2028036.1979986569</v>
      </c>
      <c r="N82" s="81">
        <v>-2752334.8401410338</v>
      </c>
      <c r="O82" s="81">
        <v>-3476633.4822834115</v>
      </c>
      <c r="P82" s="81">
        <v>-4200932.1244257884</v>
      </c>
    </row>
    <row r="83" spans="4:16">
      <c r="D83" s="79">
        <v>420</v>
      </c>
      <c r="E83" s="110">
        <v>971161.52185307606</v>
      </c>
      <c r="G83" s="2"/>
      <c r="H83" s="77"/>
      <c r="I83" s="79">
        <v>270</v>
      </c>
      <c r="J83" s="81">
        <v>269590.60184817808</v>
      </c>
      <c r="K83" s="81">
        <v>-404385.90277226688</v>
      </c>
      <c r="L83" s="81">
        <v>-1078362.4073927123</v>
      </c>
      <c r="M83" s="81">
        <v>-1752338.9120131573</v>
      </c>
      <c r="N83" s="81">
        <v>-2426315.4166336022</v>
      </c>
      <c r="O83" s="81">
        <v>-3100291.9212540481</v>
      </c>
      <c r="P83" s="81">
        <v>-3774268.4258744931</v>
      </c>
    </row>
    <row r="84" spans="4:16">
      <c r="D84" s="81">
        <v>430</v>
      </c>
      <c r="E84" s="110">
        <v>978138.43997245352</v>
      </c>
      <c r="G84" s="2"/>
      <c r="H84" s="77"/>
      <c r="I84" s="79">
        <v>280</v>
      </c>
      <c r="J84" s="81">
        <v>377277.18719872413</v>
      </c>
      <c r="K84" s="81">
        <v>-251518.12479914958</v>
      </c>
      <c r="L84" s="81">
        <v>-880313.43679702282</v>
      </c>
      <c r="M84" s="81">
        <v>-1509108.7487948965</v>
      </c>
      <c r="N84" s="81">
        <v>-2137904.0607927702</v>
      </c>
      <c r="O84" s="81">
        <v>-2766699.3727906439</v>
      </c>
      <c r="P84" s="81">
        <v>-3395494.6847885177</v>
      </c>
    </row>
    <row r="85" spans="4:16">
      <c r="D85" s="79">
        <v>440</v>
      </c>
      <c r="E85" s="110">
        <v>982124.84674463491</v>
      </c>
      <c r="H85" s="77"/>
      <c r="I85" s="79">
        <v>290</v>
      </c>
      <c r="J85" s="81">
        <v>470458.61526328744</v>
      </c>
      <c r="K85" s="81">
        <v>-117614.65381582174</v>
      </c>
      <c r="L85" s="81">
        <v>-705687.9228949314</v>
      </c>
      <c r="M85" s="81">
        <v>-1293761.1919740411</v>
      </c>
      <c r="N85" s="81">
        <v>-1881834.4610531498</v>
      </c>
      <c r="O85" s="81">
        <v>-2469907.7301322594</v>
      </c>
      <c r="P85" s="81">
        <v>-3057980.9992113691</v>
      </c>
    </row>
    <row r="86" spans="4:16">
      <c r="D86" s="111">
        <v>450</v>
      </c>
      <c r="E86" s="110">
        <v>983395.84500710666</v>
      </c>
      <c r="H86" s="77"/>
      <c r="I86" s="79">
        <v>300</v>
      </c>
      <c r="J86" s="81">
        <v>551238.40185229108</v>
      </c>
      <c r="K86" s="81">
        <v>0</v>
      </c>
      <c r="L86" s="81">
        <v>-551238.40185229108</v>
      </c>
      <c r="M86" s="81">
        <v>-1102476.8037045817</v>
      </c>
      <c r="N86" s="81">
        <v>-1653715.2055568728</v>
      </c>
      <c r="O86" s="81">
        <v>-2204953.6074091638</v>
      </c>
      <c r="P86" s="81">
        <v>-2756192.0092614549</v>
      </c>
    </row>
    <row r="87" spans="4:16">
      <c r="D87" s="79">
        <v>460</v>
      </c>
      <c r="E87" s="110">
        <v>982206.81688762805</v>
      </c>
      <c r="H87" s="77"/>
      <c r="I87" s="79">
        <v>310</v>
      </c>
      <c r="J87" s="81">
        <v>621369.53021456813</v>
      </c>
      <c r="K87" s="81">
        <v>103561.58836909477</v>
      </c>
      <c r="L87" s="81">
        <v>-414246.3534763786</v>
      </c>
      <c r="M87" s="81">
        <v>-932054.2953218515</v>
      </c>
      <c r="N87" s="81">
        <v>-1449862.2371673249</v>
      </c>
      <c r="O87" s="81">
        <v>-1967670.1790127978</v>
      </c>
      <c r="P87" s="81">
        <v>-2485478.1208582716</v>
      </c>
    </row>
    <row r="88" spans="4:16">
      <c r="D88" s="81">
        <v>470</v>
      </c>
      <c r="E88" s="110">
        <v>978794.6930338731</v>
      </c>
      <c r="H88" s="77"/>
      <c r="I88" s="79">
        <v>320</v>
      </c>
      <c r="J88" s="81">
        <v>682320.93416212313</v>
      </c>
      <c r="K88" s="81">
        <v>194948.83833203511</v>
      </c>
      <c r="L88" s="81">
        <v>-292423.2574980529</v>
      </c>
      <c r="M88" s="81">
        <v>-779795.35332814092</v>
      </c>
      <c r="N88" s="81">
        <v>-1267167.4491582289</v>
      </c>
      <c r="O88" s="81">
        <v>-1754539.5449883174</v>
      </c>
      <c r="P88" s="81">
        <v>-2241911.640818405</v>
      </c>
    </row>
    <row r="89" spans="4:16">
      <c r="D89" s="79">
        <v>480</v>
      </c>
      <c r="E89" s="110">
        <v>973379.144948008</v>
      </c>
      <c r="G89" s="76"/>
      <c r="H89" s="77"/>
      <c r="I89" s="79">
        <v>330</v>
      </c>
      <c r="J89" s="81">
        <v>735329.86392835062</v>
      </c>
      <c r="K89" s="81">
        <v>275748.69897313137</v>
      </c>
      <c r="L89" s="81">
        <v>-183832.46598208742</v>
      </c>
      <c r="M89" s="81">
        <v>-643413.63093730668</v>
      </c>
      <c r="N89" s="81">
        <v>-1102994.7958925259</v>
      </c>
      <c r="O89" s="81">
        <v>-1562575.9608477447</v>
      </c>
      <c r="P89" s="81">
        <v>-2022157.125802964</v>
      </c>
    </row>
    <row r="90" spans="4:16">
      <c r="D90" s="81">
        <v>490</v>
      </c>
      <c r="E90" s="110">
        <v>966163.70490771206</v>
      </c>
      <c r="H90" s="77"/>
      <c r="I90" s="79">
        <v>340</v>
      </c>
      <c r="J90" s="81">
        <v>781443.44106265297</v>
      </c>
      <c r="K90" s="81">
        <v>347308.19602784561</v>
      </c>
      <c r="L90" s="81">
        <v>-86827.049006961286</v>
      </c>
      <c r="M90" s="81">
        <v>-520962.29404176865</v>
      </c>
      <c r="N90" s="81">
        <v>-955097.53907657554</v>
      </c>
      <c r="O90" s="81">
        <v>-1389232.7841113824</v>
      </c>
      <c r="P90" s="81">
        <v>-1823368.0291461898</v>
      </c>
    </row>
    <row r="91" spans="4:16">
      <c r="D91" s="79">
        <v>500</v>
      </c>
      <c r="E91" s="110">
        <v>957336.81770087557</v>
      </c>
      <c r="H91" s="77"/>
      <c r="I91" s="79">
        <v>350</v>
      </c>
      <c r="J91" s="81">
        <v>821551.86522268457</v>
      </c>
      <c r="K91" s="81">
        <v>410775.93261134205</v>
      </c>
      <c r="L91" s="81">
        <v>0</v>
      </c>
      <c r="M91" s="81">
        <v>-410775.93261134205</v>
      </c>
      <c r="N91" s="81">
        <v>-821551.86522268457</v>
      </c>
      <c r="O91" s="81">
        <v>-1232327.7978340266</v>
      </c>
      <c r="P91" s="81">
        <v>-1643103.7304453691</v>
      </c>
    </row>
    <row r="92" spans="4:16">
      <c r="D92" s="81">
        <v>510</v>
      </c>
      <c r="E92" s="110">
        <v>947072.82816114672</v>
      </c>
      <c r="H92" s="77"/>
      <c r="I92" s="79">
        <v>360</v>
      </c>
      <c r="J92" s="81">
        <v>856415.12424477958</v>
      </c>
      <c r="K92" s="81">
        <v>467135.52231533453</v>
      </c>
      <c r="L92" s="81">
        <v>77855.920385889243</v>
      </c>
      <c r="M92" s="81">
        <v>-311423.68154355604</v>
      </c>
      <c r="N92" s="81">
        <v>-700703.28347300133</v>
      </c>
      <c r="O92" s="81">
        <v>-1089982.8854024466</v>
      </c>
      <c r="P92" s="81">
        <v>-1479262.4873318919</v>
      </c>
    </row>
    <row r="93" spans="4:16">
      <c r="D93" s="79">
        <v>520</v>
      </c>
      <c r="E93" s="110">
        <v>935532.90826476016</v>
      </c>
      <c r="H93" s="77"/>
      <c r="I93" s="79">
        <v>370</v>
      </c>
      <c r="J93" s="81">
        <v>886684.61116254725</v>
      </c>
      <c r="K93" s="81">
        <v>517232.68984481925</v>
      </c>
      <c r="L93" s="81">
        <v>147780.76852709148</v>
      </c>
      <c r="M93" s="81">
        <v>-221671.15279063676</v>
      </c>
      <c r="N93" s="81">
        <v>-591123.07410836453</v>
      </c>
      <c r="O93" s="81">
        <v>-960574.9954260923</v>
      </c>
      <c r="P93" s="81">
        <v>-1330026.9167438205</v>
      </c>
    </row>
    <row r="94" spans="4:16">
      <c r="D94" s="81">
        <v>530</v>
      </c>
      <c r="E94" s="110">
        <v>922865.92733498837</v>
      </c>
      <c r="H94" s="77"/>
      <c r="I94" s="79">
        <v>380</v>
      </c>
      <c r="J94" s="81">
        <v>912920.72098907013</v>
      </c>
      <c r="K94" s="81">
        <v>561797.36676250491</v>
      </c>
      <c r="L94" s="81">
        <v>210674.01253593946</v>
      </c>
      <c r="M94" s="81">
        <v>-140449.341690626</v>
      </c>
      <c r="N94" s="81">
        <v>-491572.69591719145</v>
      </c>
      <c r="O94" s="81">
        <v>-842696.05014375644</v>
      </c>
      <c r="P94" s="81">
        <v>-1193819.4043703219</v>
      </c>
    </row>
    <row r="95" spans="4:16">
      <c r="D95" s="79">
        <v>540</v>
      </c>
      <c r="E95" s="110">
        <v>909209.26869839907</v>
      </c>
      <c r="H95" s="77"/>
      <c r="I95" s="79">
        <v>390</v>
      </c>
      <c r="J95" s="81">
        <v>935607.253438466</v>
      </c>
      <c r="K95" s="81">
        <v>601461.80578187108</v>
      </c>
      <c r="L95" s="81">
        <v>267316.35812527593</v>
      </c>
      <c r="M95" s="81">
        <v>-66829.08953131875</v>
      </c>
      <c r="N95" s="81">
        <v>-400974.5371879139</v>
      </c>
      <c r="O95" s="81">
        <v>-735119.98484450858</v>
      </c>
      <c r="P95" s="81">
        <v>-1069265.4325011037</v>
      </c>
    </row>
    <row r="96" spans="4:16">
      <c r="D96" s="81">
        <v>550</v>
      </c>
      <c r="E96" s="110">
        <v>894689.5959462343</v>
      </c>
      <c r="H96" s="77"/>
      <c r="I96" s="79">
        <v>400</v>
      </c>
      <c r="J96" s="81">
        <v>955163.26238462282</v>
      </c>
      <c r="K96" s="81">
        <v>636775.50825641514</v>
      </c>
      <c r="L96" s="81">
        <v>318387.75412820745</v>
      </c>
      <c r="M96" s="81">
        <v>0</v>
      </c>
      <c r="N96" s="81">
        <v>-318387.75412820745</v>
      </c>
      <c r="O96" s="81">
        <v>-636775.50825641491</v>
      </c>
      <c r="P96" s="81">
        <v>-955163.26238462236</v>
      </c>
    </row>
    <row r="97" spans="4:16">
      <c r="D97" s="79">
        <v>560</v>
      </c>
      <c r="E97" s="110">
        <v>879423.57177400333</v>
      </c>
      <c r="H97" s="77"/>
      <c r="I97" s="79">
        <v>410</v>
      </c>
      <c r="J97" s="81">
        <v>971952.85243747453</v>
      </c>
      <c r="K97" s="81">
        <v>668217.58605076349</v>
      </c>
      <c r="L97" s="81">
        <v>364482.31966405269</v>
      </c>
      <c r="M97" s="81">
        <v>60747.053277342115</v>
      </c>
      <c r="N97" s="81">
        <v>-242988.21310936892</v>
      </c>
      <c r="O97" s="81">
        <v>-546723.4794960795</v>
      </c>
      <c r="P97" s="81">
        <v>-850458.74588279054</v>
      </c>
    </row>
    <row r="98" spans="4:16">
      <c r="D98" s="81">
        <v>570</v>
      </c>
      <c r="E98" s="110">
        <v>863518.53220226837</v>
      </c>
      <c r="H98" s="77"/>
      <c r="I98" s="79">
        <v>420</v>
      </c>
      <c r="J98" s="81">
        <v>986293.31587235699</v>
      </c>
      <c r="K98" s="81">
        <v>696207.04649813427</v>
      </c>
      <c r="L98" s="81">
        <v>406120.77712391177</v>
      </c>
      <c r="M98" s="81">
        <v>116034.50774968928</v>
      </c>
      <c r="N98" s="81">
        <v>-174051.76162453368</v>
      </c>
      <c r="O98" s="81">
        <v>-464138.03099875618</v>
      </c>
      <c r="P98" s="81">
        <v>-754224.30037297867</v>
      </c>
    </row>
    <row r="99" spans="4:16">
      <c r="D99" s="79">
        <v>580</v>
      </c>
      <c r="E99" s="110">
        <v>847073.11882097961</v>
      </c>
      <c r="H99" s="77"/>
      <c r="I99" s="79">
        <v>430</v>
      </c>
      <c r="J99" s="81">
        <v>998461.92082203622</v>
      </c>
      <c r="K99" s="81">
        <v>721111.38726035948</v>
      </c>
      <c r="L99" s="81">
        <v>443760.85369868297</v>
      </c>
      <c r="M99" s="81">
        <v>166410.32013700623</v>
      </c>
      <c r="N99" s="81">
        <v>-110940.21342467051</v>
      </c>
      <c r="O99" s="81">
        <v>-388290.74698634725</v>
      </c>
      <c r="P99" s="81">
        <v>-665641.28054802399</v>
      </c>
    </row>
    <row r="100" spans="4:16">
      <c r="D100" s="81">
        <v>590</v>
      </c>
      <c r="E100" s="110">
        <v>830177.87154810841</v>
      </c>
      <c r="H100" s="77"/>
      <c r="I100" s="79">
        <v>440</v>
      </c>
      <c r="J100" s="81">
        <v>1008701.5979665397</v>
      </c>
      <c r="K100" s="81">
        <v>743253.80902797659</v>
      </c>
      <c r="L100" s="81">
        <v>477806.02008941351</v>
      </c>
      <c r="M100" s="81">
        <v>212358.23115085065</v>
      </c>
      <c r="N100" s="81">
        <v>-53089.557787712663</v>
      </c>
      <c r="O100" s="81">
        <v>-318537.34672627551</v>
      </c>
      <c r="P100" s="81">
        <v>-583985.13566483883</v>
      </c>
    </row>
    <row r="101" spans="4:16">
      <c r="D101" s="79">
        <v>600</v>
      </c>
      <c r="E101" s="110">
        <v>812915.78425022727</v>
      </c>
      <c r="H101" s="77"/>
      <c r="I101" s="79">
        <v>450</v>
      </c>
      <c r="J101" s="81">
        <v>1017225.7233983984</v>
      </c>
      <c r="K101" s="81">
        <v>762919.29254879872</v>
      </c>
      <c r="L101" s="81">
        <v>508612.86169919907</v>
      </c>
      <c r="M101" s="81">
        <v>254306.43084959942</v>
      </c>
      <c r="N101" s="81">
        <v>0</v>
      </c>
      <c r="O101" s="81">
        <v>-254306.43084959965</v>
      </c>
      <c r="P101" s="81">
        <v>-508612.8616991993</v>
      </c>
    </row>
    <row r="102" spans="4:16">
      <c r="D102" s="81">
        <v>700</v>
      </c>
      <c r="E102" s="110">
        <v>633932.16031556111</v>
      </c>
      <c r="H102" s="77"/>
      <c r="I102" s="79">
        <v>460</v>
      </c>
      <c r="J102" s="81">
        <v>1024222.1565401531</v>
      </c>
      <c r="K102" s="81">
        <v>780359.73831630708</v>
      </c>
      <c r="L102" s="81">
        <v>536497.3200924613</v>
      </c>
      <c r="M102" s="81">
        <v>292634.9018686153</v>
      </c>
      <c r="N102" s="81">
        <v>48772.483644769527</v>
      </c>
      <c r="O102" s="81">
        <v>-195089.93457907671</v>
      </c>
      <c r="P102" s="81">
        <v>-438952.35280292248</v>
      </c>
    </row>
    <row r="103" spans="4:16">
      <c r="D103" s="79">
        <v>800</v>
      </c>
      <c r="E103" s="110">
        <v>469943.57838908606</v>
      </c>
      <c r="H103" s="77"/>
      <c r="I103" s="79">
        <v>470</v>
      </c>
      <c r="J103" s="81">
        <v>1029856.6614397548</v>
      </c>
      <c r="K103" s="81">
        <v>795798.32929435605</v>
      </c>
      <c r="L103" s="81">
        <v>561739.9971489571</v>
      </c>
      <c r="M103" s="81">
        <v>327681.66500355839</v>
      </c>
      <c r="N103" s="81">
        <v>93623.332858159672</v>
      </c>
      <c r="O103" s="81">
        <v>-140434.99928723928</v>
      </c>
      <c r="P103" s="81">
        <v>-374493.33143263776</v>
      </c>
    </row>
    <row r="104" spans="4:16">
      <c r="D104" s="81">
        <v>900</v>
      </c>
      <c r="E104" s="110">
        <v>336859.76837860217</v>
      </c>
      <c r="H104" s="77"/>
      <c r="I104" s="79">
        <v>480</v>
      </c>
      <c r="J104" s="81">
        <v>1034275.8155834542</v>
      </c>
      <c r="K104" s="81">
        <v>809433.24697835557</v>
      </c>
      <c r="L104" s="81">
        <v>584590.67837325693</v>
      </c>
      <c r="M104" s="81">
        <v>359748.10976815806</v>
      </c>
      <c r="N104" s="81">
        <v>134905.54116305942</v>
      </c>
      <c r="O104" s="81">
        <v>-89937.027442039456</v>
      </c>
      <c r="P104" s="81">
        <v>-314779.59604713786</v>
      </c>
    </row>
    <row r="105" spans="4:16">
      <c r="H105" s="77"/>
      <c r="I105" s="79">
        <v>490</v>
      </c>
      <c r="J105" s="81">
        <v>1037609.4911199291</v>
      </c>
      <c r="K105" s="81">
        <v>821440.84713661065</v>
      </c>
      <c r="L105" s="81">
        <v>605272.20315329218</v>
      </c>
      <c r="M105" s="81">
        <v>389103.55916997371</v>
      </c>
      <c r="N105" s="81">
        <v>172934.91518665501</v>
      </c>
      <c r="O105" s="81">
        <v>-43233.728796663694</v>
      </c>
      <c r="P105" s="81">
        <v>-259402.37277998216</v>
      </c>
    </row>
    <row r="106" spans="4:16">
      <c r="H106" s="77"/>
      <c r="I106" s="79">
        <v>500</v>
      </c>
      <c r="J106" s="81">
        <v>1039972.9779989794</v>
      </c>
      <c r="K106" s="81">
        <v>831978.3823991837</v>
      </c>
      <c r="L106" s="81">
        <v>623983.78679938777</v>
      </c>
      <c r="M106" s="81">
        <v>415989.19119959185</v>
      </c>
      <c r="N106" s="81">
        <v>207994.59559979592</v>
      </c>
      <c r="O106" s="81">
        <v>0</v>
      </c>
      <c r="P106" s="81">
        <v>-207994.59559979569</v>
      </c>
    </row>
    <row r="107" spans="4:16">
      <c r="H107" s="77"/>
      <c r="I107" s="79">
        <v>510</v>
      </c>
      <c r="J107" s="81">
        <v>1041468.8061629091</v>
      </c>
      <c r="K107" s="81">
        <v>841186.34343927284</v>
      </c>
      <c r="L107" s="81">
        <v>640903.8807156363</v>
      </c>
      <c r="M107" s="81">
        <v>440621.417992</v>
      </c>
      <c r="N107" s="81">
        <v>240338.9552683637</v>
      </c>
      <c r="O107" s="81">
        <v>40056.4925447274</v>
      </c>
      <c r="P107" s="81">
        <v>-160225.97017890913</v>
      </c>
    </row>
    <row r="108" spans="4:16">
      <c r="H108" s="77"/>
      <c r="I108" s="79">
        <v>520</v>
      </c>
      <c r="J108" s="81">
        <v>1042188.3139489595</v>
      </c>
      <c r="K108" s="81">
        <v>849190.47803248558</v>
      </c>
      <c r="L108" s="81">
        <v>656192.64211601159</v>
      </c>
      <c r="M108" s="81">
        <v>463194.80619953759</v>
      </c>
      <c r="N108" s="81">
        <v>270196.97028306359</v>
      </c>
      <c r="O108" s="81">
        <v>77199.134366589598</v>
      </c>
      <c r="P108" s="81">
        <v>-115798.70154988416</v>
      </c>
    </row>
    <row r="109" spans="4:16">
      <c r="H109" s="77"/>
      <c r="I109" s="79">
        <v>530</v>
      </c>
      <c r="J109" s="81">
        <v>1042213.0017719698</v>
      </c>
      <c r="K109" s="81">
        <v>856103.53716983227</v>
      </c>
      <c r="L109" s="81">
        <v>669994.07256769482</v>
      </c>
      <c r="M109" s="81">
        <v>483884.60796555737</v>
      </c>
      <c r="N109" s="81">
        <v>297775.14336341992</v>
      </c>
      <c r="O109" s="81">
        <v>111665.67876128247</v>
      </c>
      <c r="P109" s="81">
        <v>-74443.78584085498</v>
      </c>
    </row>
    <row r="110" spans="4:16">
      <c r="H110" s="77"/>
      <c r="I110" s="79">
        <v>540</v>
      </c>
      <c r="J110" s="81">
        <v>1041615.7035724644</v>
      </c>
      <c r="K110" s="81">
        <v>862026.78916341881</v>
      </c>
      <c r="L110" s="81">
        <v>682437.87475437322</v>
      </c>
      <c r="M110" s="81">
        <v>502848.96034532762</v>
      </c>
      <c r="N110" s="81">
        <v>323260.04593628203</v>
      </c>
      <c r="O110" s="81">
        <v>143671.13152723666</v>
      </c>
      <c r="P110" s="81">
        <v>-35917.782881808933</v>
      </c>
    </row>
    <row r="111" spans="4:16">
      <c r="H111" s="77"/>
      <c r="I111" s="79">
        <v>550</v>
      </c>
      <c r="J111" s="81">
        <v>1040461.6031350964</v>
      </c>
      <c r="K111" s="81">
        <v>867051.33594591368</v>
      </c>
      <c r="L111" s="81">
        <v>693641.06875673099</v>
      </c>
      <c r="M111" s="81">
        <v>520230.80156754819</v>
      </c>
      <c r="N111" s="81">
        <v>346820.53437836538</v>
      </c>
      <c r="O111" s="81">
        <v>173410.26718918281</v>
      </c>
      <c r="P111" s="81">
        <v>0</v>
      </c>
    </row>
    <row r="112" spans="4:16">
      <c r="H112" s="77"/>
      <c r="I112" s="79">
        <v>560</v>
      </c>
      <c r="J112" s="81">
        <v>1038809.1179690239</v>
      </c>
      <c r="K112" s="81">
        <v>871259.26023208455</v>
      </c>
      <c r="L112" s="81">
        <v>703709.4024951451</v>
      </c>
      <c r="M112" s="81">
        <v>536159.544758206</v>
      </c>
      <c r="N112" s="81">
        <v>368609.68702126667</v>
      </c>
      <c r="O112" s="81">
        <v>201059.82928432734</v>
      </c>
      <c r="P112" s="81">
        <v>33509.971547388006</v>
      </c>
    </row>
    <row r="113" spans="8:16">
      <c r="H113" s="77"/>
      <c r="I113" s="79">
        <v>570</v>
      </c>
      <c r="J113" s="81">
        <v>1036710.669808225</v>
      </c>
      <c r="K113" s="81">
        <v>874724.6276506898</v>
      </c>
      <c r="L113" s="81">
        <v>712738.58549315459</v>
      </c>
      <c r="M113" s="81">
        <v>550752.54333561938</v>
      </c>
      <c r="N113" s="81">
        <v>388766.50117808441</v>
      </c>
      <c r="O113" s="81">
        <v>226780.4590205492</v>
      </c>
      <c r="P113" s="81">
        <v>64794.41686301399</v>
      </c>
    </row>
    <row r="114" spans="8:16">
      <c r="H114" s="77"/>
      <c r="I114" s="79">
        <v>580</v>
      </c>
      <c r="J114" s="81">
        <v>1034213.3577876764</v>
      </c>
      <c r="K114" s="81">
        <v>877514.36418348295</v>
      </c>
      <c r="L114" s="81">
        <v>720815.37057928951</v>
      </c>
      <c r="M114" s="81">
        <v>564116.37697509606</v>
      </c>
      <c r="N114" s="81">
        <v>407417.38337090285</v>
      </c>
      <c r="O114" s="81">
        <v>250718.38976670941</v>
      </c>
      <c r="P114" s="81">
        <v>94019.396162515972</v>
      </c>
    </row>
    <row r="115" spans="8:16">
      <c r="H115" s="77"/>
      <c r="I115" s="79">
        <v>590</v>
      </c>
      <c r="J115" s="81">
        <v>1031359.5478624469</v>
      </c>
      <c r="K115" s="81">
        <v>879689.02611796942</v>
      </c>
      <c r="L115" s="81">
        <v>728018.50437349197</v>
      </c>
      <c r="M115" s="81">
        <v>576347.98262901441</v>
      </c>
      <c r="N115" s="81">
        <v>424677.46088453708</v>
      </c>
      <c r="O115" s="81">
        <v>273006.93914005952</v>
      </c>
      <c r="P115" s="81">
        <v>121336.41739558196</v>
      </c>
    </row>
    <row r="116" spans="8:16">
      <c r="H116" s="77"/>
      <c r="I116" s="79">
        <v>600</v>
      </c>
      <c r="J116" s="81">
        <v>1028187.3899667513</v>
      </c>
      <c r="K116" s="81">
        <v>881303.47711435833</v>
      </c>
      <c r="L116" s="81">
        <v>734419.56426196522</v>
      </c>
      <c r="M116" s="81">
        <v>587535.65140957222</v>
      </c>
      <c r="N116" s="81">
        <v>440651.73855717899</v>
      </c>
      <c r="O116" s="81">
        <v>293767.825704786</v>
      </c>
      <c r="P116" s="81">
        <v>146883.912852393</v>
      </c>
    </row>
    <row r="117" spans="8:16">
      <c r="H117" s="77"/>
      <c r="I117" s="81">
        <v>700</v>
      </c>
      <c r="J117" s="81">
        <v>985104.42081539321</v>
      </c>
      <c r="K117" s="81">
        <v>875648.37405812729</v>
      </c>
      <c r="L117" s="81">
        <v>766192.32730086136</v>
      </c>
      <c r="M117" s="81">
        <v>656736.28054359555</v>
      </c>
      <c r="N117" s="81">
        <v>547280.23378632963</v>
      </c>
      <c r="O117" s="81">
        <v>437824.1870290637</v>
      </c>
      <c r="P117" s="81">
        <v>328368.14027179778</v>
      </c>
    </row>
    <row r="118" spans="8:16">
      <c r="H118" s="77"/>
      <c r="I118" s="79">
        <v>800</v>
      </c>
      <c r="J118" s="81">
        <v>933219.50848926988</v>
      </c>
      <c r="K118" s="81">
        <v>848381.37135388167</v>
      </c>
      <c r="L118" s="81">
        <v>763543.23421849345</v>
      </c>
      <c r="M118" s="81">
        <v>678705.09708310536</v>
      </c>
      <c r="N118" s="81">
        <v>593866.95994771714</v>
      </c>
      <c r="O118" s="81">
        <v>509028.82281232905</v>
      </c>
      <c r="P118" s="81">
        <v>424190.68567694083</v>
      </c>
    </row>
    <row r="119" spans="8:16">
      <c r="H119" s="77"/>
      <c r="I119" s="81">
        <v>900</v>
      </c>
      <c r="J119" s="81">
        <v>880917.95766693447</v>
      </c>
      <c r="K119" s="81">
        <v>813155.03784640098</v>
      </c>
      <c r="L119" s="81">
        <v>745392.11802586762</v>
      </c>
      <c r="M119" s="81">
        <v>677629.19820533413</v>
      </c>
      <c r="N119" s="81">
        <v>609866.27838480077</v>
      </c>
      <c r="O119" s="81">
        <v>542103.35856426728</v>
      </c>
      <c r="P119" s="81">
        <v>474340.43874373392</v>
      </c>
    </row>
    <row r="120" spans="8:16">
      <c r="H120" s="77"/>
      <c r="I120" s="81">
        <v>1000</v>
      </c>
      <c r="J120" s="81">
        <v>831338.85314930137</v>
      </c>
      <c r="K120" s="81">
        <v>775916.262939348</v>
      </c>
      <c r="L120" s="81">
        <v>720493.67272939463</v>
      </c>
      <c r="M120" s="81">
        <v>665071.08251944114</v>
      </c>
      <c r="N120" s="81">
        <v>609648.49230948766</v>
      </c>
      <c r="O120" s="81">
        <v>554225.90209953429</v>
      </c>
      <c r="P120" s="81">
        <v>498803.3118895808</v>
      </c>
    </row>
  </sheetData>
  <mergeCells count="9">
    <mergeCell ref="E1:H1"/>
    <mergeCell ref="E2:H2"/>
    <mergeCell ref="E3:H3"/>
    <mergeCell ref="E4:H4"/>
    <mergeCell ref="A69:B69"/>
    <mergeCell ref="A65:B65"/>
    <mergeCell ref="A15:B15"/>
    <mergeCell ref="C15:D15"/>
    <mergeCell ref="E15:F15"/>
  </mergeCells>
  <conditionalFormatting sqref="H38:H76">
    <cfRule type="cellIs" dxfId="2" priority="7" operator="greaterThan">
      <formula>" $593.536 "</formula>
    </cfRule>
    <cfRule type="cellIs" dxfId="1" priority="8" operator="greaterThan">
      <formula>" $593.536 "</formula>
    </cfRule>
    <cfRule type="top10" priority="10" percent="1" rank="1"/>
  </conditionalFormatting>
  <conditionalFormatting sqref="E67:E104">
    <cfRule type="top10" dxfId="0" priority="1" percent="1" rank="1"/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Quality Sweater company</vt:lpstr>
      <vt:lpstr>hotdog stand</vt:lpstr>
      <vt:lpstr>N&amp;B bookstore</vt:lpstr>
      <vt:lpstr>COPIER</vt:lpstr>
      <vt:lpstr>Band `Screamin Blue Jays</vt:lpstr>
      <vt:lpstr>theory</vt:lpstr>
      <vt:lpstr>shop 19th Hole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2023-12-01T11:59:00Z</dcterms:created>
  <dcterms:modified xsi:type="dcterms:W3CDTF">2024-03-02T09:47:00Z</dcterms:modified>
</cp:coreProperties>
</file>