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0490" windowHeight="7125"/>
  </bookViews>
  <sheets>
    <sheet name="Project Model" sheetId="2" r:id="rId1"/>
    <sheet name="Solution Solver Summary" sheetId="8" r:id="rId2"/>
    <sheet name="Approved Line Charts" sheetId="6" r:id="rId3"/>
  </sheets>
  <definedNames>
    <definedName name="_xlnm.Print_Area" localSheetId="1">'Solution Solver Summary'!$A$1:$U$28</definedName>
    <definedName name="solver_adj" localSheetId="0" hidden="1">'Project Model'!$K$19:$K$23,'Project Model'!$K$26:$K$29,'Project Model'!$K$32:$K$34,'Project Model'!$C$71:$J$82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'Project Model'!$C$71:$J$82</definedName>
    <definedName name="solver_lhs2" localSheetId="0" hidden="1">'Project Model'!$C$83:$J$83</definedName>
    <definedName name="solver_lhs3" localSheetId="0" hidden="1">'Project Model'!$D$38:$G$38</definedName>
    <definedName name="solver_lhs4" localSheetId="0" hidden="1">'Project Model'!$K$19:$K$23</definedName>
    <definedName name="solver_lhs5" localSheetId="0" hidden="1">'Project Model'!$K$26:$K$29</definedName>
    <definedName name="solver_lhs6" localSheetId="0" hidden="1">'Project Model'!$K$32:$K$34</definedName>
    <definedName name="solver_lhs7" localSheetId="0" hidden="1">'Project Model'!$K$71:$K$82</definedName>
    <definedName name="solver_lhs8" localSheetId="0" hidden="1">'Project Model'!$N$15:$N$18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8</definedName>
    <definedName name="solver_num" localSheetId="1" hidden="1">0</definedName>
    <definedName name="solver_nwt" localSheetId="0" hidden="1">1</definedName>
    <definedName name="solver_opt" localSheetId="0" hidden="1">'Project Model'!$I$41</definedName>
    <definedName name="solver_opt" localSheetId="1" hidden="1">'Solution Solver Summary'!$A$2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2</definedName>
    <definedName name="solver_rel3" localSheetId="0" hidden="1">1</definedName>
    <definedName name="solver_rel4" localSheetId="0" hidden="1">5</definedName>
    <definedName name="solver_rel5" localSheetId="0" hidden="1">5</definedName>
    <definedName name="solver_rel6" localSheetId="0" hidden="1">5</definedName>
    <definedName name="solver_rel7" localSheetId="0" hidden="1">2</definedName>
    <definedName name="solver_rel8" localSheetId="0" hidden="1">3</definedName>
    <definedName name="solver_rhs1" localSheetId="0" hidden="1">"binary"</definedName>
    <definedName name="solver_rhs2" localSheetId="0" hidden="1">'Project Model'!$C$85:$J$85</definedName>
    <definedName name="solver_rhs3" localSheetId="0" hidden="1">'Project Model'!$D$40:$G$40</definedName>
    <definedName name="solver_rhs4" localSheetId="0" hidden="1">"binary"</definedName>
    <definedName name="solver_rhs5" localSheetId="0" hidden="1">"binary"</definedName>
    <definedName name="solver_rhs6" localSheetId="0" hidden="1">"binary"</definedName>
    <definedName name="solver_rhs7" localSheetId="0" hidden="1">'Project Model'!$M$71:$M$82</definedName>
    <definedName name="solver_rhs8" localSheetId="0" hidden="1">'Project Model'!$P$15:$P$18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" i="2" l="1"/>
  <c r="M75" i="2"/>
  <c r="M80" i="2"/>
  <c r="L33" i="2"/>
  <c r="L34" i="2"/>
  <c r="L32" i="2"/>
  <c r="L27" i="2"/>
  <c r="L28" i="2"/>
  <c r="L29" i="2"/>
  <c r="L26" i="2"/>
  <c r="L21" i="2"/>
  <c r="L23" i="2"/>
  <c r="L20" i="2"/>
  <c r="L19" i="2"/>
  <c r="K71" i="2"/>
  <c r="M71" i="2"/>
  <c r="K72" i="2"/>
  <c r="M72" i="2"/>
  <c r="K73" i="2"/>
  <c r="M73" i="2"/>
  <c r="K74" i="2"/>
  <c r="M74" i="2"/>
  <c r="K75" i="2"/>
  <c r="K76" i="2"/>
  <c r="M76" i="2"/>
  <c r="K77" i="2"/>
  <c r="M77" i="2"/>
  <c r="K78" i="2"/>
  <c r="M78" i="2"/>
  <c r="K79" i="2"/>
  <c r="M79" i="2"/>
  <c r="K80" i="2"/>
  <c r="K81" i="2"/>
  <c r="M81" i="2"/>
  <c r="K82" i="2"/>
  <c r="M82" i="2"/>
  <c r="C83" i="2"/>
  <c r="D83" i="2"/>
  <c r="E83" i="2"/>
  <c r="F83" i="2"/>
  <c r="G83" i="2"/>
  <c r="H83" i="2"/>
  <c r="I83" i="2"/>
  <c r="J83" i="2"/>
  <c r="N72" i="2"/>
  <c r="N79" i="2"/>
  <c r="N77" i="2"/>
  <c r="N80" i="2"/>
  <c r="N71" i="2"/>
  <c r="N73" i="2"/>
  <c r="N74" i="2"/>
  <c r="N82" i="2"/>
  <c r="N75" i="2"/>
  <c r="N76" i="2"/>
  <c r="N78" i="2"/>
  <c r="N81" i="2"/>
  <c r="H33" i="2" l="1"/>
  <c r="I33" i="2" s="1"/>
  <c r="J33" i="2" s="1"/>
  <c r="H34" i="2"/>
  <c r="I34" i="2" s="1"/>
  <c r="J34" i="2" s="1"/>
  <c r="H32" i="2"/>
  <c r="I32" i="2" s="1"/>
  <c r="J32" i="2" s="1"/>
  <c r="H27" i="2"/>
  <c r="I27" i="2" s="1"/>
  <c r="J27" i="2" s="1"/>
  <c r="H28" i="2"/>
  <c r="I28" i="2" s="1"/>
  <c r="J28" i="2" s="1"/>
  <c r="H29" i="2"/>
  <c r="I29" i="2" s="1"/>
  <c r="J29" i="2" s="1"/>
  <c r="H26" i="2"/>
  <c r="I26" i="2" s="1"/>
  <c r="J26" i="2" s="1"/>
  <c r="H20" i="2"/>
  <c r="I20" i="2" s="1"/>
  <c r="J20" i="2" s="1"/>
  <c r="H21" i="2"/>
  <c r="I21" i="2" s="1"/>
  <c r="J21" i="2" s="1"/>
  <c r="H22" i="2"/>
  <c r="I22" i="2" s="1"/>
  <c r="J22" i="2" s="1"/>
  <c r="H23" i="2"/>
  <c r="H19" i="2"/>
  <c r="I19" i="2" s="1"/>
  <c r="D20" i="2"/>
  <c r="I23" i="2"/>
  <c r="J23" i="2" s="1"/>
  <c r="N17" i="2"/>
  <c r="N16" i="2"/>
  <c r="N15" i="2"/>
  <c r="D19" i="2"/>
  <c r="J19" i="2" l="1"/>
  <c r="I38" i="2"/>
  <c r="D33" i="2"/>
  <c r="F33" i="2"/>
  <c r="F34" i="2"/>
  <c r="F32" i="2"/>
  <c r="F27" i="2"/>
  <c r="F28" i="2"/>
  <c r="F29" i="2"/>
  <c r="F26" i="2"/>
  <c r="F20" i="2"/>
  <c r="F21" i="2"/>
  <c r="F22" i="2"/>
  <c r="F23" i="2"/>
  <c r="F19" i="2"/>
  <c r="E33" i="2"/>
  <c r="E34" i="2"/>
  <c r="E32" i="2"/>
  <c r="E27" i="2"/>
  <c r="E28" i="2"/>
  <c r="E29" i="2"/>
  <c r="E26" i="2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E30" i="2" l="1"/>
  <c r="P27" i="2" s="1"/>
  <c r="F35" i="2"/>
  <c r="Q28" i="2" s="1"/>
  <c r="D38" i="2"/>
  <c r="F30" i="2"/>
  <c r="Q27" i="2" s="1"/>
  <c r="E38" i="2"/>
  <c r="G19" i="2"/>
  <c r="E24" i="2"/>
  <c r="P26" i="2" s="1"/>
  <c r="E44" i="2"/>
  <c r="D24" i="2"/>
  <c r="O26" i="2" s="1"/>
  <c r="G20" i="2"/>
  <c r="F24" i="2"/>
  <c r="Q26" i="2" s="1"/>
  <c r="D35" i="2"/>
  <c r="O28" i="2" s="1"/>
  <c r="E35" i="2"/>
  <c r="P28" i="2" s="1"/>
  <c r="D30" i="2"/>
  <c r="O27" i="2" s="1"/>
  <c r="F38" i="2"/>
  <c r="N14" i="2"/>
  <c r="G34" i="2"/>
  <c r="N18" i="2"/>
  <c r="G33" i="2"/>
  <c r="G26" i="2"/>
  <c r="G27" i="2"/>
  <c r="G32" i="2"/>
  <c r="G22" i="2"/>
  <c r="G28" i="2"/>
  <c r="G21" i="2"/>
  <c r="G23" i="2"/>
  <c r="G29" i="2"/>
  <c r="G30" i="2" l="1"/>
  <c r="G38" i="2"/>
  <c r="N13" i="2" s="1"/>
  <c r="G35" i="2"/>
  <c r="G24" i="2"/>
  <c r="N12" i="2"/>
  <c r="G44" i="2"/>
  <c r="F44" i="2"/>
  <c r="N10" i="2"/>
  <c r="N11" i="2"/>
  <c r="N20" i="2" l="1"/>
</calcChain>
</file>

<file path=xl/comments1.xml><?xml version="1.0" encoding="utf-8"?>
<comments xmlns="http://schemas.openxmlformats.org/spreadsheetml/2006/main">
  <authors>
    <author>Autor</author>
  </authors>
  <commentList>
    <comment ref="J18" authorId="0" shapeId="0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<sst xmlns="http://schemas.openxmlformats.org/spreadsheetml/2006/main" count="127" uniqueCount="67">
  <si>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</si>
  <si>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</si>
  <si>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</si>
  <si>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</si>
  <si>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</si>
  <si>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</si>
  <si>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</si>
  <si>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</si>
  <si>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</si>
  <si>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</si>
  <si>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</si>
  <si>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</si>
  <si>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</si>
  <si>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</si>
  <si>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</si>
  <si>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</si>
  <si>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</si>
  <si>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</si>
  <si>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</si>
  <si>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</si>
  <si>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</si>
  <si>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</si>
  <si>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</si>
  <si>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</si>
  <si>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</si>
  <si>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</si>
  <si>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</si>
  <si>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</si>
  <si>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</si>
  <si>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</si>
  <si>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</si>
  <si>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</si>
  <si>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</si>
  <si>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</si>
  <si>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</si>
  <si>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</si>
  <si>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</si>
  <si>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</si>
  <si>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</si>
  <si>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</si>
  <si>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</si>
  <si>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</si>
  <si>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</si>
  <si>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</si>
  <si>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</si>
  <si>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</si>
  <si>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</si>
  <si>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</si>
  <si>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&gt;=</t>
  </si>
  <si>
    <t>Overall Totals for Approved Projects:</t>
  </si>
  <si>
    <t>NPV Discount Rate % decrease:</t>
  </si>
  <si>
    <t>Adjusted based on % Partnership:</t>
  </si>
  <si>
    <t>Total Approved NPV:</t>
  </si>
  <si>
    <t>&lt;=</t>
  </si>
  <si>
    <t>Manager</t>
  </si>
  <si>
    <t>Project</t>
  </si>
  <si>
    <t xml:space="preserve">Without the restriction of assigning qualified managers, based on this spreadsheet, solver looks like this: </t>
  </si>
  <si>
    <t xml:space="preserve">To give a maximum NPV of $2024 with all projects approved except 1, 10, and 12. </t>
  </si>
  <si>
    <t>Totals:</t>
  </si>
  <si>
    <t xml:space="preserve">Approved? </t>
  </si>
  <si>
    <t>With the addition of assigning managers, based on this spreadsheet, solver looks like this:</t>
  </si>
  <si>
    <t>=</t>
  </si>
  <si>
    <t>Manager:</t>
  </si>
  <si>
    <t xml:space="preserve">The manager assignment is given in L19 - L34 for each approved project. </t>
  </si>
  <si>
    <t>&lt;---use as objective for first question</t>
  </si>
  <si>
    <t xml:space="preserve">This gives a maximum NPV of $1954 meeting all constraints for all approved projects except 1, 3 and 12. </t>
  </si>
  <si>
    <t>Qualified Managers: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</si>
</sst>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9" applyNumberFormat="0" applyFill="0" applyAlignment="0" applyProtection="0"/>
    <xf numFmtId="0" fontId="1" fillId="10" borderId="13" applyNumberFormat="0" applyFont="0" applyAlignment="0" applyProtection="0"/>
  </cellStyleXfs>
  <cellXfs count="83">
    <xf numFmtId="0" fontId="0" fillId="0" borderId="0" xfId="0"/>
    <xf numFmtId="165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5" fontId="0" fillId="5" borderId="1" xfId="1" applyNumberFormat="1" applyFont="1" applyFill="1" applyBorder="1"/>
    <xf numFmtId="165" fontId="0" fillId="5" borderId="2" xfId="1" applyNumberFormat="1" applyFont="1" applyFill="1" applyBorder="1"/>
    <xf numFmtId="165" fontId="0" fillId="6" borderId="1" xfId="1" applyNumberFormat="1" applyFont="1" applyFill="1" applyBorder="1"/>
    <xf numFmtId="165" fontId="0" fillId="6" borderId="2" xfId="1" applyNumberFormat="1" applyFont="1" applyFill="1" applyBorder="1"/>
    <xf numFmtId="165" fontId="0" fillId="7" borderId="1" xfId="1" applyNumberFormat="1" applyFont="1" applyFill="1" applyBorder="1"/>
    <xf numFmtId="165" fontId="0" fillId="7" borderId="2" xfId="1" applyNumberFormat="1" applyFont="1" applyFill="1" applyBorder="1"/>
    <xf numFmtId="0" fontId="6" fillId="0" borderId="1" xfId="0" applyFont="1" applyBorder="1"/>
    <xf numFmtId="165" fontId="6" fillId="0" borderId="1" xfId="0" applyNumberFormat="1" applyFont="1" applyBorder="1"/>
    <xf numFmtId="165" fontId="0" fillId="0" borderId="1" xfId="0" applyNumberFormat="1" applyBorder="1"/>
    <xf numFmtId="0" fontId="8" fillId="0" borderId="0" xfId="0" applyFont="1"/>
    <xf numFmtId="0" fontId="0" fillId="0" borderId="1" xfId="0" applyBorder="1"/>
    <xf numFmtId="165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5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5" fontId="0" fillId="8" borderId="0" xfId="1" applyNumberFormat="1" applyFont="1" applyFill="1"/>
    <xf numFmtId="9" fontId="13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2" xfId="0" applyBorder="1"/>
    <xf numFmtId="0" fontId="2" fillId="0" borderId="11" xfId="0" applyFont="1" applyBorder="1"/>
    <xf numFmtId="0" fontId="10" fillId="0" borderId="9" xfId="3"/>
    <xf numFmtId="0" fontId="0" fillId="0" borderId="0" xfId="0" applyFill="1"/>
    <xf numFmtId="165" fontId="0" fillId="0" borderId="0" xfId="1" applyNumberFormat="1" applyFont="1" applyFill="1"/>
    <xf numFmtId="165" fontId="0" fillId="0" borderId="0" xfId="0" applyNumberFormat="1" applyFill="1"/>
    <xf numFmtId="0" fontId="2" fillId="0" borderId="0" xfId="0" applyFon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10" borderId="18" xfId="4" applyFont="1" applyBorder="1"/>
    <xf numFmtId="0" fontId="0" fillId="10" borderId="19" xfId="4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10" borderId="20" xfId="4" applyFont="1" applyBorder="1" applyAlignment="1">
      <alignment horizontal="center"/>
    </xf>
    <xf numFmtId="0" fontId="0" fillId="10" borderId="21" xfId="4" applyFont="1" applyBorder="1" applyAlignment="1">
      <alignment horizontal="center"/>
    </xf>
    <xf numFmtId="0" fontId="0" fillId="10" borderId="22" xfId="4" applyFont="1" applyBorder="1" applyAlignment="1">
      <alignment horizontal="center"/>
    </xf>
    <xf numFmtId="0" fontId="0" fillId="10" borderId="14" xfId="4" applyFont="1" applyBorder="1" applyAlignment="1">
      <alignment horizontal="center"/>
    </xf>
    <xf numFmtId="0" fontId="0" fillId="10" borderId="15" xfId="4" applyFont="1" applyBorder="1" applyAlignment="1">
      <alignment horizontal="center"/>
    </xf>
    <xf numFmtId="0" fontId="0" fillId="10" borderId="16" xfId="4" applyFont="1" applyBorder="1" applyAlignment="1">
      <alignment horizontal="center"/>
    </xf>
    <xf numFmtId="0" fontId="0" fillId="10" borderId="17" xfId="4" applyFont="1" applyBorder="1" applyAlignment="1">
      <alignment horizontal="center"/>
    </xf>
    <xf numFmtId="0" fontId="0" fillId="10" borderId="18" xfId="4" applyFont="1" applyBorder="1" applyAlignment="1">
      <alignment horizontal="center"/>
    </xf>
  </cellXfs>
  <cellStyles count="5">
    <cellStyle name="Encabezado 1" xfId="3" builtinId="16"/>
    <cellStyle name="Moneda" xfId="1" builtinId="4"/>
    <cellStyle name="Normal" xfId="0" builtinId="0"/>
    <cellStyle name="Notas" xfId="4" builtinId="10"/>
    <cellStyle name="Porcentaje" xfId="2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1065</c:v>
                </c:pt>
                <c:pt idx="1">
                  <c:v>899</c:v>
                </c:pt>
                <c:pt idx="2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1065</c:v>
                </c:pt>
                <c:pt idx="1">
                  <c:v>899</c:v>
                </c:pt>
                <c:pt idx="2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1</xdr:row>
      <xdr:rowOff>12701</xdr:rowOff>
    </xdr:from>
    <xdr:to>
      <xdr:col>7</xdr:col>
      <xdr:colOff>618163</xdr:colOff>
      <xdr:row>25</xdr:row>
      <xdr:rowOff>101601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D7CED-38DC-4FFF-A503-1FC8F91D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850" y="209551"/>
          <a:ext cx="5044113" cy="481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35718</xdr:colOff>
      <xdr:row>1</xdr:row>
      <xdr:rowOff>101204</xdr:rowOff>
    </xdr:from>
    <xdr:to>
      <xdr:col>18</xdr:col>
      <xdr:colOff>508441</xdr:colOff>
      <xdr:row>26</xdr:row>
      <xdr:rowOff>192716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65F77F-B040-428C-9641-DD1150C2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6422" y="303610"/>
          <a:ext cx="5264988" cy="51516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8"/>
  <sheetViews>
    <sheetView tabSelected="1" zoomScale="70" zoomScaleNormal="70" workbookViewId="0">
      <selection activeCell="L52" sqref="L52"/>
    </sheetView>
  </sheetViews>
  <sheetFormatPr baseColWidth="10" defaultColWidth="8.875" defaultRowHeight="15.75"/>
  <cols>
    <col min="1" max="1" width="12" bestFit="1" customWidth="1"/>
    <col min="2" max="2" width="14" bestFit="1" customWidth="1"/>
    <col min="3" max="3" width="14.375" customWidth="1"/>
    <col min="4" max="4" width="18" customWidth="1"/>
    <col min="5" max="5" width="17" bestFit="1" customWidth="1"/>
    <col min="6" max="7" width="17.375" bestFit="1" customWidth="1"/>
    <col min="8" max="8" width="9" bestFit="1" customWidth="1"/>
    <col min="9" max="9" width="10" bestFit="1" customWidth="1"/>
    <col min="10" max="10" width="7.25" customWidth="1"/>
    <col min="11" max="11" width="14.75" bestFit="1" customWidth="1"/>
    <col min="12" max="12" width="9.75" customWidth="1"/>
    <col min="13" max="13" width="34" bestFit="1" customWidth="1"/>
    <col min="14" max="14" width="18.5" bestFit="1" customWidth="1"/>
    <col min="15" max="15" width="16.5" customWidth="1"/>
    <col min="16" max="16" width="14.375" customWidth="1"/>
  </cols>
  <sheetData>
    <row r="1" spans="1:16" ht="21">
      <c r="A1" s="68" t="s">
        <v>46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</row>
    <row r="2" spans="1:16">
      <c r="A2" s="15" t="s">
        <v>24</v>
      </c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70" t="s">
        <v>22</v>
      </c>
      <c r="N3" s="70"/>
    </row>
    <row r="4" spans="1:16" ht="20.25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50</v>
      </c>
      <c r="N7" s="51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71" t="s">
        <v>12</v>
      </c>
      <c r="N9" s="72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1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1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 t="s">
        <v>47</v>
      </c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3</v>
      </c>
      <c r="O15" s="44" t="s">
        <v>48</v>
      </c>
      <c r="P15">
        <v>1</v>
      </c>
    </row>
    <row r="16" spans="1:16" ht="17.100000000000001" customHeight="1">
      <c r="M16" s="38" t="s">
        <v>27</v>
      </c>
      <c r="N16" s="38">
        <f>SUM(K26:K29)</f>
        <v>4</v>
      </c>
      <c r="O16" s="44" t="s">
        <v>48</v>
      </c>
      <c r="P16">
        <v>1</v>
      </c>
    </row>
    <row r="17" spans="1:17">
      <c r="D17" s="74" t="s">
        <v>51</v>
      </c>
      <c r="E17" s="74"/>
      <c r="F17" s="74"/>
      <c r="G17" s="74"/>
      <c r="M17" s="38" t="s">
        <v>28</v>
      </c>
      <c r="N17" s="38">
        <f>SUM(K32:K34)</f>
        <v>1</v>
      </c>
      <c r="O17" s="44" t="s">
        <v>48</v>
      </c>
      <c r="P17">
        <v>1</v>
      </c>
    </row>
    <row r="18" spans="1:1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L18" s="59" t="s">
        <v>62</v>
      </c>
      <c r="M18" s="38" t="s">
        <v>29</v>
      </c>
      <c r="N18" s="38">
        <f>SUM(N15:N17)</f>
        <v>8</v>
      </c>
      <c r="O18" s="44" t="s">
        <v>48</v>
      </c>
      <c r="P18">
        <v>1</v>
      </c>
    </row>
    <row r="19" spans="1:1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2">
        <v>0</v>
      </c>
      <c r="L19" s="44" t="e">
        <f>MATCH(1,C71:J71,0)</f>
        <v>#N/A</v>
      </c>
    </row>
    <row r="20" spans="1:17">
      <c r="A20" s="7">
        <v>2</v>
      </c>
      <c r="B20" s="8" t="s">
        <v>8</v>
      </c>
      <c r="C20" s="2">
        <v>0.33</v>
      </c>
      <c r="D20" s="5">
        <f>E5*C20</f>
        <v>165</v>
      </c>
      <c r="E20" s="5">
        <f>F5*C20</f>
        <v>99</v>
      </c>
      <c r="F20" s="6">
        <f>G5*C20</f>
        <v>99</v>
      </c>
      <c r="G20" s="6">
        <f>SUM(D20,E20,F20)</f>
        <v>363</v>
      </c>
      <c r="H20" s="6">
        <f>H5</f>
        <v>180</v>
      </c>
      <c r="I20" s="5">
        <f>H20*(1-$N$7)</f>
        <v>158.4</v>
      </c>
      <c r="J20" s="2">
        <f>IF(K20=0,"",I20/SUM(E5:G5))</f>
        <v>0.14400000000000002</v>
      </c>
      <c r="K20" s="52">
        <v>1</v>
      </c>
      <c r="L20" s="44">
        <f>_xlfn.XMATCH(1,C72:J72,0)</f>
        <v>1</v>
      </c>
      <c r="M20" s="12" t="s">
        <v>36</v>
      </c>
      <c r="N20" s="19">
        <f>IF(SUM(N10:N14)=5,1,0)</f>
        <v>1</v>
      </c>
    </row>
    <row r="21" spans="1:17">
      <c r="A21" s="7">
        <v>3</v>
      </c>
      <c r="B21" s="8" t="s">
        <v>8</v>
      </c>
      <c r="C21" s="2">
        <v>0.5</v>
      </c>
      <c r="D21" s="5">
        <f>E6*C21</f>
        <v>50</v>
      </c>
      <c r="E21" s="5">
        <f>F6*C21</f>
        <v>100</v>
      </c>
      <c r="F21" s="6">
        <f>G6*C21</f>
        <v>200</v>
      </c>
      <c r="G21" s="6">
        <f t="shared" ref="G21:G34" si="0">SUM(D21,E21,F21)</f>
        <v>350</v>
      </c>
      <c r="H21" s="6">
        <f>H6</f>
        <v>80</v>
      </c>
      <c r="I21" s="5">
        <f>H21*(1-$N$7)</f>
        <v>70.400000000000006</v>
      </c>
      <c r="J21" s="2" t="str">
        <f>IF(K21=0,"",I21/SUM(E6:G6))</f>
        <v/>
      </c>
      <c r="K21" s="52">
        <v>0</v>
      </c>
      <c r="L21" s="44" t="e">
        <f>_xlfn.XMATCH(1,C73:J73,0)</f>
        <v>#N/A</v>
      </c>
    </row>
    <row r="22" spans="1:17">
      <c r="A22" s="7">
        <v>4</v>
      </c>
      <c r="B22" s="8" t="s">
        <v>8</v>
      </c>
      <c r="C22" s="3">
        <v>1</v>
      </c>
      <c r="D22" s="5">
        <f>E7*C22</f>
        <v>750</v>
      </c>
      <c r="E22" s="5">
        <f>F7*C22</f>
        <v>500</v>
      </c>
      <c r="F22" s="6">
        <f>G7*C22</f>
        <v>300</v>
      </c>
      <c r="G22" s="6">
        <f t="shared" si="0"/>
        <v>1550</v>
      </c>
      <c r="H22" s="6">
        <f>H7</f>
        <v>310</v>
      </c>
      <c r="I22" s="5">
        <f>H22*(1-$N$7)</f>
        <v>272.8</v>
      </c>
      <c r="J22" s="2">
        <f>IF(K22=0,"",I22/SUM(E7:G7))</f>
        <v>0.17600000000000002</v>
      </c>
      <c r="K22" s="52">
        <v>1</v>
      </c>
      <c r="L22" s="44">
        <f>_xlfn.XMATCH(1,C74:J74,0)</f>
        <v>7</v>
      </c>
    </row>
    <row r="23" spans="1:17">
      <c r="A23" s="7">
        <v>5</v>
      </c>
      <c r="B23" s="8" t="s">
        <v>8</v>
      </c>
      <c r="C23" s="4">
        <v>0.75</v>
      </c>
      <c r="D23" s="5">
        <f>E8*C23</f>
        <v>150</v>
      </c>
      <c r="E23" s="5">
        <f>F8*C23</f>
        <v>300</v>
      </c>
      <c r="F23" s="6">
        <f>G8*C23</f>
        <v>600</v>
      </c>
      <c r="G23" s="5">
        <f t="shared" si="0"/>
        <v>1050</v>
      </c>
      <c r="H23" s="6">
        <f>H8</f>
        <v>220</v>
      </c>
      <c r="I23" s="5">
        <f>H23*(1-$N$7)</f>
        <v>193.6</v>
      </c>
      <c r="J23" s="2">
        <f>IF(K23=0,"",I23/SUM(E8:G8))</f>
        <v>0.13828571428571429</v>
      </c>
      <c r="K23" s="52">
        <v>1</v>
      </c>
      <c r="L23" s="44">
        <f t="shared" ref="L23" si="1">_xlfn.XMATCH(1,C75:J75,0)</f>
        <v>5</v>
      </c>
      <c r="M23" s="47"/>
    </row>
    <row r="24" spans="1:17">
      <c r="C24" s="45" t="s">
        <v>37</v>
      </c>
      <c r="D24" s="43">
        <f>SUMPRODUCT(D19:D23,K19:K23)</f>
        <v>1065</v>
      </c>
      <c r="E24" s="43">
        <f>SUMPRODUCT(E19:E23,K19:K23)</f>
        <v>899</v>
      </c>
      <c r="F24" s="43">
        <f>SUMPRODUCT(F19:F23,K19:K23)</f>
        <v>999</v>
      </c>
      <c r="G24" s="43">
        <f t="shared" si="0"/>
        <v>2963</v>
      </c>
      <c r="K24" s="44"/>
      <c r="L24" s="44"/>
      <c r="M24" s="47"/>
      <c r="N24" s="47"/>
      <c r="O24" s="67" t="s">
        <v>41</v>
      </c>
      <c r="P24" s="67"/>
      <c r="Q24" s="67"/>
    </row>
    <row r="25" spans="1:17">
      <c r="K25" s="44"/>
      <c r="L25" s="44"/>
      <c r="M25" s="47"/>
      <c r="N25" s="38"/>
      <c r="O25" s="46" t="s">
        <v>42</v>
      </c>
      <c r="P25" s="46" t="s">
        <v>43</v>
      </c>
      <c r="Q25" s="46" t="s">
        <v>44</v>
      </c>
    </row>
    <row r="26" spans="1:1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0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2">
        <v>1</v>
      </c>
      <c r="L26" s="44">
        <f>_xlfn.XMATCH(1,C76:J76,0)</f>
        <v>2</v>
      </c>
      <c r="M26" s="73" t="s">
        <v>45</v>
      </c>
      <c r="N26" s="46" t="s">
        <v>40</v>
      </c>
      <c r="O26" s="36">
        <f>D24</f>
        <v>1065</v>
      </c>
      <c r="P26" s="36">
        <f>E24</f>
        <v>899</v>
      </c>
      <c r="Q26" s="36">
        <f>F24</f>
        <v>999</v>
      </c>
    </row>
    <row r="27" spans="1:1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0"/>
        <v>1800</v>
      </c>
      <c r="H27" s="6">
        <f>H10</f>
        <v>410</v>
      </c>
      <c r="I27" s="5">
        <f>H27*(1-$N$7)</f>
        <v>360.8</v>
      </c>
      <c r="J27" s="2">
        <f>IF(K27=0,"",I27/SUM(E10:G10))</f>
        <v>0.20044444444444445</v>
      </c>
      <c r="K27" s="52">
        <v>1</v>
      </c>
      <c r="L27" s="44">
        <f t="shared" ref="L27:L29" si="2">_xlfn.XMATCH(1,C77:J77,0)</f>
        <v>6</v>
      </c>
      <c r="M27" s="73"/>
      <c r="N27" s="46" t="s">
        <v>9</v>
      </c>
      <c r="O27" s="36">
        <f>D30</f>
        <v>2318</v>
      </c>
      <c r="P27" s="36">
        <f>E30</f>
        <v>2002</v>
      </c>
      <c r="Q27" s="36">
        <f>F30</f>
        <v>1586</v>
      </c>
    </row>
    <row r="28" spans="1:1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0"/>
        <v>2100</v>
      </c>
      <c r="H28" s="6">
        <f>H11</f>
        <v>280</v>
      </c>
      <c r="I28" s="5">
        <f>H28*(1-$N$7)</f>
        <v>246.4</v>
      </c>
      <c r="J28" s="2">
        <f>IF(K28=0,"",I28/SUM(E11:G11))</f>
        <v>0.11733333333333333</v>
      </c>
      <c r="K28" s="52">
        <v>1</v>
      </c>
      <c r="L28" s="44">
        <f t="shared" si="2"/>
        <v>4</v>
      </c>
      <c r="M28" s="73"/>
      <c r="N28" s="46" t="s">
        <v>10</v>
      </c>
      <c r="O28" s="36">
        <f>D35</f>
        <v>350</v>
      </c>
      <c r="P28" s="36">
        <f>E35</f>
        <v>250</v>
      </c>
      <c r="Q28" s="36">
        <f>F35</f>
        <v>150</v>
      </c>
    </row>
    <row r="29" spans="1:1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0"/>
        <v>1206</v>
      </c>
      <c r="H29" s="6">
        <f>H12</f>
        <v>380</v>
      </c>
      <c r="I29" s="5">
        <f>H29*(1-$N$7)</f>
        <v>334.4</v>
      </c>
      <c r="J29" s="2">
        <f>IF(K29=0,"",I29/SUM(E12:G12))</f>
        <v>0.18577777777777776</v>
      </c>
      <c r="K29" s="52">
        <v>1</v>
      </c>
      <c r="L29" s="44">
        <f t="shared" si="2"/>
        <v>3</v>
      </c>
    </row>
    <row r="30" spans="1:17">
      <c r="C30" s="45" t="s">
        <v>38</v>
      </c>
      <c r="D30" s="43">
        <f>SUMPRODUCT(D26:D29,$K$26:$K$29)</f>
        <v>2318</v>
      </c>
      <c r="E30" s="43">
        <f>SUMPRODUCT(E26:E29,$K$26:$K$29)</f>
        <v>2002</v>
      </c>
      <c r="F30" s="43">
        <f>SUMPRODUCT(F26:F29,$K$26:$K$29)</f>
        <v>1586</v>
      </c>
      <c r="G30" s="36">
        <f>SUM(D30:F30)</f>
        <v>5906</v>
      </c>
      <c r="K30" s="44"/>
      <c r="L30" s="44"/>
    </row>
    <row r="31" spans="1:17">
      <c r="K31" s="44"/>
      <c r="L31" s="44"/>
      <c r="N31" s="47"/>
    </row>
    <row r="32" spans="1:1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0"/>
        <v>700</v>
      </c>
      <c r="H32" s="39">
        <f>H13</f>
        <v>100</v>
      </c>
      <c r="I32" s="5">
        <f>H32*(1-$N$7)</f>
        <v>88</v>
      </c>
      <c r="J32" s="2" t="str">
        <f>IF(K32=0,"",I32/SUM(E13:G13))</f>
        <v/>
      </c>
      <c r="K32" s="52">
        <v>0</v>
      </c>
      <c r="L32" s="44" t="e">
        <f>_xlfn.XMATCH(1,C80:J80,0)</f>
        <v>#N/A</v>
      </c>
      <c r="N32" s="47"/>
    </row>
    <row r="33" spans="1:14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0"/>
        <v>750</v>
      </c>
      <c r="H33" s="39">
        <f>H14</f>
        <v>260</v>
      </c>
      <c r="I33" s="5">
        <f>H33*(1-$N$7)</f>
        <v>228.8</v>
      </c>
      <c r="J33" s="2">
        <f>IF(K33=0,"",I33/SUM(E14:G14))</f>
        <v>0.15253333333333335</v>
      </c>
      <c r="K33" s="52">
        <v>1</v>
      </c>
      <c r="L33" s="44">
        <f t="shared" ref="L33:L34" si="3">_xlfn.XMATCH(1,C81:J81,0)</f>
        <v>8</v>
      </c>
      <c r="N33" s="47"/>
    </row>
    <row r="34" spans="1:14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0"/>
        <v>2300</v>
      </c>
      <c r="H34" s="39">
        <f>H15</f>
        <v>340</v>
      </c>
      <c r="I34" s="5">
        <f>H34*(1-$N$7)</f>
        <v>299.2</v>
      </c>
      <c r="J34" s="2" t="str">
        <f>IF(K34=0,"",I34/SUM(E15:G15))</f>
        <v/>
      </c>
      <c r="K34" s="52">
        <v>0</v>
      </c>
      <c r="L34" s="44" t="e">
        <f t="shared" si="3"/>
        <v>#N/A</v>
      </c>
    </row>
    <row r="35" spans="1:14">
      <c r="C35" s="45" t="s">
        <v>39</v>
      </c>
      <c r="D35" s="5">
        <f>SUMPRODUCT(D32:D34,$K$32:$K$34)</f>
        <v>350</v>
      </c>
      <c r="E35" s="5">
        <f>SUMPRODUCT(E32:E34,$K$32:$K$34)</f>
        <v>250</v>
      </c>
      <c r="F35" s="5">
        <f>SUMPRODUCT(F32:F34,$K$32:$K$34)</f>
        <v>150</v>
      </c>
      <c r="G35" s="5">
        <f>SUM(D35:F35)</f>
        <v>750</v>
      </c>
    </row>
    <row r="36" spans="1:14">
      <c r="F36" s="1"/>
      <c r="G36" s="1"/>
    </row>
    <row r="37" spans="1:14">
      <c r="D37" s="48" t="s">
        <v>18</v>
      </c>
      <c r="E37" s="48" t="s">
        <v>17</v>
      </c>
      <c r="F37" s="13" t="s">
        <v>19</v>
      </c>
      <c r="G37" s="48" t="s">
        <v>11</v>
      </c>
      <c r="I37" s="49" t="s">
        <v>52</v>
      </c>
    </row>
    <row r="38" spans="1:14">
      <c r="C38" s="45" t="s">
        <v>49</v>
      </c>
      <c r="D38" s="14">
        <f>SUMPRODUCT(D19:D23,$K$19:$K$23)+SUMPRODUCT(D26:D29,$K$26:$K$29)+SUMPRODUCT(D32:D34,$K$32:$K$34)</f>
        <v>3733</v>
      </c>
      <c r="E38" s="14">
        <f>SUMPRODUCT(E19:E23,$K$19:$K$23)+SUMPRODUCT(E26:E29,$K$26:$K$29)+SUMPRODUCT(E32:E34,$K$32:$K$34)</f>
        <v>3151</v>
      </c>
      <c r="F38" s="14">
        <f>SUMPRODUCT(F19:F23,$K$19:$K$23)+SUMPRODUCT(F26:F29,$K$26:$K$29)+SUMPRODUCT(F32:F34,$K$32:$K$34)</f>
        <v>2735</v>
      </c>
      <c r="G38" s="14">
        <f>SUM(D38:F38)</f>
        <v>9619</v>
      </c>
      <c r="I38" s="50">
        <f>SUMPRODUCT(I19:I34,K19:K34)</f>
        <v>1953.6000000000001</v>
      </c>
      <c r="J38" t="s">
        <v>64</v>
      </c>
    </row>
    <row r="39" spans="1:14">
      <c r="D39" s="44" t="s">
        <v>53</v>
      </c>
      <c r="E39" s="44" t="s">
        <v>53</v>
      </c>
      <c r="F39" s="44" t="s">
        <v>53</v>
      </c>
      <c r="G39" s="44" t="s">
        <v>53</v>
      </c>
    </row>
    <row r="40" spans="1:14">
      <c r="D40" s="44">
        <v>4000</v>
      </c>
      <c r="E40" s="44">
        <v>4000</v>
      </c>
      <c r="F40" s="44">
        <v>4000</v>
      </c>
      <c r="G40" s="44">
        <v>10000</v>
      </c>
    </row>
    <row r="42" spans="1:14">
      <c r="E42" s="65" t="s">
        <v>32</v>
      </c>
      <c r="F42" s="65"/>
      <c r="G42" s="65"/>
    </row>
    <row r="43" spans="1:14">
      <c r="D43" s="12" t="s">
        <v>31</v>
      </c>
      <c r="E43" s="12" t="s">
        <v>33</v>
      </c>
      <c r="F43" s="12" t="s">
        <v>34</v>
      </c>
      <c r="G43" s="12" t="s">
        <v>35</v>
      </c>
    </row>
    <row r="44" spans="1:14">
      <c r="D44" s="40"/>
      <c r="E44" s="42">
        <f>AVERAGE(J19:J34)</f>
        <v>0.15167182539682542</v>
      </c>
      <c r="F44" s="42">
        <f>MIN(J19:J34)</f>
        <v>9.9000000000000005E-2</v>
      </c>
      <c r="G44" s="42">
        <f>MAX(J19:J34)</f>
        <v>0.20044444444444445</v>
      </c>
    </row>
    <row r="45" spans="1:14">
      <c r="D45" s="2">
        <v>0</v>
      </c>
      <c r="E45" s="2">
        <f t="dataTable" ref="E45:G51" dt2D="0" dtr="0" r1="N7"/>
        <v>0.17235434704184704</v>
      </c>
      <c r="F45" s="2">
        <v>0.1125</v>
      </c>
      <c r="G45" s="2">
        <v>0.22777777777777777</v>
      </c>
    </row>
    <row r="46" spans="1:14">
      <c r="D46" s="2">
        <v>0.05</v>
      </c>
      <c r="E46" s="2">
        <v>0.16373662968975469</v>
      </c>
      <c r="F46" s="2">
        <v>0.106875</v>
      </c>
      <c r="G46" s="2">
        <v>0.21638888888888888</v>
      </c>
    </row>
    <row r="47" spans="1:14">
      <c r="D47" s="2">
        <v>0.1</v>
      </c>
      <c r="E47" s="2">
        <v>0.15511891233766231</v>
      </c>
      <c r="F47" s="2">
        <v>0.10125000000000001</v>
      </c>
      <c r="G47" s="2">
        <v>0.20499999999999999</v>
      </c>
    </row>
    <row r="48" spans="1:14">
      <c r="D48" s="2">
        <v>0.15</v>
      </c>
      <c r="E48" s="2">
        <v>0.14650119498556999</v>
      </c>
      <c r="F48" s="2">
        <v>9.5625000000000002E-2</v>
      </c>
      <c r="G48" s="2">
        <v>0.19361111111111112</v>
      </c>
    </row>
    <row r="49" spans="1:10">
      <c r="D49" s="2">
        <v>0.2</v>
      </c>
      <c r="E49" s="2">
        <v>0.13788347763347764</v>
      </c>
      <c r="F49" s="2">
        <v>0.09</v>
      </c>
      <c r="G49" s="2">
        <v>0.18222222222222223</v>
      </c>
    </row>
    <row r="50" spans="1:10">
      <c r="D50" s="2">
        <v>0.25</v>
      </c>
      <c r="E50" s="2">
        <v>0.12926576028138526</v>
      </c>
      <c r="F50" s="2">
        <v>8.4375000000000006E-2</v>
      </c>
      <c r="G50" s="2">
        <v>0.17083333333333334</v>
      </c>
    </row>
    <row r="51" spans="1:10">
      <c r="D51" s="2">
        <v>0.3</v>
      </c>
      <c r="E51" s="2">
        <v>0.12064804292929292</v>
      </c>
      <c r="F51" s="2">
        <v>7.8749999999999987E-2</v>
      </c>
      <c r="G51" s="2">
        <v>0.15944444444444444</v>
      </c>
    </row>
    <row r="53" spans="1:10" ht="20.25" thickBot="1">
      <c r="A53" s="55" t="s">
        <v>66</v>
      </c>
    </row>
    <row r="54" spans="1:10" ht="16.5" thickTop="1">
      <c r="A54" s="38"/>
      <c r="B54" s="65" t="s">
        <v>54</v>
      </c>
      <c r="C54" s="65"/>
      <c r="D54" s="65"/>
      <c r="E54" s="65"/>
      <c r="F54" s="65"/>
      <c r="G54" s="65"/>
      <c r="H54" s="65"/>
      <c r="I54" s="65"/>
      <c r="J54" s="38"/>
    </row>
    <row r="55" spans="1:10" ht="16.5" thickBot="1">
      <c r="A55" s="38"/>
      <c r="B55" s="38"/>
      <c r="C55" s="54">
        <v>1</v>
      </c>
      <c r="D55" s="54">
        <v>2</v>
      </c>
      <c r="E55" s="54">
        <v>3</v>
      </c>
      <c r="F55" s="54">
        <v>4</v>
      </c>
      <c r="G55" s="54">
        <v>5</v>
      </c>
      <c r="H55" s="54">
        <v>6</v>
      </c>
      <c r="I55" s="54">
        <v>7</v>
      </c>
      <c r="J55" s="54">
        <v>8</v>
      </c>
    </row>
    <row r="56" spans="1:10" ht="16.5" thickTop="1">
      <c r="A56" s="66" t="s">
        <v>55</v>
      </c>
      <c r="B56" s="48">
        <v>1</v>
      </c>
      <c r="C56" s="53">
        <v>1</v>
      </c>
      <c r="D56" s="53">
        <v>1</v>
      </c>
      <c r="E56" s="53">
        <v>1</v>
      </c>
      <c r="F56" s="53">
        <v>1</v>
      </c>
      <c r="G56" s="53">
        <v>1</v>
      </c>
      <c r="H56" s="53">
        <v>0</v>
      </c>
      <c r="I56" s="53">
        <v>0</v>
      </c>
      <c r="J56" s="53">
        <v>0</v>
      </c>
    </row>
    <row r="57" spans="1:10">
      <c r="A57" s="66"/>
      <c r="B57" s="48">
        <v>2</v>
      </c>
      <c r="C57" s="38">
        <v>1</v>
      </c>
      <c r="D57" s="38">
        <v>1</v>
      </c>
      <c r="E57" s="38">
        <v>1</v>
      </c>
      <c r="F57" s="38">
        <v>1</v>
      </c>
      <c r="G57" s="38">
        <v>0</v>
      </c>
      <c r="H57" s="38">
        <v>1</v>
      </c>
      <c r="I57" s="38">
        <v>0</v>
      </c>
      <c r="J57" s="38">
        <v>1</v>
      </c>
    </row>
    <row r="58" spans="1:10">
      <c r="A58" s="66"/>
      <c r="B58" s="48">
        <v>3</v>
      </c>
      <c r="C58" s="38">
        <v>1</v>
      </c>
      <c r="D58" s="38">
        <v>0</v>
      </c>
      <c r="E58" s="38">
        <v>0</v>
      </c>
      <c r="F58" s="38">
        <v>1</v>
      </c>
      <c r="G58" s="38">
        <v>1</v>
      </c>
      <c r="H58" s="38">
        <v>1</v>
      </c>
      <c r="I58" s="38">
        <v>0</v>
      </c>
      <c r="J58" s="38">
        <v>1</v>
      </c>
    </row>
    <row r="59" spans="1:10">
      <c r="A59" s="66"/>
      <c r="B59" s="48">
        <v>4</v>
      </c>
      <c r="C59" s="38">
        <v>0</v>
      </c>
      <c r="D59" s="38">
        <v>1</v>
      </c>
      <c r="E59" s="38">
        <v>0</v>
      </c>
      <c r="F59" s="38">
        <v>0</v>
      </c>
      <c r="G59" s="38">
        <v>1</v>
      </c>
      <c r="H59" s="38">
        <v>1</v>
      </c>
      <c r="I59" s="38">
        <v>1</v>
      </c>
      <c r="J59" s="38">
        <v>1</v>
      </c>
    </row>
    <row r="60" spans="1:10">
      <c r="A60" s="66"/>
      <c r="B60" s="48">
        <v>5</v>
      </c>
      <c r="C60" s="38">
        <v>1</v>
      </c>
      <c r="D60" s="38">
        <v>1</v>
      </c>
      <c r="E60" s="38">
        <v>1</v>
      </c>
      <c r="F60" s="38">
        <v>1</v>
      </c>
      <c r="G60" s="38">
        <v>1</v>
      </c>
      <c r="H60" s="38">
        <v>1</v>
      </c>
      <c r="I60" s="38">
        <v>1</v>
      </c>
      <c r="J60" s="38">
        <v>0</v>
      </c>
    </row>
    <row r="61" spans="1:10">
      <c r="A61" s="66"/>
      <c r="B61" s="48">
        <v>6</v>
      </c>
      <c r="C61" s="38">
        <v>1</v>
      </c>
      <c r="D61" s="38">
        <v>1</v>
      </c>
      <c r="E61" s="38">
        <v>1</v>
      </c>
      <c r="F61" s="38">
        <v>1</v>
      </c>
      <c r="G61" s="38">
        <v>1</v>
      </c>
      <c r="H61" s="38">
        <v>1</v>
      </c>
      <c r="I61" s="38">
        <v>1</v>
      </c>
      <c r="J61" s="38">
        <v>1</v>
      </c>
    </row>
    <row r="62" spans="1:10">
      <c r="A62" s="66"/>
      <c r="B62" s="48">
        <v>7</v>
      </c>
      <c r="C62" s="38">
        <v>1</v>
      </c>
      <c r="D62" s="38">
        <v>1</v>
      </c>
      <c r="E62" s="38">
        <v>1</v>
      </c>
      <c r="F62" s="38">
        <v>1</v>
      </c>
      <c r="G62" s="38">
        <v>1</v>
      </c>
      <c r="H62" s="38">
        <v>1</v>
      </c>
      <c r="I62" s="38">
        <v>0</v>
      </c>
      <c r="J62" s="38">
        <v>1</v>
      </c>
    </row>
    <row r="63" spans="1:10">
      <c r="A63" s="66"/>
      <c r="B63" s="48">
        <v>8</v>
      </c>
      <c r="C63" s="38">
        <v>1</v>
      </c>
      <c r="D63" s="38">
        <v>1</v>
      </c>
      <c r="E63" s="38">
        <v>1</v>
      </c>
      <c r="F63" s="38">
        <v>1</v>
      </c>
      <c r="G63" s="38">
        <v>0</v>
      </c>
      <c r="H63" s="38">
        <v>1</v>
      </c>
      <c r="I63" s="38">
        <v>1</v>
      </c>
      <c r="J63" s="38">
        <v>0</v>
      </c>
    </row>
    <row r="64" spans="1:10">
      <c r="A64" s="66"/>
      <c r="B64" s="48">
        <v>9</v>
      </c>
      <c r="C64" s="38">
        <v>1</v>
      </c>
      <c r="D64" s="38">
        <v>1</v>
      </c>
      <c r="E64" s="38">
        <v>1</v>
      </c>
      <c r="F64" s="38">
        <v>1</v>
      </c>
      <c r="G64" s="38">
        <v>0</v>
      </c>
      <c r="H64" s="38">
        <v>0</v>
      </c>
      <c r="I64" s="38">
        <v>0</v>
      </c>
      <c r="J64" s="38">
        <v>1</v>
      </c>
    </row>
    <row r="65" spans="1:14">
      <c r="A65" s="66"/>
      <c r="B65" s="48">
        <v>10</v>
      </c>
      <c r="C65" s="38">
        <v>1</v>
      </c>
      <c r="D65" s="38">
        <v>1</v>
      </c>
      <c r="E65" s="38">
        <v>1</v>
      </c>
      <c r="F65" s="38">
        <v>1</v>
      </c>
      <c r="G65" s="38">
        <v>0</v>
      </c>
      <c r="H65" s="38">
        <v>1</v>
      </c>
      <c r="I65" s="38">
        <v>1</v>
      </c>
      <c r="J65" s="38">
        <v>1</v>
      </c>
    </row>
    <row r="66" spans="1:14">
      <c r="A66" s="66"/>
      <c r="B66" s="48">
        <v>11</v>
      </c>
      <c r="C66" s="38">
        <v>1</v>
      </c>
      <c r="D66" s="38">
        <v>1</v>
      </c>
      <c r="E66" s="38">
        <v>1</v>
      </c>
      <c r="F66" s="38">
        <v>1</v>
      </c>
      <c r="G66" s="38">
        <v>1</v>
      </c>
      <c r="H66" s="38">
        <v>1</v>
      </c>
      <c r="I66" s="38">
        <v>0</v>
      </c>
      <c r="J66" s="38">
        <v>1</v>
      </c>
    </row>
    <row r="67" spans="1:14">
      <c r="A67" s="66"/>
      <c r="B67" s="48">
        <v>12</v>
      </c>
      <c r="C67" s="38">
        <v>0</v>
      </c>
      <c r="D67" s="38">
        <v>0</v>
      </c>
      <c r="E67" s="38">
        <v>0</v>
      </c>
      <c r="F67" s="38">
        <v>1</v>
      </c>
      <c r="G67" s="38">
        <v>1</v>
      </c>
      <c r="H67" s="38">
        <v>0</v>
      </c>
      <c r="I67" s="38">
        <v>1</v>
      </c>
      <c r="J67" s="38">
        <v>1</v>
      </c>
    </row>
    <row r="69" spans="1:14">
      <c r="A69" s="38"/>
      <c r="B69" s="65" t="s">
        <v>54</v>
      </c>
      <c r="C69" s="65"/>
      <c r="D69" s="65"/>
      <c r="E69" s="65"/>
      <c r="F69" s="65"/>
      <c r="G69" s="65"/>
      <c r="H69" s="65"/>
      <c r="I69" s="65"/>
      <c r="J69" s="38"/>
    </row>
    <row r="70" spans="1:14" ht="16.5" thickBot="1">
      <c r="A70" s="38"/>
      <c r="B70" s="38"/>
      <c r="C70" s="62">
        <v>1</v>
      </c>
      <c r="D70" s="62">
        <v>2</v>
      </c>
      <c r="E70" s="62">
        <v>3</v>
      </c>
      <c r="F70" s="62">
        <v>4</v>
      </c>
      <c r="G70" s="62">
        <v>5</v>
      </c>
      <c r="H70" s="62">
        <v>6</v>
      </c>
      <c r="I70" s="62">
        <v>7</v>
      </c>
      <c r="J70" s="62">
        <v>8</v>
      </c>
      <c r="K70" s="44" t="s">
        <v>58</v>
      </c>
      <c r="M70" s="44" t="s">
        <v>59</v>
      </c>
    </row>
    <row r="71" spans="1:14" ht="16.5" thickTop="1">
      <c r="A71" s="66" t="s">
        <v>55</v>
      </c>
      <c r="B71" s="48">
        <v>1</v>
      </c>
      <c r="C71" s="60">
        <v>0</v>
      </c>
      <c r="D71" s="60">
        <v>0</v>
      </c>
      <c r="E71" s="60">
        <v>0</v>
      </c>
      <c r="F71" s="60">
        <v>0</v>
      </c>
      <c r="G71" s="60">
        <v>0</v>
      </c>
      <c r="H71" s="60">
        <v>0</v>
      </c>
      <c r="I71" s="60">
        <v>0</v>
      </c>
      <c r="J71" s="60">
        <v>0</v>
      </c>
      <c r="K71" s="44">
        <f t="shared" ref="K71:K82" si="4">SUM(C71:J71)</f>
        <v>0</v>
      </c>
      <c r="L71" s="44" t="s">
        <v>53</v>
      </c>
      <c r="M71" s="44">
        <f>'Project Model'!K19</f>
        <v>0</v>
      </c>
      <c r="N71" t="str">
        <f t="shared" ref="N71:N82" ca="1" si="5">_xlfn.FORMULATEXT(M71)</f>
        <v>='Project Model'!K19</v>
      </c>
    </row>
    <row r="72" spans="1:14">
      <c r="A72" s="66"/>
      <c r="B72" s="48">
        <v>2</v>
      </c>
      <c r="C72" s="61">
        <v>1</v>
      </c>
      <c r="D72" s="61">
        <v>0</v>
      </c>
      <c r="E72" s="61">
        <v>0</v>
      </c>
      <c r="F72" s="61">
        <v>0</v>
      </c>
      <c r="G72" s="61">
        <v>0</v>
      </c>
      <c r="H72" s="61">
        <v>0</v>
      </c>
      <c r="I72" s="61">
        <v>0</v>
      </c>
      <c r="J72" s="61">
        <v>0</v>
      </c>
      <c r="K72" s="44">
        <f t="shared" si="4"/>
        <v>1</v>
      </c>
      <c r="L72" s="44" t="s">
        <v>53</v>
      </c>
      <c r="M72" s="44">
        <f>'Project Model'!K20</f>
        <v>1</v>
      </c>
      <c r="N72" t="str">
        <f t="shared" ca="1" si="5"/>
        <v>='Project Model'!K20</v>
      </c>
    </row>
    <row r="73" spans="1:14">
      <c r="A73" s="66"/>
      <c r="B73" s="48">
        <v>3</v>
      </c>
      <c r="C73" s="61">
        <v>0</v>
      </c>
      <c r="D73" s="61">
        <v>0</v>
      </c>
      <c r="E73" s="61">
        <v>0</v>
      </c>
      <c r="F73" s="61">
        <v>0</v>
      </c>
      <c r="G73" s="61">
        <v>0</v>
      </c>
      <c r="H73" s="61">
        <v>0</v>
      </c>
      <c r="I73" s="61">
        <v>0</v>
      </c>
      <c r="J73" s="61">
        <v>0</v>
      </c>
      <c r="K73" s="44">
        <f t="shared" si="4"/>
        <v>0</v>
      </c>
      <c r="L73" s="44" t="s">
        <v>53</v>
      </c>
      <c r="M73" s="44">
        <f>'Project Model'!K21</f>
        <v>0</v>
      </c>
      <c r="N73" t="str">
        <f t="shared" ca="1" si="5"/>
        <v>='Project Model'!K21</v>
      </c>
    </row>
    <row r="74" spans="1:14">
      <c r="A74" s="66"/>
      <c r="B74" s="48">
        <v>4</v>
      </c>
      <c r="C74" s="61">
        <v>0</v>
      </c>
      <c r="D74" s="61">
        <v>0</v>
      </c>
      <c r="E74" s="61">
        <v>0</v>
      </c>
      <c r="F74" s="61">
        <v>0</v>
      </c>
      <c r="G74" s="61">
        <v>0</v>
      </c>
      <c r="H74" s="61">
        <v>0</v>
      </c>
      <c r="I74" s="61">
        <v>1</v>
      </c>
      <c r="J74" s="61">
        <v>0</v>
      </c>
      <c r="K74" s="44">
        <f t="shared" si="4"/>
        <v>1</v>
      </c>
      <c r="L74" s="44" t="s">
        <v>53</v>
      </c>
      <c r="M74" s="44">
        <f>'Project Model'!K22</f>
        <v>1</v>
      </c>
      <c r="N74" t="str">
        <f t="shared" ca="1" si="5"/>
        <v>='Project Model'!K22</v>
      </c>
    </row>
    <row r="75" spans="1:14">
      <c r="A75" s="66"/>
      <c r="B75" s="48">
        <v>5</v>
      </c>
      <c r="C75" s="61">
        <v>0</v>
      </c>
      <c r="D75" s="61">
        <v>0</v>
      </c>
      <c r="E75" s="61">
        <v>0</v>
      </c>
      <c r="F75" s="61">
        <v>0</v>
      </c>
      <c r="G75" s="61">
        <v>1</v>
      </c>
      <c r="H75" s="61">
        <v>0</v>
      </c>
      <c r="I75" s="61">
        <v>0</v>
      </c>
      <c r="J75" s="61">
        <v>0</v>
      </c>
      <c r="K75" s="44">
        <f t="shared" si="4"/>
        <v>1</v>
      </c>
      <c r="L75" s="44" t="s">
        <v>53</v>
      </c>
      <c r="M75" s="44">
        <f>'Project Model'!K23</f>
        <v>1</v>
      </c>
      <c r="N75" t="str">
        <f t="shared" ca="1" si="5"/>
        <v>='Project Model'!K23</v>
      </c>
    </row>
    <row r="76" spans="1:14">
      <c r="A76" s="66"/>
      <c r="B76" s="48">
        <v>6</v>
      </c>
      <c r="C76" s="61">
        <v>0</v>
      </c>
      <c r="D76" s="61">
        <v>1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44">
        <f t="shared" si="4"/>
        <v>1</v>
      </c>
      <c r="L76" s="44" t="s">
        <v>53</v>
      </c>
      <c r="M76" s="44">
        <f>'Project Model'!K26</f>
        <v>1</v>
      </c>
      <c r="N76" t="str">
        <f t="shared" ca="1" si="5"/>
        <v>='Project Model'!K26</v>
      </c>
    </row>
    <row r="77" spans="1:14">
      <c r="A77" s="66"/>
      <c r="B77" s="48">
        <v>7</v>
      </c>
      <c r="C77" s="61">
        <v>0</v>
      </c>
      <c r="D77" s="61">
        <v>0</v>
      </c>
      <c r="E77" s="61">
        <v>0</v>
      </c>
      <c r="F77" s="61">
        <v>0</v>
      </c>
      <c r="G77" s="61">
        <v>0</v>
      </c>
      <c r="H77" s="61">
        <v>1</v>
      </c>
      <c r="I77" s="61">
        <v>0</v>
      </c>
      <c r="J77" s="61">
        <v>0</v>
      </c>
      <c r="K77" s="44">
        <f t="shared" si="4"/>
        <v>1</v>
      </c>
      <c r="L77" s="44" t="s">
        <v>53</v>
      </c>
      <c r="M77" s="44">
        <f>'Project Model'!K27</f>
        <v>1</v>
      </c>
      <c r="N77" t="str">
        <f t="shared" ca="1" si="5"/>
        <v>='Project Model'!K27</v>
      </c>
    </row>
    <row r="78" spans="1:14">
      <c r="A78" s="66"/>
      <c r="B78" s="48">
        <v>8</v>
      </c>
      <c r="C78" s="61">
        <v>0</v>
      </c>
      <c r="D78" s="61">
        <v>0</v>
      </c>
      <c r="E78" s="61">
        <v>0</v>
      </c>
      <c r="F78" s="61">
        <v>1</v>
      </c>
      <c r="G78" s="61">
        <v>0</v>
      </c>
      <c r="H78" s="61">
        <v>0</v>
      </c>
      <c r="I78" s="61">
        <v>0</v>
      </c>
      <c r="J78" s="61">
        <v>0</v>
      </c>
      <c r="K78" s="44">
        <f t="shared" si="4"/>
        <v>1</v>
      </c>
      <c r="L78" s="44" t="s">
        <v>53</v>
      </c>
      <c r="M78" s="44">
        <f>'Project Model'!K28</f>
        <v>1</v>
      </c>
      <c r="N78" t="str">
        <f t="shared" ca="1" si="5"/>
        <v>='Project Model'!K28</v>
      </c>
    </row>
    <row r="79" spans="1:14">
      <c r="A79" s="66"/>
      <c r="B79" s="48">
        <v>9</v>
      </c>
      <c r="C79" s="61">
        <v>0</v>
      </c>
      <c r="D79" s="61">
        <v>0</v>
      </c>
      <c r="E79" s="61">
        <v>1</v>
      </c>
      <c r="F79" s="61">
        <v>0</v>
      </c>
      <c r="G79" s="61">
        <v>0</v>
      </c>
      <c r="H79" s="61">
        <v>0</v>
      </c>
      <c r="I79" s="61">
        <v>0</v>
      </c>
      <c r="J79" s="61">
        <v>0</v>
      </c>
      <c r="K79" s="44">
        <f t="shared" si="4"/>
        <v>1</v>
      </c>
      <c r="L79" s="44" t="s">
        <v>53</v>
      </c>
      <c r="M79" s="44">
        <f>'Project Model'!K29</f>
        <v>1</v>
      </c>
      <c r="N79" t="str">
        <f t="shared" ca="1" si="5"/>
        <v>='Project Model'!K29</v>
      </c>
    </row>
    <row r="80" spans="1:14">
      <c r="A80" s="66"/>
      <c r="B80" s="48">
        <v>10</v>
      </c>
      <c r="C80" s="61">
        <v>0</v>
      </c>
      <c r="D80" s="61">
        <v>0</v>
      </c>
      <c r="E80" s="61">
        <v>0</v>
      </c>
      <c r="F80" s="61">
        <v>0</v>
      </c>
      <c r="G80" s="61">
        <v>0</v>
      </c>
      <c r="H80" s="61">
        <v>0</v>
      </c>
      <c r="I80" s="61">
        <v>0</v>
      </c>
      <c r="J80" s="61">
        <v>0</v>
      </c>
      <c r="K80" s="44">
        <f t="shared" si="4"/>
        <v>0</v>
      </c>
      <c r="L80" s="44" t="s">
        <v>53</v>
      </c>
      <c r="M80" s="44">
        <f>'Project Model'!K30</f>
        <v>0</v>
      </c>
      <c r="N80" t="str">
        <f t="shared" ca="1" si="5"/>
        <v>='Project Model'!K30</v>
      </c>
    </row>
    <row r="81" spans="1:14">
      <c r="A81" s="66"/>
      <c r="B81" s="48">
        <v>11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1</v>
      </c>
      <c r="K81" s="44">
        <f t="shared" si="4"/>
        <v>1</v>
      </c>
      <c r="L81" s="44" t="s">
        <v>53</v>
      </c>
      <c r="M81" s="44">
        <f>'Project Model'!K33</f>
        <v>1</v>
      </c>
      <c r="N81" t="str">
        <f t="shared" ca="1" si="5"/>
        <v>='Project Model'!K33</v>
      </c>
    </row>
    <row r="82" spans="1:14">
      <c r="A82" s="66"/>
      <c r="B82" s="48">
        <v>12</v>
      </c>
      <c r="C82" s="61">
        <v>0</v>
      </c>
      <c r="D82" s="61">
        <v>0</v>
      </c>
      <c r="E82" s="61">
        <v>0</v>
      </c>
      <c r="F82" s="61">
        <v>0</v>
      </c>
      <c r="G82" s="61">
        <v>0</v>
      </c>
      <c r="H82" s="61">
        <v>0</v>
      </c>
      <c r="I82" s="61">
        <v>0</v>
      </c>
      <c r="J82" s="61">
        <v>0</v>
      </c>
      <c r="K82" s="44">
        <f t="shared" si="4"/>
        <v>0</v>
      </c>
      <c r="L82" s="44" t="s">
        <v>53</v>
      </c>
      <c r="M82" s="44">
        <f>'Project Model'!K34</f>
        <v>0</v>
      </c>
      <c r="N82" t="str">
        <f t="shared" ca="1" si="5"/>
        <v>='Project Model'!K34</v>
      </c>
    </row>
    <row r="83" spans="1:14">
      <c r="B83" t="s">
        <v>58</v>
      </c>
      <c r="C83" s="44">
        <f t="shared" ref="C83:J83" si="6">SUM(C71:C82)</f>
        <v>1</v>
      </c>
      <c r="D83" s="44">
        <f t="shared" si="6"/>
        <v>1</v>
      </c>
      <c r="E83" s="44">
        <f t="shared" si="6"/>
        <v>1</v>
      </c>
      <c r="F83" s="44">
        <f t="shared" si="6"/>
        <v>1</v>
      </c>
      <c r="G83" s="44">
        <f t="shared" si="6"/>
        <v>1</v>
      </c>
      <c r="H83" s="44">
        <f t="shared" si="6"/>
        <v>1</v>
      </c>
      <c r="I83" s="44">
        <f t="shared" si="6"/>
        <v>1</v>
      </c>
      <c r="J83" s="44">
        <f t="shared" si="6"/>
        <v>1</v>
      </c>
    </row>
    <row r="84" spans="1:14">
      <c r="C84" s="44" t="s">
        <v>61</v>
      </c>
      <c r="D84" s="44" t="s">
        <v>61</v>
      </c>
      <c r="E84" s="44" t="s">
        <v>61</v>
      </c>
      <c r="F84" s="44" t="s">
        <v>61</v>
      </c>
      <c r="G84" s="44" t="s">
        <v>61</v>
      </c>
      <c r="H84" s="44" t="s">
        <v>61</v>
      </c>
      <c r="I84" s="44" t="s">
        <v>61</v>
      </c>
      <c r="J84" s="44" t="s">
        <v>61</v>
      </c>
    </row>
    <row r="85" spans="1:14">
      <c r="C85" s="44">
        <v>1</v>
      </c>
      <c r="D85" s="44">
        <v>1</v>
      </c>
      <c r="E85" s="44">
        <v>1</v>
      </c>
      <c r="F85" s="44">
        <v>1</v>
      </c>
      <c r="G85" s="44">
        <v>1</v>
      </c>
      <c r="H85" s="44">
        <v>1</v>
      </c>
      <c r="I85" s="44">
        <v>1</v>
      </c>
      <c r="J85" s="44">
        <v>1</v>
      </c>
    </row>
    <row r="87" spans="1:14">
      <c r="B87" s="56"/>
      <c r="C87" s="56"/>
      <c r="D87" s="57"/>
    </row>
    <row r="88" spans="1:14">
      <c r="B88" s="56"/>
      <c r="C88" s="56"/>
      <c r="D88" s="58"/>
    </row>
  </sheetData>
  <mergeCells count="11">
    <mergeCell ref="A1:L1"/>
    <mergeCell ref="M3:N3"/>
    <mergeCell ref="E42:G42"/>
    <mergeCell ref="M9:N9"/>
    <mergeCell ref="M26:M28"/>
    <mergeCell ref="D17:G17"/>
    <mergeCell ref="B54:I54"/>
    <mergeCell ref="A56:A67"/>
    <mergeCell ref="B69:I69"/>
    <mergeCell ref="A71:A82"/>
    <mergeCell ref="O24:Q24"/>
  </mergeCells>
  <conditionalFormatting sqref="N10:N13">
    <cfRule type="cellIs" dxfId="11" priority="24" operator="equal">
      <formula>1</formula>
    </cfRule>
  </conditionalFormatting>
  <conditionalFormatting sqref="N10:N13">
    <cfRule type="cellIs" dxfId="10" priority="23" operator="lessThan">
      <formula>1</formula>
    </cfRule>
  </conditionalFormatting>
  <conditionalFormatting sqref="H26:H29 H32:H34">
    <cfRule type="cellIs" dxfId="9" priority="33" operator="equal">
      <formula>MIN($K$19:$K$29)</formula>
    </cfRule>
    <cfRule type="cellIs" dxfId="8" priority="34" operator="equal">
      <formula>MAX($K$19:$K$29)</formula>
    </cfRule>
  </conditionalFormatting>
  <conditionalFormatting sqref="D38:F38">
    <cfRule type="cellIs" dxfId="7" priority="9" operator="greaterThan">
      <formula>4000</formula>
    </cfRule>
    <cfRule type="cellIs" dxfId="6" priority="10" operator="lessThan">
      <formula>4000</formula>
    </cfRule>
  </conditionalFormatting>
  <conditionalFormatting sqref="N14">
    <cfRule type="cellIs" dxfId="5" priority="5" operator="lessThan">
      <formula>1</formula>
    </cfRule>
    <cfRule type="cellIs" dxfId="4" priority="6" operator="greaterThan">
      <formula>0</formula>
    </cfRule>
  </conditionalFormatting>
  <conditionalFormatting sqref="M20:N20">
    <cfRule type="cellIs" dxfId="3" priority="3" operator="lessThan">
      <formula>1</formula>
    </cfRule>
    <cfRule type="cellIs" dxfId="2" priority="4" operator="equal">
      <formula>1</formula>
    </cfRule>
  </conditionalFormatting>
  <conditionalFormatting sqref="G38">
    <cfRule type="cellIs" dxfId="1" priority="1" operator="greaterThan">
      <formula>10000</formula>
    </cfRule>
    <cfRule type="cellIs" dxfId="0" priority="2" operator="lessThan">
      <formula>10000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zoomScale="80" zoomScaleNormal="80" zoomScaleSheetLayoutView="80" workbookViewId="0">
      <selection activeCell="I33" sqref="I33"/>
    </sheetView>
  </sheetViews>
  <sheetFormatPr baseColWidth="10" defaultColWidth="9" defaultRowHeight="15.75"/>
  <sheetData>
    <row r="1" spans="1:12">
      <c r="A1" t="s">
        <v>56</v>
      </c>
      <c r="L1" t="s">
        <v>60</v>
      </c>
    </row>
    <row r="27" spans="1:21" ht="16.5" thickBot="1"/>
    <row r="28" spans="1:21" ht="16.5" thickBot="1">
      <c r="A28" s="75" t="s">
        <v>57</v>
      </c>
      <c r="B28" s="76"/>
      <c r="C28" s="76"/>
      <c r="D28" s="76"/>
      <c r="E28" s="76"/>
      <c r="F28" s="76"/>
      <c r="G28" s="76"/>
      <c r="H28" s="77"/>
      <c r="L28" s="78" t="s">
        <v>65</v>
      </c>
      <c r="M28" s="79"/>
      <c r="N28" s="79"/>
      <c r="O28" s="79"/>
      <c r="P28" s="79"/>
      <c r="Q28" s="79"/>
      <c r="R28" s="79"/>
      <c r="S28" s="79"/>
      <c r="T28" s="79"/>
      <c r="U28" s="80"/>
    </row>
    <row r="29" spans="1:21" ht="16.5" thickBot="1">
      <c r="L29" s="81" t="s">
        <v>63</v>
      </c>
      <c r="M29" s="82"/>
      <c r="N29" s="82"/>
      <c r="O29" s="82"/>
      <c r="P29" s="82"/>
      <c r="Q29" s="82"/>
      <c r="R29" s="82"/>
      <c r="S29" s="63"/>
      <c r="T29" s="63"/>
      <c r="U29" s="64"/>
    </row>
  </sheetData>
  <mergeCells count="3">
    <mergeCell ref="A28:H28"/>
    <mergeCell ref="L28:U28"/>
    <mergeCell ref="L29:R29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baseColWidth="10" defaultColWidth="10.75" defaultRowHeight="15.75"/>
  <cols>
    <col min="4" max="4" width="10.37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Project Model</vt:lpstr>
      <vt:lpstr>Solution Solver Summary</vt:lpstr>
      <vt:lpstr>Approved Line Charts</vt:lpstr>
      <vt:lpstr>'Solution Solver Summary'!Área_de_impresión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2024-04-15T15:11:48Z</dcterms:modified>
  <cp:category/>
  <cp:contentStatus/>
</cp:coreProperties>
</file>