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 firstSheet="14" activeTab="18"/>
  </bookViews>
  <sheets>
    <sheet name="Index" sheetId="16" r:id="rId1"/>
    <sheet name="VAN Theory" sheetId="13" r:id="rId2"/>
    <sheet name="ROI theory" sheetId="17" r:id="rId3"/>
    <sheet name="Linear Programming theory" sheetId="18" r:id="rId4"/>
    <sheet name="bycicles" sheetId="1" r:id="rId5"/>
    <sheet name=" example VAN or NPV " sheetId="2" r:id="rId6"/>
    <sheet name="NPV theory" sheetId="4" r:id="rId7"/>
    <sheet name="% average growing" sheetId="6" r:id="rId8"/>
    <sheet name="VAN example " sheetId="7" r:id="rId9"/>
    <sheet name="table final proyect" sheetId="9" r:id="rId10"/>
    <sheet name="REVISED final table project" sheetId="10" r:id="rId11"/>
    <sheet name="approved line charts" sheetId="11" r:id="rId12"/>
    <sheet name="example linear programming" sheetId="15" r:id="rId13"/>
    <sheet name="example LP" sheetId="20" r:id="rId14"/>
    <sheet name="variants LP" sheetId="21" r:id="rId15"/>
    <sheet name="more variants LP" sheetId="22" r:id="rId16"/>
    <sheet name="example 2 LP" sheetId="23" r:id="rId17"/>
    <sheet name="example 3 LP" sheetId="24" r:id="rId18"/>
    <sheet name="example 4 LP" sheetId="25" r:id="rId19"/>
  </sheets>
  <externalReferences>
    <externalReference r:id="rId20"/>
  </externalReferences>
  <definedNames>
    <definedName name="solver_adj" localSheetId="16" hidden="1">'example 2 LP'!$B$2:$P$2</definedName>
    <definedName name="solver_adj" localSheetId="17" hidden="1">'example 3 LP'!$B$3:$K$3</definedName>
    <definedName name="solver_adj" localSheetId="18" hidden="1">'example 4 LP'!$B$9:$C$9</definedName>
    <definedName name="solver_adj" localSheetId="12" hidden="1">'example linear programming'!$B$4:$C$4</definedName>
    <definedName name="solver_adj" localSheetId="13" hidden="1">'example LP'!$B$2:$C$2</definedName>
    <definedName name="solver_adj" localSheetId="15" hidden="1">'more variants LP'!$B$2:$F$2</definedName>
    <definedName name="solver_adj" localSheetId="14" hidden="1">'variants LP'!$B$2:$C$2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2" hidden="1">0.0001</definedName>
    <definedName name="solver_cvg" localSheetId="13" hidden="1">0.0001</definedName>
    <definedName name="solver_cvg" localSheetId="15" hidden="1">0.0001</definedName>
    <definedName name="solver_cvg" localSheetId="14" hidden="1">0.0001</definedName>
    <definedName name="solver_drv" localSheetId="16" hidden="1">1</definedName>
    <definedName name="solver_drv" localSheetId="17" hidden="1">2</definedName>
    <definedName name="solver_drv" localSheetId="18" hidden="1">1</definedName>
    <definedName name="solver_drv" localSheetId="12" hidden="1">1</definedName>
    <definedName name="solver_drv" localSheetId="13" hidden="1">1</definedName>
    <definedName name="solver_drv" localSheetId="15" hidden="1">1</definedName>
    <definedName name="solver_drv" localSheetId="14" hidden="1">1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2" hidden="1">2</definedName>
    <definedName name="solver_eng" localSheetId="13" hidden="1">2</definedName>
    <definedName name="solver_eng" localSheetId="15" hidden="1">2</definedName>
    <definedName name="solver_eng" localSheetId="14" hidden="1">2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2" hidden="1">1</definedName>
    <definedName name="solver_est" localSheetId="13" hidden="1">1</definedName>
    <definedName name="solver_est" localSheetId="15" hidden="1">1</definedName>
    <definedName name="solver_est" localSheetId="14" hidden="1">1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2" hidden="1">2147483647</definedName>
    <definedName name="solver_itr" localSheetId="13" hidden="1">2147483647</definedName>
    <definedName name="solver_itr" localSheetId="15" hidden="1">2147483647</definedName>
    <definedName name="solver_itr" localSheetId="14" hidden="1">2147483647</definedName>
    <definedName name="solver_lhs0" localSheetId="18" hidden="1">'example 4 LP'!$D$15:$D$16</definedName>
    <definedName name="solver_lhs1" localSheetId="16" hidden="1">'example 2 LP'!$Q$13:$Q$17</definedName>
    <definedName name="solver_lhs1" localSheetId="17" hidden="1">'example 3 LP'!$L$10:$L$14</definedName>
    <definedName name="solver_lhs1" localSheetId="18" hidden="1">'example 4 LP'!$D$15:$D$16</definedName>
    <definedName name="solver_lhs1" localSheetId="12" hidden="1">'example linear programming'!$D$13</definedName>
    <definedName name="solver_lhs1" localSheetId="13" hidden="1">'example LP'!$D$10</definedName>
    <definedName name="solver_lhs1" localSheetId="15" hidden="1">'more variants LP'!$G$12</definedName>
    <definedName name="solver_lhs1" localSheetId="14" hidden="1">'variants LP'!$D$15:$D$18</definedName>
    <definedName name="solver_lhs2" localSheetId="16" hidden="1">'example 2 LP'!$Q$18:$Q$20</definedName>
    <definedName name="solver_lhs2" localSheetId="18" hidden="1">'example 4 LP'!$D$15:$D$16</definedName>
    <definedName name="solver_lhs2" localSheetId="12" hidden="1">'example linear programming'!$D$14</definedName>
    <definedName name="solver_lhs2" localSheetId="13" hidden="1">'example LP'!$D$9</definedName>
    <definedName name="solver_lhs2" localSheetId="15" hidden="1">'more variants LP'!$G$13</definedName>
    <definedName name="solver_lhs3" localSheetId="12" hidden="1">'example linear programming'!$D$15</definedName>
    <definedName name="solver_lhs3" localSheetId="15" hidden="1">'more variants LP'!$G$14</definedName>
    <definedName name="solver_lhs4" localSheetId="12" hidden="1">'example linear programming'!$D$16</definedName>
    <definedName name="solver_lhs4" localSheetId="15" hidden="1">'more variants LP'!$G$15</definedName>
    <definedName name="solver_lhs5" localSheetId="12" hidden="1">'example linear programming'!$D$16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2" hidden="1">2147483647</definedName>
    <definedName name="solver_mip" localSheetId="13" hidden="1">2147483647</definedName>
    <definedName name="solver_mip" localSheetId="15" hidden="1">2147483647</definedName>
    <definedName name="solver_mip" localSheetId="14" hidden="1">2147483647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2" hidden="1">30</definedName>
    <definedName name="solver_mni" localSheetId="13" hidden="1">30</definedName>
    <definedName name="solver_mni" localSheetId="15" hidden="1">30</definedName>
    <definedName name="solver_mni" localSheetId="14" hidden="1">30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2" hidden="1">0.075</definedName>
    <definedName name="solver_mrt" localSheetId="13" hidden="1">0.075</definedName>
    <definedName name="solver_mrt" localSheetId="15" hidden="1">0.075</definedName>
    <definedName name="solver_mrt" localSheetId="14" hidden="1">0.075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2" hidden="1">2</definedName>
    <definedName name="solver_msl" localSheetId="13" hidden="1">2</definedName>
    <definedName name="solver_msl" localSheetId="15" hidden="1">2</definedName>
    <definedName name="solver_msl" localSheetId="14" hidden="1">2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2" hidden="1">1</definedName>
    <definedName name="solver_neg" localSheetId="13" hidden="1">1</definedName>
    <definedName name="solver_neg" localSheetId="15" hidden="1">1</definedName>
    <definedName name="solver_neg" localSheetId="14" hidden="1">1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2" hidden="1">2147483647</definedName>
    <definedName name="solver_nod" localSheetId="13" hidden="1">2147483647</definedName>
    <definedName name="solver_nod" localSheetId="15" hidden="1">2147483647</definedName>
    <definedName name="solver_nod" localSheetId="14" hidden="1">2147483647</definedName>
    <definedName name="solver_num" localSheetId="16" hidden="1">2</definedName>
    <definedName name="solver_num" localSheetId="17" hidden="1">1</definedName>
    <definedName name="solver_num" localSheetId="18" hidden="1">1</definedName>
    <definedName name="solver_num" localSheetId="12" hidden="1">4</definedName>
    <definedName name="solver_num" localSheetId="13" hidden="1">2</definedName>
    <definedName name="solver_num" localSheetId="15" hidden="1">4</definedName>
    <definedName name="solver_num" localSheetId="14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2" hidden="1">1</definedName>
    <definedName name="solver_nwt" localSheetId="13" hidden="1">1</definedName>
    <definedName name="solver_nwt" localSheetId="15" hidden="1">1</definedName>
    <definedName name="solver_nwt" localSheetId="14" hidden="1">1</definedName>
    <definedName name="solver_opt" localSheetId="16" hidden="1">'example 2 LP'!$B$8</definedName>
    <definedName name="solver_opt" localSheetId="17" hidden="1">'example 3 LP'!$B$7</definedName>
    <definedName name="solver_opt" localSheetId="18" hidden="1">'example 4 LP'!$B$12</definedName>
    <definedName name="solver_opt" localSheetId="12" hidden="1">'example linear programming'!$B$7</definedName>
    <definedName name="solver_opt" localSheetId="13" hidden="1">'example LP'!$B$6</definedName>
    <definedName name="solver_opt" localSheetId="15" hidden="1">'more variants LP'!$B$5</definedName>
    <definedName name="solver_opt" localSheetId="14" hidden="1">'variants LP'!$D$11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2" hidden="1">0.000001</definedName>
    <definedName name="solver_pre" localSheetId="13" hidden="1">0.000001</definedName>
    <definedName name="solver_pre" localSheetId="15" hidden="1">0.000001</definedName>
    <definedName name="solver_pre" localSheetId="14" hidden="1">0.000001</definedName>
    <definedName name="solver_rbv" localSheetId="16" hidden="1">1</definedName>
    <definedName name="solver_rbv" localSheetId="17" hidden="1">2</definedName>
    <definedName name="solver_rbv" localSheetId="18" hidden="1">1</definedName>
    <definedName name="solver_rbv" localSheetId="12" hidden="1">1</definedName>
    <definedName name="solver_rbv" localSheetId="13" hidden="1">1</definedName>
    <definedName name="solver_rbv" localSheetId="15" hidden="1">1</definedName>
    <definedName name="solver_rbv" localSheetId="14" hidden="1">1</definedName>
    <definedName name="solver_rel0" localSheetId="18" hidden="1">1</definedName>
    <definedName name="solver_rel1" localSheetId="16" hidden="1">2</definedName>
    <definedName name="solver_rel1" localSheetId="17" hidden="1">2</definedName>
    <definedName name="solver_rel1" localSheetId="18" hidden="1">1</definedName>
    <definedName name="solver_rel1" localSheetId="12" hidden="1">1</definedName>
    <definedName name="solver_rel1" localSheetId="13" hidden="1">1</definedName>
    <definedName name="solver_rel1" localSheetId="15" hidden="1">1</definedName>
    <definedName name="solver_rel1" localSheetId="14" hidden="1">1</definedName>
    <definedName name="solver_rel2" localSheetId="16" hidden="1">1</definedName>
    <definedName name="solver_rel2" localSheetId="18" hidden="1">1</definedName>
    <definedName name="solver_rel2" localSheetId="12" hidden="1">3</definedName>
    <definedName name="solver_rel2" localSheetId="13" hidden="1">1</definedName>
    <definedName name="solver_rel2" localSheetId="15" hidden="1">3</definedName>
    <definedName name="solver_rel3" localSheetId="12" hidden="1">3</definedName>
    <definedName name="solver_rel3" localSheetId="15" hidden="1">3</definedName>
    <definedName name="solver_rel4" localSheetId="12" hidden="1">3</definedName>
    <definedName name="solver_rel4" localSheetId="15" hidden="1">1</definedName>
    <definedName name="solver_rel5" localSheetId="12" hidden="1">3</definedName>
    <definedName name="solver_rhs0" localSheetId="18" hidden="1">'example 4 LP'!$F$15:$F$16</definedName>
    <definedName name="solver_rhs1" localSheetId="16" hidden="1">'example 2 LP'!$S$13:$S$17</definedName>
    <definedName name="solver_rhs1" localSheetId="17" hidden="1">'example 3 LP'!$N$10:$N$14</definedName>
    <definedName name="solver_rhs1" localSheetId="18" hidden="1">'example 4 LP'!$F$15:$F$16</definedName>
    <definedName name="solver_rhs1" localSheetId="12" hidden="1">'example linear programming'!$F$13</definedName>
    <definedName name="solver_rhs1" localSheetId="13" hidden="1">'example LP'!$F$10</definedName>
    <definedName name="solver_rhs1" localSheetId="15" hidden="1">'more variants LP'!$I$12</definedName>
    <definedName name="solver_rhs1" localSheetId="14" hidden="1">'variants LP'!$F$15:$F$18</definedName>
    <definedName name="solver_rhs2" localSheetId="16" hidden="1">'example 2 LP'!$S$18:$S$20</definedName>
    <definedName name="solver_rhs2" localSheetId="18" hidden="1">'example 4 LP'!$F$15:$F$16</definedName>
    <definedName name="solver_rhs2" localSheetId="12" hidden="1">'example linear programming'!$F$14</definedName>
    <definedName name="solver_rhs2" localSheetId="13" hidden="1">'example LP'!$F$9</definedName>
    <definedName name="solver_rhs2" localSheetId="15" hidden="1">'more variants LP'!$I$13</definedName>
    <definedName name="solver_rhs3" localSheetId="12" hidden="1">'example linear programming'!$F$15</definedName>
    <definedName name="solver_rhs3" localSheetId="15" hidden="1">'more variants LP'!$I$14</definedName>
    <definedName name="solver_rhs4" localSheetId="12" hidden="1">'example linear programming'!$F$16</definedName>
    <definedName name="solver_rhs4" localSheetId="15" hidden="1">'more variants LP'!$I$15</definedName>
    <definedName name="solver_rhs5" localSheetId="12" hidden="1">'example linear programming'!$F$16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2" hidden="1">2</definedName>
    <definedName name="solver_rlx" localSheetId="13" hidden="1">2</definedName>
    <definedName name="solver_rlx" localSheetId="15" hidden="1">2</definedName>
    <definedName name="solver_rlx" localSheetId="14" hidden="1">2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2" hidden="1">0</definedName>
    <definedName name="solver_rsd" localSheetId="13" hidden="1">0</definedName>
    <definedName name="solver_rsd" localSheetId="15" hidden="1">0</definedName>
    <definedName name="solver_rsd" localSheetId="14" hidden="1">0</definedName>
    <definedName name="solver_scl" localSheetId="16" hidden="1">1</definedName>
    <definedName name="solver_scl" localSheetId="17" hidden="1">2</definedName>
    <definedName name="solver_scl" localSheetId="18" hidden="1">1</definedName>
    <definedName name="solver_scl" localSheetId="12" hidden="1">1</definedName>
    <definedName name="solver_scl" localSheetId="13" hidden="1">1</definedName>
    <definedName name="solver_scl" localSheetId="15" hidden="1">1</definedName>
    <definedName name="solver_scl" localSheetId="14" hidden="1">1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2" hidden="1">2</definedName>
    <definedName name="solver_sho" localSheetId="13" hidden="1">2</definedName>
    <definedName name="solver_sho" localSheetId="15" hidden="1">2</definedName>
    <definedName name="solver_sho" localSheetId="14" hidden="1">2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2" hidden="1">100</definedName>
    <definedName name="solver_ssz" localSheetId="13" hidden="1">100</definedName>
    <definedName name="solver_ssz" localSheetId="15" hidden="1">100</definedName>
    <definedName name="solver_ssz" localSheetId="14" hidden="1">100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2" hidden="1">2147483647</definedName>
    <definedName name="solver_tim" localSheetId="13" hidden="1">2147483647</definedName>
    <definedName name="solver_tim" localSheetId="15" hidden="1">2147483647</definedName>
    <definedName name="solver_tim" localSheetId="14" hidden="1">2147483647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2" hidden="1">0.01</definedName>
    <definedName name="solver_tol" localSheetId="13" hidden="1">0.01</definedName>
    <definedName name="solver_tol" localSheetId="15" hidden="1">0.01</definedName>
    <definedName name="solver_tol" localSheetId="14" hidden="1">0.01</definedName>
    <definedName name="solver_typ" localSheetId="16" hidden="1">2</definedName>
    <definedName name="solver_typ" localSheetId="17" hidden="1">2</definedName>
    <definedName name="solver_typ" localSheetId="18" hidden="1">1</definedName>
    <definedName name="solver_typ" localSheetId="12" hidden="1">1</definedName>
    <definedName name="solver_typ" localSheetId="13" hidden="1">1</definedName>
    <definedName name="solver_typ" localSheetId="15" hidden="1">1</definedName>
    <definedName name="solver_typ" localSheetId="14" hidden="1">1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2" hidden="1">0</definedName>
    <definedName name="solver_val" localSheetId="13" hidden="1">0</definedName>
    <definedName name="solver_val" localSheetId="15" hidden="1">0</definedName>
    <definedName name="solver_val" localSheetId="14" hidden="1">0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2" hidden="1">3</definedName>
    <definedName name="solver_ver" localSheetId="13" hidden="1">3</definedName>
    <definedName name="solver_ver" localSheetId="15" hidden="1">3</definedName>
    <definedName name="solver_ver" localSheetId="1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10" l="1"/>
  <c r="D15" i="25"/>
  <c r="D16" i="25"/>
  <c r="B5" i="22"/>
  <c r="B12" i="25"/>
  <c r="B7" i="24"/>
  <c r="L10" i="24"/>
  <c r="L12" i="24"/>
  <c r="L13" i="24"/>
  <c r="L14" i="24"/>
  <c r="L11" i="24"/>
  <c r="C7" i="24"/>
  <c r="Q18" i="23" l="1"/>
  <c r="Q19" i="23"/>
  <c r="Q20" i="23"/>
  <c r="Q13" i="23"/>
  <c r="Q14" i="23"/>
  <c r="Q15" i="23"/>
  <c r="Q16" i="23"/>
  <c r="Q17" i="23"/>
  <c r="B8" i="23"/>
  <c r="G15" i="22" l="1"/>
  <c r="G14" i="22"/>
  <c r="G13" i="22"/>
  <c r="G12" i="22"/>
  <c r="I15" i="22"/>
  <c r="I14" i="22"/>
  <c r="I13" i="22"/>
  <c r="D11" i="21" l="1"/>
  <c r="D17" i="21"/>
  <c r="D18" i="21"/>
  <c r="D9" i="21"/>
  <c r="D8" i="21"/>
  <c r="C9" i="21"/>
  <c r="C8" i="21"/>
  <c r="B9" i="21"/>
  <c r="B8" i="21"/>
  <c r="D7" i="21"/>
  <c r="D10" i="21" s="1"/>
  <c r="D5" i="21"/>
  <c r="D16" i="21"/>
  <c r="D15" i="21"/>
  <c r="G15" i="21"/>
  <c r="G16" i="21"/>
  <c r="D10" i="20" l="1"/>
  <c r="D9" i="20"/>
  <c r="D13" i="15"/>
  <c r="B6" i="20"/>
  <c r="D16" i="15"/>
  <c r="D14" i="15"/>
  <c r="D15" i="15"/>
  <c r="F13" i="15"/>
  <c r="B7" i="15"/>
  <c r="G14" i="15"/>
  <c r="G13" i="15"/>
  <c r="G9" i="20"/>
  <c r="G15" i="15"/>
  <c r="F23" i="15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H20" i="2"/>
  <c r="D37" i="7"/>
  <c r="C35" i="7"/>
  <c r="C37" i="7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4" i="6"/>
  <c r="H5" i="6"/>
  <c r="H6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19" i="2"/>
  <c r="G22" i="2"/>
  <c r="G25" i="2"/>
  <c r="G18" i="2"/>
  <c r="G29" i="2"/>
  <c r="G28" i="2"/>
  <c r="G17" i="2"/>
  <c r="G30" i="2"/>
  <c r="G24" i="2"/>
  <c r="G27" i="2"/>
  <c r="G31" i="2"/>
  <c r="G15" i="2"/>
  <c r="G16" i="2"/>
  <c r="G21" i="2"/>
  <c r="G26" i="2"/>
  <c r="G20" i="2"/>
  <c r="G32" i="2"/>
  <c r="G14" i="2"/>
  <c r="G23" i="2"/>
  <c r="C20" i="2"/>
  <c r="C22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<sst xmlns="http://schemas.openxmlformats.org/spreadsheetml/2006/main" count="484" uniqueCount="320">
  <si>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</si>
  <si>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</si>
  <si>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</si>
  <si>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</si>
  <si>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</si>
  <si>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</si>
  <si>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</si>
  <si>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</si>
  <si>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</si>
  <si>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</si>
  <si>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</si>
  <si>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</si>
  <si>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</si>
  <si>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</si>
  <si>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</si>
  <si>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</si>
  <si>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</si>
  <si>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</si>
  <si>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</si>
  <si>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</si>
  <si>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</si>
  <si>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</si>
  <si>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</si>
  <si>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</si>
  <si>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</si>
  <si>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</si>
  <si>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</si>
  <si>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</si>
  <si>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</si>
  <si>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</si>
  <si>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</si>
  <si>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</si>
  <si>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</si>
  <si>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</si>
  <si>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</si>
  <si>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</si>
  <si>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</si>
  <si>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</si>
  <si>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</si>
  <si>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</si>
  <si>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</si>
  <si>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</si>
  <si>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</si>
  <si>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</si>
  <si>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</si>
  <si>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</si>
  <si>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</si>
  <si>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</si>
  <si>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</si>
  <si>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</si>
  <si>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</si>
  <si>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</si>
  <si>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</si>
  <si>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</si>
  <si>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</si>
  <si>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</si>
  <si>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</si>
  <si>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</si>
  <si>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</si>
  <si>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</si>
  <si>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</si>
  <si>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</si>
  <si>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</si>
  <si>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</si>
  <si>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</si>
  <si>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</si>
  <si>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</si>
  <si>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</si>
  <si>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</si>
  <si>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</si>
  <si>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</si>
  <si>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</si>
  <si>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</si>
  <si>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</si>
  <si>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</si>
  <si>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</si>
  <si>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</si>
  <si>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</si>
  <si>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</si>
  <si>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</si>
  <si>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</si>
  <si>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</si>
  <si>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</si>
  <si>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</si>
  <si>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</si>
  <si>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</si>
  <si>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</si>
  <si>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</si>
  <si>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</si>
  <si>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</si>
  <si>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</si>
  <si>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</si>
  <si>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</si>
  <si>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</si>
  <si>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</si>
  <si>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</si>
  <si>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</si>
  <si>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</si>
  <si>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</si>
  <si>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</si>
  <si>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</si>
  <si>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</si>
  <si>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</si>
  <si>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</si>
  <si>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</si>
  <si>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</si>
  <si>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</si>
  <si>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</si>
  <si>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</si>
  <si>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</si>
  <si>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</si>
  <si>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</si>
  <si>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</si>
  <si>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</si>
  <si>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</si>
  <si>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</si>
  <si>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</si>
  <si>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</si>
  <si>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</si>
  <si>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</si>
  <si>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</si>
  <si>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</si>
  <si>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</si>
  <si>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</si>
  <si>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</si>
  <si>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</si>
  <si>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</si>
  <si>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</si>
  <si>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</si>
  <si>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</si>
  <si>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</si>
  <si>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</si>
  <si>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</si>
  <si>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</si>
  <si>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</si>
  <si>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</si>
  <si>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</si>
  <si>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</si>
  <si>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</si>
  <si>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</si>
  <si>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</si>
  <si>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</si>
  <si>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</si>
  <si>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</si>
  <si>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</si>
  <si>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</si>
  <si>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</si>
  <si>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</si>
  <si>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</si>
  <si>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</si>
  <si>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</si>
  <si>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</si>
  <si>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</si>
  <si>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</si>
  <si>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</si>
  <si>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</si>
  <si>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</si>
  <si>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</si>
  <si>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</si>
  <si>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</si>
  <si>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</si>
  <si>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</si>
  <si>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</si>
  <si>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</si>
  <si>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</si>
  <si>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</si>
  <si>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</si>
  <si>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</si>
  <si>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</si>
  <si>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</si>
  <si>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</si>
  <si>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</si>
  <si>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</si>
  <si>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</si>
  <si>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</si>
  <si>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</si>
  <si>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</si>
  <si>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</si>
  <si>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</si>
  <si>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</si>
  <si>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</si>
  <si>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</si>
  <si>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t>* ROI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</si>
  <si>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</si>
  <si>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VAN or</t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</si>
  <si>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</si>
  <si>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</si>
  <si>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</si>
  <si>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</si>
  <si>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</si>
  <si>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</si>
  <si>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*¿Cuántos anuncios de cada tipo deben utilizarse?</t>
  </si>
  <si>
    <t>Variables</t>
  </si>
  <si>
    <t>No.of Radio Ads</t>
  </si>
  <si>
    <t>No.of TV Ads</t>
  </si>
  <si>
    <t>dummie numbers</t>
  </si>
  <si>
    <t>Modelado LP (Linear Programming)</t>
  </si>
  <si>
    <t>Objetive (max):</t>
  </si>
  <si>
    <t>Constain Table:</t>
  </si>
  <si>
    <t>LHS</t>
  </si>
  <si>
    <t>Sign</t>
  </si>
  <si>
    <t>RHS</t>
  </si>
  <si>
    <t>formula (LHS)</t>
  </si>
  <si>
    <t>No of people reached:</t>
  </si>
  <si>
    <t>&gt;=</t>
  </si>
  <si>
    <t>Budget(presupuesto):</t>
  </si>
  <si>
    <t>&lt;=</t>
  </si>
  <si>
    <t>At least 10 radio</t>
  </si>
  <si>
    <t>At least TV</t>
  </si>
  <si>
    <t>R&gt;=T</t>
  </si>
  <si>
    <t>*The number of adversatings of both has to be the same:</t>
  </si>
  <si>
    <t>*Sumary senteses:</t>
  </si>
  <si>
    <t>Purchase of 175 radio ads and 10 TV ads looking maximun of number of people reached.</t>
  </si>
  <si>
    <t>1. OBJETIVES?</t>
  </si>
  <si>
    <t>2. VARIABLE?</t>
  </si>
  <si>
    <t>3.LIMITATIONS OR CONDITIONS?</t>
  </si>
  <si>
    <t>* SOLVER (PL)  *es muy úitl =SUMAPRODUCTO</t>
  </si>
  <si>
    <t>*Al utilizar =SUMAPRODUCTO las matrices deben tener el mismo tamaño, si no da error.</t>
  </si>
  <si>
    <t>X</t>
  </si>
  <si>
    <t>Y</t>
  </si>
  <si>
    <t>Profit:</t>
  </si>
  <si>
    <t>Constraint</t>
  </si>
  <si>
    <t>2X+Y&lt;=120</t>
  </si>
  <si>
    <t>2X+3Y&lt;=240</t>
  </si>
  <si>
    <t>3. LIMITATIONS or CONDITIONS or CONSTRAINTS?</t>
  </si>
  <si>
    <t>600 basic</t>
  </si>
  <si>
    <t>1200 XP</t>
  </si>
  <si>
    <t>No. XP computers</t>
  </si>
  <si>
    <t>Total</t>
  </si>
  <si>
    <t>Revenue</t>
  </si>
  <si>
    <t>Costs:</t>
  </si>
  <si>
    <t>No. BASIC computers</t>
  </si>
  <si>
    <t xml:space="preserve">     Parts/computers:</t>
  </si>
  <si>
    <t>hours os emssasmbly</t>
  </si>
  <si>
    <t>hours tests</t>
  </si>
  <si>
    <t>price hour of emssasbly.</t>
  </si>
  <si>
    <t>price hour of testing</t>
  </si>
  <si>
    <t xml:space="preserve">     Cost unit/emssasmbly:</t>
  </si>
  <si>
    <t xml:space="preserve">     Cost unit/testing:</t>
  </si>
  <si>
    <t>local bono</t>
  </si>
  <si>
    <t>Tech valor</t>
  </si>
  <si>
    <t>Acc high risk</t>
  </si>
  <si>
    <t>Elect Thomp</t>
  </si>
  <si>
    <t>Palmer 
tech</t>
  </si>
  <si>
    <t>Aerospace 
Corp.</t>
  </si>
  <si>
    <t>HDN 
high risk</t>
  </si>
  <si>
    <t>Constraints</t>
  </si>
  <si>
    <t>Budget</t>
  </si>
  <si>
    <t>Objetive (min) 
bus distance:</t>
  </si>
  <si>
    <t>AB</t>
  </si>
  <si>
    <t>AC</t>
  </si>
  <si>
    <t>AE</t>
  </si>
  <si>
    <t>BC</t>
  </si>
  <si>
    <t>BE</t>
  </si>
  <si>
    <t>CE</t>
  </si>
  <si>
    <t>DE</t>
  </si>
  <si>
    <t>BB</t>
  </si>
  <si>
    <t>CC</t>
  </si>
  <si>
    <t>EE</t>
  </si>
  <si>
    <t>CB</t>
  </si>
  <si>
    <t>DC</t>
  </si>
  <si>
    <t>DB</t>
  </si>
  <si>
    <t>EB</t>
  </si>
  <si>
    <t>EC</t>
  </si>
  <si>
    <t>Variables:</t>
  </si>
  <si>
    <t>Sector A</t>
  </si>
  <si>
    <t>Sector B</t>
  </si>
  <si>
    <t>Sector C</t>
  </si>
  <si>
    <t>Sector D</t>
  </si>
  <si>
    <t>Sector E</t>
  </si>
  <si>
    <t>capacity/school B</t>
  </si>
  <si>
    <t>capacity/school C</t>
  </si>
  <si>
    <t>capacity/school E</t>
  </si>
  <si>
    <t>contrato 1 año</t>
  </si>
  <si>
    <t>despido 1 año</t>
  </si>
  <si>
    <t>contrato 2 año</t>
  </si>
  <si>
    <t>despido 2 año</t>
  </si>
  <si>
    <t>contrato 3 año</t>
  </si>
  <si>
    <t>despido 3 año</t>
  </si>
  <si>
    <t>contrato 4 año</t>
  </si>
  <si>
    <t>despido 4 año</t>
  </si>
  <si>
    <t>contrato 5 año</t>
  </si>
  <si>
    <t>despido 5 año</t>
  </si>
  <si>
    <t>Objetive 
(min total cost):</t>
  </si>
  <si>
    <t>Año 1</t>
  </si>
  <si>
    <t>Año 2</t>
  </si>
  <si>
    <t>Año 3</t>
  </si>
  <si>
    <t>Año 4</t>
  </si>
  <si>
    <t>Año 5</t>
  </si>
  <si>
    <t>SOCCER BALLS</t>
  </si>
  <si>
    <t>BASKETBALL</t>
  </si>
  <si>
    <t>Objetive (max)
DAILY PROFIT::</t>
  </si>
  <si>
    <t>factory
machine time</t>
  </si>
  <si>
    <t>factory
worker´s time</t>
  </si>
  <si>
    <t>variables</t>
  </si>
  <si>
    <t>Objetive (max)
VPN ok projects</t>
  </si>
  <si>
    <t>Contraints</t>
  </si>
  <si>
    <t>Capex (1+2+3years)</t>
  </si>
  <si>
    <t>Proyect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</si>
  <si>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</si>
  <si>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</si>
  <si>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</si>
  <si>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</si>
  <si>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</si>
  <si>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</si>
  <si>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</si>
  <si>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</si>
  <si>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</si>
  <si>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</si>
  <si>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</si>
  <si>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PART 2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</si>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</sst>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1F1F1F"/>
      <name val="Arial"/>
      <family val="2"/>
    </font>
    <font>
      <sz val="11"/>
      <color rgb="FF1F1F1F"/>
      <name val="Arial"/>
      <family val="2"/>
    </font>
    <font>
      <sz val="11"/>
      <color theme="1"/>
      <name val="Var(--cds-font-family-source-sa"/>
    </font>
  </fonts>
  <fills count="2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1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2" fontId="33" fillId="0" borderId="58" xfId="2" applyNumberFormat="1" applyFont="1" applyBorder="1" applyAlignment="1">
      <alignment horizontal="center" vertical="center"/>
    </xf>
    <xf numFmtId="2" fontId="33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41" fillId="0" borderId="0" xfId="0" applyFont="1"/>
    <xf numFmtId="0" fontId="42" fillId="0" borderId="1" xfId="0" applyFont="1" applyBorder="1"/>
    <xf numFmtId="0" fontId="41" fillId="0" borderId="1" xfId="0" applyFont="1" applyBorder="1"/>
    <xf numFmtId="0" fontId="41" fillId="0" borderId="11" xfId="0" applyFont="1" applyBorder="1"/>
    <xf numFmtId="0" fontId="44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45" fillId="0" borderId="1" xfId="0" applyFont="1" applyBorder="1"/>
    <xf numFmtId="170" fontId="45" fillId="0" borderId="1" xfId="0" applyNumberFormat="1" applyFont="1" applyBorder="1"/>
    <xf numFmtId="0" fontId="46" fillId="0" borderId="0" xfId="0" applyFont="1"/>
    <xf numFmtId="9" fontId="47" fillId="8" borderId="1" xfId="0" applyNumberFormat="1" applyFont="1" applyFill="1" applyBorder="1"/>
    <xf numFmtId="0" fontId="44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44" fillId="12" borderId="1" xfId="0" applyFont="1" applyFill="1" applyBorder="1"/>
    <xf numFmtId="0" fontId="0" fillId="12" borderId="1" xfId="0" applyFill="1" applyBorder="1"/>
    <xf numFmtId="9" fontId="0" fillId="12" borderId="1" xfId="2" applyFont="1" applyFill="1" applyBorder="1"/>
    <xf numFmtId="170" fontId="0" fillId="12" borderId="1" xfId="4" applyNumberFormat="1" applyFont="1" applyFill="1" applyBorder="1"/>
    <xf numFmtId="170" fontId="0" fillId="12" borderId="11" xfId="4" applyNumberFormat="1" applyFont="1" applyFill="1" applyBorder="1"/>
    <xf numFmtId="0" fontId="0" fillId="0" borderId="0" xfId="0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4" fillId="0" borderId="1" xfId="0" applyFont="1" applyBorder="1"/>
    <xf numFmtId="0" fontId="0" fillId="13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61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41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4" borderId="1" xfId="0" applyFill="1" applyBorder="1"/>
    <xf numFmtId="170" fontId="0" fillId="0" borderId="1" xfId="0" applyNumberFormat="1" applyBorder="1"/>
    <xf numFmtId="0" fontId="0" fillId="15" borderId="1" xfId="0" applyFill="1" applyBorder="1"/>
    <xf numFmtId="170" fontId="0" fillId="0" borderId="62" xfId="4" applyNumberFormat="1" applyFont="1" applyBorder="1"/>
    <xf numFmtId="170" fontId="0" fillId="0" borderId="0" xfId="4" applyNumberFormat="1" applyFont="1"/>
    <xf numFmtId="0" fontId="41" fillId="0" borderId="3" xfId="0" applyFont="1" applyFill="1" applyBorder="1" applyAlignment="1">
      <alignment horizontal="center"/>
    </xf>
    <xf numFmtId="170" fontId="0" fillId="0" borderId="63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8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2" fillId="0" borderId="0" xfId="0" applyNumberFormat="1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4" xfId="0" applyFont="1" applyBorder="1"/>
    <xf numFmtId="1" fontId="5" fillId="5" borderId="15" xfId="0" applyNumberFormat="1" applyFont="1" applyFill="1" applyBorder="1"/>
    <xf numFmtId="0" fontId="5" fillId="0" borderId="0" xfId="0" applyFont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5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5" fillId="17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5" fillId="2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13" xfId="0" applyFont="1" applyBorder="1"/>
    <xf numFmtId="0" fontId="5" fillId="0" borderId="13" xfId="0" applyFont="1" applyBorder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0" fillId="5" borderId="0" xfId="0" applyNumberFormat="1" applyFill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5" borderId="14" xfId="0" applyFont="1" applyFill="1" applyBorder="1" applyAlignment="1">
      <alignment horizontal="left" vertical="top"/>
    </xf>
    <xf numFmtId="0" fontId="5" fillId="5" borderId="4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0" fillId="5" borderId="0" xfId="0" applyFill="1"/>
    <xf numFmtId="0" fontId="0" fillId="0" borderId="0" xfId="0" applyFill="1" applyBorder="1" applyAlignment="1">
      <alignment horizontal="left" vertical="top"/>
    </xf>
    <xf numFmtId="0" fontId="0" fillId="0" borderId="1" xfId="0" applyFont="1" applyBorder="1" applyAlignment="1">
      <alignment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/>
    <xf numFmtId="0" fontId="0" fillId="16" borderId="4" xfId="0" applyFill="1" applyBorder="1" applyAlignment="1">
      <alignment horizontal="left" vertical="top" wrapText="1"/>
    </xf>
    <xf numFmtId="0" fontId="0" fillId="16" borderId="0" xfId="0" applyFill="1"/>
    <xf numFmtId="0" fontId="0" fillId="0" borderId="47" xfId="0" applyBorder="1" applyAlignment="1">
      <alignment horizontal="left" vertical="top"/>
    </xf>
    <xf numFmtId="170" fontId="0" fillId="0" borderId="0" xfId="4" applyNumberFormat="1" applyFont="1" applyFill="1" applyBorder="1"/>
    <xf numFmtId="0" fontId="41" fillId="0" borderId="13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170" fontId="0" fillId="0" borderId="0" xfId="4" applyNumberFormat="1" applyFont="1" applyBorder="1"/>
    <xf numFmtId="0" fontId="5" fillId="21" borderId="4" xfId="0" applyFont="1" applyFill="1" applyBorder="1"/>
    <xf numFmtId="0" fontId="41" fillId="0" borderId="0" xfId="0" applyFont="1" applyFill="1" applyBorder="1" applyAlignment="1">
      <alignment horizontal="center"/>
    </xf>
    <xf numFmtId="0" fontId="0" fillId="0" borderId="0" xfId="0" applyFill="1"/>
    <xf numFmtId="170" fontId="0" fillId="22" borderId="0" xfId="4" applyNumberFormat="1" applyFont="1" applyFill="1" applyBorder="1"/>
    <xf numFmtId="0" fontId="53" fillId="0" borderId="0" xfId="0" applyFont="1" applyAlignment="1">
      <alignment vertical="center"/>
    </xf>
    <xf numFmtId="0" fontId="53" fillId="0" borderId="1" xfId="0" applyFont="1" applyBorder="1" applyAlignment="1">
      <alignment vertical="center"/>
    </xf>
    <xf numFmtId="1" fontId="53" fillId="22" borderId="1" xfId="0" applyNumberFormat="1" applyFont="1" applyFill="1" applyBorder="1" applyAlignment="1">
      <alignment horizontal="center" vertical="center"/>
    </xf>
    <xf numFmtId="1" fontId="0" fillId="22" borderId="1" xfId="4" applyNumberFormat="1" applyFont="1" applyFill="1" applyBorder="1" applyAlignment="1">
      <alignment horizontal="center"/>
    </xf>
    <xf numFmtId="0" fontId="53" fillId="0" borderId="1" xfId="0" applyFont="1" applyBorder="1" applyAlignment="1">
      <alignment horizontal="center" vertical="center"/>
    </xf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%</a:t>
            </a:r>
          </a:p>
        </c:rich>
      </c:tx>
      <c:layout>
        <c:manualLayout>
          <c:xMode val="edge"/>
          <c:yMode val="edge"/>
          <c:x val="2.511111111111108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A-4407-ACBA-8DE3BA61A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A-4407-ACBA-8DE3BA61A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3A-4407-ACBA-8DE3BA61A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A-4407-ACBA-8DE3BA61A3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A-4407-ACBA-8DE3BA61A3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'more variants LP'!$B$1:$F$1</c:f>
              <c:strCache>
                <c:ptCount val="5"/>
                <c:pt idx="0">
                  <c:v>local bono</c:v>
                </c:pt>
                <c:pt idx="1">
                  <c:v>Elect Thomp</c:v>
                </c:pt>
                <c:pt idx="2">
                  <c:v>Aerospace 
Corp.</c:v>
                </c:pt>
                <c:pt idx="3">
                  <c:v>Palmer 
tech</c:v>
                </c:pt>
                <c:pt idx="4">
                  <c:v>HDN 
high risk</c:v>
                </c:pt>
              </c:strCache>
            </c:strRef>
          </c:cat>
          <c:val>
            <c:numRef>
              <c:f>'more variants LP'!$B$2:$F$2</c:f>
              <c:numCache>
                <c:formatCode>General</c:formatCode>
                <c:ptCount val="5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45A0-B008-D0B5380C41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Nº</a:t>
            </a:r>
            <a:r>
              <a:rPr lang="en-US" b="1" baseline="0"/>
              <a:t> students/ school</a:t>
            </a:r>
            <a:endParaRPr lang="en-US" b="1"/>
          </a:p>
        </c:rich>
      </c:tx>
      <c:layout>
        <c:manualLayout>
          <c:xMode val="edge"/>
          <c:yMode val="edge"/>
          <c:x val="4.653455818022745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'example 2 LP'!$B$1:$P$1</c:f>
              <c:strCache>
                <c:ptCount val="15"/>
                <c:pt idx="0">
                  <c:v>AB</c:v>
                </c:pt>
                <c:pt idx="1">
                  <c:v>AC</c:v>
                </c:pt>
                <c:pt idx="2">
                  <c:v>AE</c:v>
                </c:pt>
                <c:pt idx="3">
                  <c:v>BB</c:v>
                </c:pt>
                <c:pt idx="4">
                  <c:v>BC</c:v>
                </c:pt>
                <c:pt idx="5">
                  <c:v>BE</c:v>
                </c:pt>
                <c:pt idx="6">
                  <c:v>CC</c:v>
                </c:pt>
                <c:pt idx="7">
                  <c:v>CB</c:v>
                </c:pt>
                <c:pt idx="8">
                  <c:v>CE</c:v>
                </c:pt>
                <c:pt idx="9">
                  <c:v>DC</c:v>
                </c:pt>
                <c:pt idx="10">
                  <c:v>DB</c:v>
                </c:pt>
                <c:pt idx="11">
                  <c:v>DE</c:v>
                </c:pt>
                <c:pt idx="12">
                  <c:v>EE</c:v>
                </c:pt>
                <c:pt idx="13">
                  <c:v>EB</c:v>
                </c:pt>
                <c:pt idx="14">
                  <c:v>EC</c:v>
                </c:pt>
              </c:strCache>
            </c:strRef>
          </c:cat>
          <c:val>
            <c:numRef>
              <c:f>'example 2 LP'!$B$2:$P$2</c:f>
              <c:numCache>
                <c:formatCode>General</c:formatCode>
                <c:ptCount val="15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800</c:v>
                </c:pt>
                <c:pt idx="10">
                  <c:v>0</c:v>
                </c:pt>
                <c:pt idx="11">
                  <c:v>0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B9A-A25E-4A2780E1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'table final proyect'!$L$2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'table final proyect'!$M$2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'table final proyect'!$U$2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407023</xdr:colOff>
      <xdr:row>20</xdr:row>
      <xdr:rowOff>162623</xdr:rowOff>
    </xdr:from>
    <xdr:to>
      <xdr:col>7</xdr:col>
      <xdr:colOff>685803</xdr:colOff>
      <xdr:row>38</xdr:row>
      <xdr:rowOff>70849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023" y="4286251"/>
          <a:ext cx="6133170" cy="3253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34183</xdr:rowOff>
    </xdr:from>
    <xdr:to>
      <xdr:col>0</xdr:col>
      <xdr:colOff>1057275</xdr:colOff>
      <xdr:row>6</xdr:row>
      <xdr:rowOff>143060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183"/>
          <a:ext cx="1057275" cy="1080427"/>
        </a:xfrm>
        <a:prstGeom prst="rect">
          <a:avLst/>
        </a:prstGeom>
      </xdr:spPr>
    </xdr:pic>
    <xdr:clientData/>
  </xdr:twoCellAnchor>
  <xdr:twoCellAnchor>
    <xdr:from>
      <xdr:col>8</xdr:col>
      <xdr:colOff>246256</xdr:colOff>
      <xdr:row>21</xdr:row>
      <xdr:rowOff>4878</xdr:rowOff>
    </xdr:from>
    <xdr:to>
      <xdr:col>14</xdr:col>
      <xdr:colOff>218378</xdr:colOff>
      <xdr:row>35</xdr:row>
      <xdr:rowOff>146127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14</xdr:row>
      <xdr:rowOff>171450</xdr:rowOff>
    </xdr:from>
    <xdr:to>
      <xdr:col>12</xdr:col>
      <xdr:colOff>295638</xdr:colOff>
      <xdr:row>25</xdr:row>
      <xdr:rowOff>95604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3409950"/>
          <a:ext cx="9430112" cy="201965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57151</xdr:rowOff>
    </xdr:from>
    <xdr:to>
      <xdr:col>12</xdr:col>
      <xdr:colOff>733425</xdr:colOff>
      <xdr:row>6</xdr:row>
      <xdr:rowOff>173275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57151"/>
          <a:ext cx="10334625" cy="1259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86322</xdr:colOff>
      <xdr:row>31</xdr:row>
      <xdr:rowOff>20481</xdr:rowOff>
    </xdr:from>
    <xdr:to>
      <xdr:col>17</xdr:col>
      <xdr:colOff>476251</xdr:colOff>
      <xdr:row>42</xdr:row>
      <xdr:rowOff>190499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6947" y="6243481"/>
          <a:ext cx="7327304" cy="2360768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285749</xdr:colOff>
      <xdr:row>58</xdr:row>
      <xdr:rowOff>56087</xdr:rowOff>
    </xdr:from>
    <xdr:to>
      <xdr:col>31</xdr:col>
      <xdr:colOff>79375</xdr:colOff>
      <xdr:row>94</xdr:row>
      <xdr:rowOff>13205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9749" y="11819462"/>
          <a:ext cx="9080501" cy="687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38100</xdr:rowOff>
    </xdr:from>
    <xdr:to>
      <xdr:col>19</xdr:col>
      <xdr:colOff>410694</xdr:colOff>
      <xdr:row>13</xdr:row>
      <xdr:rowOff>105163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"/>
          <a:ext cx="8021169" cy="27816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246966</xdr:colOff>
      <xdr:row>0</xdr:row>
      <xdr:rowOff>196167</xdr:rowOff>
    </xdr:from>
    <xdr:to>
      <xdr:col>19</xdr:col>
      <xdr:colOff>418204</xdr:colOff>
      <xdr:row>21</xdr:row>
      <xdr:rowOff>20179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27" y="196167"/>
          <a:ext cx="7943086" cy="4144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153778</xdr:rowOff>
    </xdr:from>
    <xdr:to>
      <xdr:col>3</xdr:col>
      <xdr:colOff>900043</xdr:colOff>
      <xdr:row>30</xdr:row>
      <xdr:rowOff>191326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workbookViewId="0">
      <selection activeCell="G9" sqref="G9"/>
    </sheetView>
  </sheetViews>
  <sheetFormatPr baseColWidth="10" defaultRowHeight="15"/>
  <sheetData>
    <row r="3" spans="1:1">
      <c r="A3" t="s">
        <v>184</v>
      </c>
    </row>
    <row r="5" spans="1:1">
      <c r="A5" t="s">
        <v>128</v>
      </c>
    </row>
    <row r="7" spans="1:1" ht="17.25">
      <c r="A7" s="89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4" zoomScale="77" zoomScaleNormal="77" workbookViewId="0">
      <selection activeCell="I16" sqref="I16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198" t="s">
        <v>126</v>
      </c>
      <c r="B1" s="202" t="s">
        <v>127</v>
      </c>
      <c r="C1" s="199" t="s">
        <v>128</v>
      </c>
      <c r="D1" s="201"/>
      <c r="E1" s="201"/>
      <c r="G1" s="361" t="s">
        <v>100</v>
      </c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  <c r="X1" s="194"/>
    </row>
    <row r="2" spans="1:24" s="161" customFormat="1" ht="46.5" customHeight="1" thickBot="1">
      <c r="A2" s="197">
        <v>0</v>
      </c>
      <c r="B2" s="203">
        <f>W3 * A2</f>
        <v>0</v>
      </c>
      <c r="C2" s="207">
        <f xml:space="preserve"> A2 / (1 - B2) - A2</f>
        <v>0</v>
      </c>
      <c r="D2" s="42"/>
      <c r="E2" s="42"/>
      <c r="G2" s="158" t="s">
        <v>101</v>
      </c>
      <c r="H2" s="165" t="s">
        <v>120</v>
      </c>
      <c r="I2" s="164" t="s">
        <v>102</v>
      </c>
      <c r="J2" s="164" t="s">
        <v>102</v>
      </c>
      <c r="K2" s="159" t="s">
        <v>103</v>
      </c>
      <c r="L2" s="159" t="s">
        <v>104</v>
      </c>
      <c r="M2" s="159" t="s">
        <v>105</v>
      </c>
      <c r="N2" s="162" t="s">
        <v>122</v>
      </c>
      <c r="O2" s="193" t="s">
        <v>125</v>
      </c>
      <c r="P2" s="160" t="s">
        <v>106</v>
      </c>
      <c r="Q2" s="160" t="s">
        <v>116</v>
      </c>
      <c r="R2" s="160" t="s">
        <v>107</v>
      </c>
      <c r="S2" s="160" t="s">
        <v>117</v>
      </c>
      <c r="T2" s="160" t="s">
        <v>108</v>
      </c>
      <c r="U2" s="160" t="s">
        <v>118</v>
      </c>
      <c r="V2" s="193" t="s">
        <v>114</v>
      </c>
      <c r="W2" s="192" t="s">
        <v>113</v>
      </c>
      <c r="X2" s="166"/>
    </row>
    <row r="3" spans="1:24" ht="15.75" thickTop="1">
      <c r="A3" s="195">
        <v>0.05</v>
      </c>
      <c r="B3" s="203">
        <f t="shared" ref="B3:B8" si="0">W4 * A3</f>
        <v>9</v>
      </c>
      <c r="C3" s="205">
        <f t="shared" ref="C3:C8" si="1" xml:space="preserve"> A3 / (1 - B3) - A3</f>
        <v>-5.6250000000000001E-2</v>
      </c>
      <c r="D3" s="42"/>
      <c r="E3" s="42"/>
      <c r="G3" s="147">
        <v>1</v>
      </c>
      <c r="H3" s="151">
        <v>1</v>
      </c>
      <c r="I3" s="148" t="s">
        <v>106</v>
      </c>
      <c r="J3" s="149">
        <v>1</v>
      </c>
      <c r="K3" s="148">
        <v>250</v>
      </c>
      <c r="L3" s="173">
        <v>100</v>
      </c>
      <c r="M3" s="173">
        <v>100</v>
      </c>
      <c r="N3" s="172">
        <f>IF(H3=1,SUM(K3:M3),0)</f>
        <v>450</v>
      </c>
      <c r="O3" s="191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178">
        <f>W3 * 0.88</f>
        <v>52.8</v>
      </c>
      <c r="W3" s="150">
        <v>60</v>
      </c>
      <c r="X3" s="157"/>
    </row>
    <row r="4" spans="1:24">
      <c r="A4" s="195">
        <v>0.1</v>
      </c>
      <c r="B4" s="203">
        <f t="shared" si="0"/>
        <v>8</v>
      </c>
      <c r="C4" s="205">
        <f t="shared" si="1"/>
        <v>-0.1142857142857143</v>
      </c>
      <c r="D4" s="42"/>
      <c r="E4" s="42"/>
      <c r="G4" s="141">
        <v>2</v>
      </c>
      <c r="H4" s="152">
        <v>1</v>
      </c>
      <c r="I4" s="169" t="s">
        <v>106</v>
      </c>
      <c r="J4" s="140">
        <v>0.33</v>
      </c>
      <c r="K4" s="169">
        <v>500</v>
      </c>
      <c r="L4" s="169">
        <v>300</v>
      </c>
      <c r="M4" s="169">
        <v>300</v>
      </c>
      <c r="N4" s="172">
        <f t="shared" ref="N4:N14" si="2">IF(H4=1,SUM(K4:M4),0)</f>
        <v>1100</v>
      </c>
      <c r="O4" s="191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178">
        <f t="shared" ref="V4:V14" si="10">W4 * 0.88</f>
        <v>158.4</v>
      </c>
      <c r="W4" s="142">
        <v>180</v>
      </c>
      <c r="X4" s="157"/>
    </row>
    <row r="5" spans="1:24">
      <c r="A5" s="195">
        <v>0.15</v>
      </c>
      <c r="B5" s="203">
        <f t="shared" si="0"/>
        <v>46.5</v>
      </c>
      <c r="C5" s="205">
        <f t="shared" si="1"/>
        <v>-0.15329670329670328</v>
      </c>
      <c r="D5" s="42"/>
      <c r="E5" s="42"/>
      <c r="G5" s="141">
        <v>3</v>
      </c>
      <c r="H5" s="152">
        <v>0</v>
      </c>
      <c r="I5" s="169" t="s">
        <v>106</v>
      </c>
      <c r="J5" s="140">
        <v>0.5</v>
      </c>
      <c r="K5" s="169">
        <v>100</v>
      </c>
      <c r="L5" s="169">
        <v>200</v>
      </c>
      <c r="M5" s="169">
        <v>400</v>
      </c>
      <c r="N5" s="172">
        <f t="shared" si="2"/>
        <v>0</v>
      </c>
      <c r="O5" s="191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178">
        <f t="shared" si="10"/>
        <v>70.400000000000006</v>
      </c>
      <c r="W5" s="142">
        <v>80</v>
      </c>
      <c r="X5" s="157"/>
    </row>
    <row r="6" spans="1:24">
      <c r="A6" s="195">
        <v>0.2</v>
      </c>
      <c r="B6" s="203">
        <f t="shared" si="0"/>
        <v>44</v>
      </c>
      <c r="C6" s="205">
        <f t="shared" si="1"/>
        <v>-0.20465116279069767</v>
      </c>
      <c r="D6" s="42"/>
      <c r="E6" s="42"/>
      <c r="G6" s="141">
        <v>4</v>
      </c>
      <c r="H6" s="152">
        <v>1</v>
      </c>
      <c r="I6" s="169" t="s">
        <v>106</v>
      </c>
      <c r="J6" s="140">
        <v>1</v>
      </c>
      <c r="K6" s="169">
        <v>750</v>
      </c>
      <c r="L6" s="169">
        <v>500</v>
      </c>
      <c r="M6" s="169">
        <v>300</v>
      </c>
      <c r="N6" s="172">
        <f t="shared" si="2"/>
        <v>1550</v>
      </c>
      <c r="O6" s="191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178">
        <f t="shared" si="10"/>
        <v>272.8</v>
      </c>
      <c r="W6" s="142">
        <v>310</v>
      </c>
      <c r="X6" s="157"/>
    </row>
    <row r="7" spans="1:24">
      <c r="A7" s="195">
        <v>0.25</v>
      </c>
      <c r="B7" s="203">
        <f t="shared" si="0"/>
        <v>45</v>
      </c>
      <c r="C7" s="205">
        <f t="shared" si="1"/>
        <v>-0.25568181818181818</v>
      </c>
      <c r="D7" s="42"/>
      <c r="E7" s="42"/>
      <c r="G7" s="141">
        <v>5</v>
      </c>
      <c r="H7" s="152">
        <v>1</v>
      </c>
      <c r="I7" s="169" t="s">
        <v>106</v>
      </c>
      <c r="J7" s="140">
        <v>0.75</v>
      </c>
      <c r="K7" s="169">
        <v>200</v>
      </c>
      <c r="L7" s="169">
        <v>400</v>
      </c>
      <c r="M7" s="169">
        <v>800</v>
      </c>
      <c r="N7" s="172">
        <f t="shared" si="2"/>
        <v>1400</v>
      </c>
      <c r="O7" s="191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178">
        <f t="shared" si="10"/>
        <v>193.6</v>
      </c>
      <c r="W7" s="142">
        <v>220</v>
      </c>
      <c r="X7" s="157"/>
    </row>
    <row r="8" spans="1:24" ht="15.75" thickBot="1">
      <c r="A8" s="196">
        <v>0.3</v>
      </c>
      <c r="B8" s="204">
        <f t="shared" si="0"/>
        <v>123</v>
      </c>
      <c r="C8" s="206">
        <f t="shared" si="1"/>
        <v>-0.30245901639344264</v>
      </c>
      <c r="D8" s="42"/>
      <c r="E8" s="42"/>
      <c r="G8" s="141">
        <v>6</v>
      </c>
      <c r="H8" s="152">
        <v>0</v>
      </c>
      <c r="I8" s="169" t="s">
        <v>107</v>
      </c>
      <c r="J8" s="140">
        <v>0.5</v>
      </c>
      <c r="K8" s="169">
        <v>1000</v>
      </c>
      <c r="L8" s="169">
        <v>300</v>
      </c>
      <c r="M8" s="169">
        <v>300</v>
      </c>
      <c r="N8" s="172">
        <f t="shared" si="2"/>
        <v>0</v>
      </c>
      <c r="O8" s="191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178">
        <f t="shared" si="10"/>
        <v>158.4</v>
      </c>
      <c r="W8" s="142">
        <v>180</v>
      </c>
      <c r="X8" s="157"/>
    </row>
    <row r="9" spans="1:24">
      <c r="G9" s="141">
        <v>7</v>
      </c>
      <c r="H9" s="152">
        <v>1</v>
      </c>
      <c r="I9" s="169" t="s">
        <v>107</v>
      </c>
      <c r="J9" s="140">
        <v>1</v>
      </c>
      <c r="K9" s="169">
        <v>750</v>
      </c>
      <c r="L9" s="169">
        <v>750</v>
      </c>
      <c r="M9" s="169">
        <v>300</v>
      </c>
      <c r="N9" s="172">
        <f t="shared" si="2"/>
        <v>1800</v>
      </c>
      <c r="O9" s="191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178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107</v>
      </c>
      <c r="J10" s="140">
        <v>1</v>
      </c>
      <c r="K10" s="169">
        <v>800</v>
      </c>
      <c r="L10" s="169">
        <v>700</v>
      </c>
      <c r="M10" s="169">
        <v>600</v>
      </c>
      <c r="N10" s="172">
        <f t="shared" si="2"/>
        <v>0</v>
      </c>
      <c r="O10" s="191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178">
        <f t="shared" si="10"/>
        <v>246.4</v>
      </c>
      <c r="W10" s="142">
        <v>280</v>
      </c>
      <c r="X10" s="157"/>
    </row>
    <row r="11" spans="1:24">
      <c r="A11" s="65" t="s">
        <v>129</v>
      </c>
      <c r="C11" s="209">
        <f xml:space="preserve"> AVERAGE(C2:C8)</f>
        <v>-0.15523205927833941</v>
      </c>
      <c r="G11" s="141">
        <v>9</v>
      </c>
      <c r="H11" s="152">
        <v>1</v>
      </c>
      <c r="I11" s="169" t="s">
        <v>107</v>
      </c>
      <c r="J11" s="140">
        <v>0.67</v>
      </c>
      <c r="K11" s="169">
        <v>400</v>
      </c>
      <c r="L11" s="169">
        <v>600</v>
      </c>
      <c r="M11" s="169">
        <v>800</v>
      </c>
      <c r="N11" s="172">
        <f t="shared" si="2"/>
        <v>1800</v>
      </c>
      <c r="O11" s="191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178">
        <f t="shared" si="10"/>
        <v>334.4</v>
      </c>
      <c r="W11" s="142">
        <v>380</v>
      </c>
      <c r="X11" s="157"/>
    </row>
    <row r="12" spans="1:24">
      <c r="A12" s="65" t="s">
        <v>130</v>
      </c>
      <c r="B12" s="208">
        <f xml:space="preserve"> MAX(C2:C8)</f>
        <v>0</v>
      </c>
      <c r="G12" s="141">
        <v>10</v>
      </c>
      <c r="H12" s="152">
        <v>0</v>
      </c>
      <c r="I12" s="169" t="s">
        <v>108</v>
      </c>
      <c r="J12" s="140">
        <v>1</v>
      </c>
      <c r="K12" s="169">
        <v>100</v>
      </c>
      <c r="L12" s="169">
        <v>200</v>
      </c>
      <c r="M12" s="169">
        <v>400</v>
      </c>
      <c r="N12" s="172">
        <f t="shared" si="2"/>
        <v>0</v>
      </c>
      <c r="O12" s="191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178">
        <f t="shared" si="10"/>
        <v>88</v>
      </c>
      <c r="W12" s="142">
        <v>100</v>
      </c>
      <c r="X12" s="157"/>
    </row>
    <row r="13" spans="1:24">
      <c r="A13" s="65" t="s">
        <v>131</v>
      </c>
      <c r="B13" s="208">
        <f xml:space="preserve"> MIN(C2:C8)</f>
        <v>-0.30245901639344264</v>
      </c>
      <c r="G13" s="141">
        <v>11</v>
      </c>
      <c r="H13" s="152">
        <v>1</v>
      </c>
      <c r="I13" s="169" t="s">
        <v>108</v>
      </c>
      <c r="J13" s="140">
        <v>0.5</v>
      </c>
      <c r="K13" s="169">
        <v>700</v>
      </c>
      <c r="L13" s="169">
        <v>500</v>
      </c>
      <c r="M13" s="169">
        <v>300</v>
      </c>
      <c r="N13" s="172">
        <f t="shared" si="2"/>
        <v>1500</v>
      </c>
      <c r="O13" s="191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178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108</v>
      </c>
      <c r="J14" s="145">
        <v>1</v>
      </c>
      <c r="K14" s="144">
        <v>1500</v>
      </c>
      <c r="L14" s="144">
        <v>400</v>
      </c>
      <c r="M14" s="144">
        <v>400</v>
      </c>
      <c r="N14" s="182">
        <f t="shared" si="2"/>
        <v>0</v>
      </c>
      <c r="O14" s="191">
        <f t="shared" si="3"/>
        <v>0</v>
      </c>
      <c r="P14" s="183">
        <f t="shared" si="4"/>
        <v>0</v>
      </c>
      <c r="Q14" s="183">
        <f t="shared" si="5"/>
        <v>0</v>
      </c>
      <c r="R14" s="183">
        <f t="shared" si="6"/>
        <v>0</v>
      </c>
      <c r="S14" s="183">
        <f t="shared" si="7"/>
        <v>0</v>
      </c>
      <c r="T14" s="183">
        <f t="shared" si="8"/>
        <v>0</v>
      </c>
      <c r="U14" s="183">
        <f t="shared" si="9"/>
        <v>0</v>
      </c>
      <c r="V14" s="184">
        <f t="shared" si="10"/>
        <v>299.2</v>
      </c>
      <c r="W14" s="146">
        <v>340</v>
      </c>
      <c r="X14" s="157"/>
    </row>
    <row r="15" spans="1:24" ht="15.75" thickBot="1">
      <c r="K15" s="179">
        <f>SUMIFS(K3:K14,H3:H14,"&gt;0")</f>
        <v>3550</v>
      </c>
      <c r="L15" s="179">
        <f>SUMIFS(L3:L14,H3:H14,"&gt;0")</f>
        <v>3150</v>
      </c>
      <c r="M15" s="179">
        <f>SUMIFS(M3:M14,H3:H14,"&gt;0")</f>
        <v>2900</v>
      </c>
      <c r="N15" s="189">
        <f>SUM(N3:N14)</f>
        <v>9600</v>
      </c>
      <c r="O15" s="186"/>
      <c r="P15" s="46">
        <f t="shared" ref="P15:U15" si="11">SUM(P3:P14)</f>
        <v>4</v>
      </c>
      <c r="Q15" s="139">
        <f t="shared" si="11"/>
        <v>4500</v>
      </c>
      <c r="R15" s="180">
        <f t="shared" si="11"/>
        <v>2</v>
      </c>
      <c r="S15" s="181">
        <f t="shared" si="11"/>
        <v>3600</v>
      </c>
      <c r="T15" s="179">
        <f t="shared" si="11"/>
        <v>1</v>
      </c>
      <c r="U15" s="179">
        <f t="shared" si="11"/>
        <v>1500</v>
      </c>
      <c r="V15" s="42"/>
    </row>
    <row r="16" spans="1:24" s="65" customFormat="1" ht="31.5" customHeight="1" thickBot="1">
      <c r="J16" s="174"/>
      <c r="K16" s="364"/>
      <c r="L16" s="364"/>
      <c r="M16" s="364"/>
      <c r="N16" s="190" t="s">
        <v>121</v>
      </c>
      <c r="O16" s="187"/>
      <c r="P16" s="167">
        <f>IF(P15&gt;0,1,0)</f>
        <v>1</v>
      </c>
      <c r="Q16" s="188" t="s">
        <v>112</v>
      </c>
      <c r="R16" s="175">
        <f>IF(R15&gt;0,1,0)</f>
        <v>1</v>
      </c>
      <c r="S16" s="176" t="s">
        <v>112</v>
      </c>
      <c r="T16" s="175">
        <f>IF(R15&gt;0,1,0)</f>
        <v>1</v>
      </c>
      <c r="U16" s="176" t="s">
        <v>112</v>
      </c>
      <c r="V16" s="42"/>
    </row>
    <row r="17" spans="7:26" s="65" customFormat="1" ht="42.75" customHeight="1" thickBot="1">
      <c r="J17" s="42"/>
      <c r="K17" s="364"/>
      <c r="L17" s="364"/>
      <c r="M17" s="364"/>
      <c r="N17" s="177"/>
      <c r="O17" s="177"/>
      <c r="P17" s="176" t="s">
        <v>119</v>
      </c>
      <c r="Q17" s="170"/>
      <c r="R17" s="171" t="s">
        <v>119</v>
      </c>
      <c r="S17" s="170"/>
      <c r="T17" s="171" t="s">
        <v>119</v>
      </c>
      <c r="U17" s="170"/>
      <c r="V17" s="157"/>
      <c r="Y17" s="358" t="s">
        <v>91</v>
      </c>
      <c r="Z17" s="359"/>
    </row>
    <row r="18" spans="7:26" ht="16.5" customHeight="1">
      <c r="G18" s="39" t="s">
        <v>123</v>
      </c>
      <c r="K18" s="163"/>
      <c r="Q18" s="168"/>
      <c r="T18" s="163"/>
      <c r="W18" s="134"/>
      <c r="X18" s="134"/>
    </row>
    <row r="19" spans="7:26" ht="45">
      <c r="G19" s="185" t="s">
        <v>124</v>
      </c>
      <c r="Y19" s="13" t="s">
        <v>132</v>
      </c>
    </row>
    <row r="20" spans="7:26" ht="20.25" customHeight="1">
      <c r="G20" s="65" t="s">
        <v>115</v>
      </c>
      <c r="Y20" s="210" t="s">
        <v>92</v>
      </c>
    </row>
    <row r="21" spans="7:26" ht="45">
      <c r="G21" t="s">
        <v>109</v>
      </c>
      <c r="Y21" s="13" t="s">
        <v>133</v>
      </c>
    </row>
    <row r="23" spans="7:26">
      <c r="G23" s="357" t="s">
        <v>90</v>
      </c>
      <c r="H23" s="357"/>
      <c r="I23" s="357"/>
      <c r="J23" s="154">
        <v>50000000</v>
      </c>
      <c r="K23" s="5"/>
      <c r="Y23" s="210"/>
    </row>
    <row r="24" spans="7:26" ht="16.5">
      <c r="G24" s="360" t="s">
        <v>111</v>
      </c>
      <c r="H24" s="360"/>
      <c r="I24" s="360"/>
      <c r="J24" s="155">
        <v>0.12</v>
      </c>
      <c r="K24" s="5"/>
      <c r="Y24" s="210"/>
    </row>
    <row r="25" spans="7:26">
      <c r="G25" s="5" t="s">
        <v>93</v>
      </c>
      <c r="H25" s="5"/>
      <c r="I25" s="5"/>
      <c r="J25" s="5"/>
      <c r="K25" s="91">
        <v>10000000</v>
      </c>
      <c r="Y25" s="210"/>
    </row>
    <row r="26" spans="7:26">
      <c r="G26" s="5" t="s">
        <v>94</v>
      </c>
      <c r="H26" s="5"/>
      <c r="I26" s="5"/>
      <c r="J26" s="5"/>
      <c r="K26" s="91">
        <v>4000000</v>
      </c>
    </row>
    <row r="27" spans="7:26">
      <c r="G27" s="5" t="s">
        <v>95</v>
      </c>
      <c r="H27" s="5"/>
      <c r="I27" s="5"/>
      <c r="J27" s="5"/>
      <c r="K27" s="91">
        <v>10000000</v>
      </c>
      <c r="L27" t="s">
        <v>110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7"/>
  <sheetViews>
    <sheetView topLeftCell="O61" zoomScale="60" zoomScaleNormal="60" workbookViewId="0">
      <selection activeCell="P88" sqref="P88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2" max="12" width="22.5703125" customWidth="1"/>
    <col min="13" max="13" width="36.28515625" customWidth="1"/>
    <col min="14" max="14" width="17.7109375" customWidth="1"/>
    <col min="15" max="15" width="18.28515625" customWidth="1"/>
    <col min="16" max="20" width="15.85546875" bestFit="1" customWidth="1"/>
    <col min="21" max="21" width="14" bestFit="1" customWidth="1"/>
    <col min="22" max="22" width="15.140625" bestFit="1" customWidth="1"/>
    <col min="23" max="23" width="14.7109375" bestFit="1" customWidth="1"/>
    <col min="24" max="24" width="15.140625" bestFit="1" customWidth="1"/>
  </cols>
  <sheetData>
    <row r="1" spans="1:18" ht="21">
      <c r="A1" s="367" t="s">
        <v>134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65"/>
      <c r="N1" s="65"/>
      <c r="O1" s="65"/>
      <c r="P1" s="65"/>
      <c r="Q1" s="65"/>
      <c r="R1" s="65"/>
    </row>
    <row r="2" spans="1:18" ht="15.75">
      <c r="A2" s="211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212" t="s">
        <v>101</v>
      </c>
      <c r="C3" s="213" t="s">
        <v>136</v>
      </c>
      <c r="D3" s="213" t="s">
        <v>137</v>
      </c>
      <c r="E3" s="213" t="s">
        <v>103</v>
      </c>
      <c r="F3" s="213" t="s">
        <v>104</v>
      </c>
      <c r="G3" s="214" t="s">
        <v>105</v>
      </c>
      <c r="H3" s="213" t="s">
        <v>138</v>
      </c>
      <c r="I3" s="211"/>
      <c r="J3" s="211"/>
      <c r="K3" s="65"/>
      <c r="L3" s="65"/>
      <c r="M3" s="369" t="s">
        <v>139</v>
      </c>
      <c r="N3" s="369"/>
      <c r="O3" s="65"/>
      <c r="P3" s="65"/>
      <c r="Q3" s="65"/>
      <c r="R3" s="65"/>
    </row>
    <row r="4" spans="1:18" ht="20.25">
      <c r="A4" s="65"/>
      <c r="B4" s="215">
        <v>1</v>
      </c>
      <c r="C4" s="216" t="s">
        <v>140</v>
      </c>
      <c r="D4" s="217">
        <v>1</v>
      </c>
      <c r="E4" s="218">
        <v>250</v>
      </c>
      <c r="F4" s="218">
        <v>100</v>
      </c>
      <c r="G4" s="219">
        <v>100</v>
      </c>
      <c r="H4" s="216">
        <v>60</v>
      </c>
      <c r="I4" s="65"/>
      <c r="J4" s="65"/>
      <c r="K4" s="65"/>
      <c r="L4" s="65"/>
      <c r="M4" s="220" t="s">
        <v>141</v>
      </c>
      <c r="N4" s="221">
        <v>50000</v>
      </c>
      <c r="O4" s="65"/>
      <c r="P4" s="222"/>
      <c r="Q4" s="65"/>
      <c r="R4" s="65"/>
    </row>
    <row r="5" spans="1:18" ht="15.75">
      <c r="A5" s="65"/>
      <c r="B5" s="215">
        <v>2</v>
      </c>
      <c r="C5" s="216" t="s">
        <v>140</v>
      </c>
      <c r="D5" s="217">
        <v>0.33</v>
      </c>
      <c r="E5" s="218">
        <v>500</v>
      </c>
      <c r="F5" s="218">
        <v>300</v>
      </c>
      <c r="G5" s="219">
        <v>300</v>
      </c>
      <c r="H5" s="216">
        <v>180</v>
      </c>
      <c r="I5" s="65"/>
      <c r="J5" s="65"/>
      <c r="K5" s="65"/>
      <c r="L5" s="65"/>
      <c r="M5" s="220" t="s">
        <v>142</v>
      </c>
      <c r="N5" s="221">
        <v>10000</v>
      </c>
      <c r="O5" s="65"/>
      <c r="P5" s="65"/>
      <c r="Q5" s="65"/>
      <c r="R5" s="65"/>
    </row>
    <row r="6" spans="1:18" ht="15.75">
      <c r="A6" s="65"/>
      <c r="B6" s="215">
        <v>3</v>
      </c>
      <c r="C6" s="216" t="s">
        <v>140</v>
      </c>
      <c r="D6" s="217">
        <v>0.5</v>
      </c>
      <c r="E6" s="218">
        <v>100</v>
      </c>
      <c r="F6" s="218">
        <v>200</v>
      </c>
      <c r="G6" s="219">
        <v>400</v>
      </c>
      <c r="H6" s="216">
        <v>80</v>
      </c>
      <c r="I6" s="65"/>
      <c r="J6" s="65"/>
      <c r="K6" s="65"/>
      <c r="L6" s="65"/>
      <c r="M6" s="220" t="s">
        <v>143</v>
      </c>
      <c r="N6" s="221">
        <v>4000</v>
      </c>
      <c r="O6" s="65"/>
      <c r="P6" s="65"/>
      <c r="Q6" s="65"/>
      <c r="R6" s="65"/>
    </row>
    <row r="7" spans="1:18" ht="15.75">
      <c r="A7" s="65"/>
      <c r="B7" s="215">
        <v>4</v>
      </c>
      <c r="C7" s="216" t="s">
        <v>140</v>
      </c>
      <c r="D7" s="217">
        <v>1</v>
      </c>
      <c r="E7" s="218">
        <v>750</v>
      </c>
      <c r="F7" s="218">
        <v>500</v>
      </c>
      <c r="G7" s="219">
        <v>300</v>
      </c>
      <c r="H7" s="216">
        <v>310</v>
      </c>
      <c r="I7" s="65"/>
      <c r="J7" s="65"/>
      <c r="K7" s="65"/>
      <c r="L7" s="65"/>
      <c r="M7" s="220" t="s">
        <v>144</v>
      </c>
      <c r="N7" s="223">
        <v>0.12</v>
      </c>
      <c r="O7" s="65"/>
      <c r="P7" s="65"/>
      <c r="Q7" s="65"/>
      <c r="R7" s="65"/>
    </row>
    <row r="8" spans="1:18">
      <c r="A8" s="65"/>
      <c r="B8" s="215">
        <v>5</v>
      </c>
      <c r="C8" s="216" t="s">
        <v>140</v>
      </c>
      <c r="D8" s="217">
        <v>0.75</v>
      </c>
      <c r="E8" s="218">
        <v>200</v>
      </c>
      <c r="F8" s="218">
        <v>400</v>
      </c>
      <c r="G8" s="219">
        <v>800</v>
      </c>
      <c r="H8" s="216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224">
        <v>6</v>
      </c>
      <c r="C9" s="225" t="s">
        <v>145</v>
      </c>
      <c r="D9" s="226">
        <v>0.5</v>
      </c>
      <c r="E9" s="227">
        <v>1000</v>
      </c>
      <c r="F9" s="227">
        <v>300</v>
      </c>
      <c r="G9" s="228">
        <v>300</v>
      </c>
      <c r="H9" s="225">
        <v>180</v>
      </c>
      <c r="I9" s="65"/>
      <c r="J9" s="65"/>
      <c r="K9" s="65"/>
      <c r="L9" s="65"/>
      <c r="M9" s="370" t="s">
        <v>146</v>
      </c>
      <c r="N9" s="371"/>
      <c r="O9" s="65"/>
      <c r="P9" s="65"/>
      <c r="Q9" s="65"/>
      <c r="R9" s="65"/>
    </row>
    <row r="10" spans="1:18">
      <c r="A10" s="65"/>
      <c r="B10" s="224">
        <v>7</v>
      </c>
      <c r="C10" s="225" t="s">
        <v>145</v>
      </c>
      <c r="D10" s="226">
        <v>1</v>
      </c>
      <c r="E10" s="227">
        <v>750</v>
      </c>
      <c r="F10" s="227">
        <v>750</v>
      </c>
      <c r="G10" s="228">
        <v>300</v>
      </c>
      <c r="H10" s="225">
        <v>410</v>
      </c>
      <c r="I10" s="65"/>
      <c r="J10" s="65"/>
      <c r="K10" s="65"/>
      <c r="L10" s="65"/>
      <c r="M10" s="5" t="s">
        <v>147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224">
        <v>8</v>
      </c>
      <c r="C11" s="225" t="s">
        <v>145</v>
      </c>
      <c r="D11" s="226">
        <v>1</v>
      </c>
      <c r="E11" s="227">
        <v>800</v>
      </c>
      <c r="F11" s="227">
        <v>700</v>
      </c>
      <c r="G11" s="228">
        <v>600</v>
      </c>
      <c r="H11" s="225">
        <v>280</v>
      </c>
      <c r="I11" s="65"/>
      <c r="J11" s="65"/>
      <c r="K11" s="65"/>
      <c r="L11" s="65"/>
      <c r="M11" s="5" t="s">
        <v>148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224">
        <v>9</v>
      </c>
      <c r="C12" s="225" t="s">
        <v>145</v>
      </c>
      <c r="D12" s="226">
        <v>0.67</v>
      </c>
      <c r="E12" s="227">
        <v>400</v>
      </c>
      <c r="F12" s="227">
        <v>600</v>
      </c>
      <c r="G12" s="228">
        <v>800</v>
      </c>
      <c r="H12" s="225">
        <v>380</v>
      </c>
      <c r="I12" s="65"/>
      <c r="J12" s="65"/>
      <c r="K12" s="65"/>
      <c r="L12" s="65"/>
      <c r="M12" s="5" t="s">
        <v>149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229">
        <v>10</v>
      </c>
      <c r="C13" s="230" t="s">
        <v>150</v>
      </c>
      <c r="D13" s="231">
        <v>1</v>
      </c>
      <c r="E13" s="232">
        <v>100</v>
      </c>
      <c r="F13" s="232">
        <v>200</v>
      </c>
      <c r="G13" s="233">
        <v>400</v>
      </c>
      <c r="H13" s="230">
        <v>100</v>
      </c>
      <c r="I13" s="65"/>
      <c r="J13" s="65"/>
      <c r="K13" s="65"/>
      <c r="L13" s="65"/>
      <c r="M13" s="5" t="s">
        <v>151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229">
        <v>11</v>
      </c>
      <c r="C14" s="230" t="s">
        <v>150</v>
      </c>
      <c r="D14" s="231">
        <v>0.5</v>
      </c>
      <c r="E14" s="232">
        <v>700</v>
      </c>
      <c r="F14" s="232">
        <v>500</v>
      </c>
      <c r="G14" s="233">
        <v>300</v>
      </c>
      <c r="H14" s="230">
        <v>260</v>
      </c>
      <c r="I14" s="65"/>
      <c r="J14" s="65"/>
      <c r="K14" s="65"/>
      <c r="L14" s="65"/>
      <c r="M14" s="5" t="s">
        <v>152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229">
        <v>12</v>
      </c>
      <c r="C15" s="230" t="s">
        <v>150</v>
      </c>
      <c r="D15" s="231">
        <v>1</v>
      </c>
      <c r="E15" s="232">
        <v>1500</v>
      </c>
      <c r="F15" s="232">
        <v>400</v>
      </c>
      <c r="G15" s="233">
        <v>400</v>
      </c>
      <c r="H15" s="230">
        <v>340</v>
      </c>
      <c r="I15" s="65"/>
      <c r="J15" s="65"/>
      <c r="K15" s="65"/>
      <c r="L15" s="65"/>
      <c r="M15" s="5" t="s">
        <v>153</v>
      </c>
      <c r="N15" s="5">
        <f>SUM(K19:K23)</f>
        <v>4</v>
      </c>
      <c r="O15" s="234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154</v>
      </c>
      <c r="N16" s="5">
        <f>SUM(K26:K29)</f>
        <v>3</v>
      </c>
      <c r="O16" s="234"/>
      <c r="P16" s="65"/>
      <c r="Q16" s="65"/>
      <c r="R16" s="65"/>
    </row>
    <row r="17" spans="1:19" ht="15.75">
      <c r="A17" s="65"/>
      <c r="B17" s="65"/>
      <c r="C17" s="65"/>
      <c r="D17" s="372" t="s">
        <v>155</v>
      </c>
      <c r="E17" s="372"/>
      <c r="F17" s="372"/>
      <c r="G17" s="372"/>
      <c r="H17" s="65"/>
      <c r="I17" s="65"/>
      <c r="J17" s="65"/>
      <c r="K17" s="65"/>
      <c r="L17" s="65"/>
      <c r="M17" s="5" t="s">
        <v>156</v>
      </c>
      <c r="N17" s="5">
        <f>SUM(K32:K34)</f>
        <v>2</v>
      </c>
      <c r="O17" s="234"/>
      <c r="P17" s="65"/>
      <c r="Q17" s="65"/>
      <c r="R17" s="65"/>
    </row>
    <row r="18" spans="1:19" ht="15.75">
      <c r="A18" s="235" t="s">
        <v>101</v>
      </c>
      <c r="B18" s="236" t="s">
        <v>136</v>
      </c>
      <c r="C18" s="236" t="s">
        <v>137</v>
      </c>
      <c r="D18" s="236" t="s">
        <v>157</v>
      </c>
      <c r="E18" s="236" t="s">
        <v>158</v>
      </c>
      <c r="F18" s="237" t="s">
        <v>159</v>
      </c>
      <c r="G18" s="236" t="s">
        <v>160</v>
      </c>
      <c r="H18" s="237" t="s">
        <v>138</v>
      </c>
      <c r="I18" s="236" t="s">
        <v>161</v>
      </c>
      <c r="J18" s="236" t="s">
        <v>128</v>
      </c>
      <c r="K18" s="238" t="s">
        <v>162</v>
      </c>
      <c r="L18" s="65"/>
      <c r="M18" s="5" t="s">
        <v>163</v>
      </c>
      <c r="N18" s="5">
        <f>SUM(N15:N17)</f>
        <v>9</v>
      </c>
      <c r="O18" s="65"/>
      <c r="P18" s="65"/>
      <c r="Q18" s="65"/>
      <c r="R18" s="65"/>
    </row>
    <row r="19" spans="1:19">
      <c r="A19" s="239">
        <v>1</v>
      </c>
      <c r="B19" s="240" t="s">
        <v>140</v>
      </c>
      <c r="C19" s="10">
        <v>1</v>
      </c>
      <c r="D19" s="241">
        <f>E4*C19</f>
        <v>250</v>
      </c>
      <c r="E19" s="241">
        <f>F4*C19</f>
        <v>100</v>
      </c>
      <c r="F19" s="242">
        <f>G4*C19</f>
        <v>100</v>
      </c>
      <c r="G19" s="242">
        <f>SUM(D19,E19,F19)</f>
        <v>450</v>
      </c>
      <c r="H19" s="242">
        <f>H4</f>
        <v>60</v>
      </c>
      <c r="I19" s="241">
        <f>H19*(1-$N$7)</f>
        <v>52.8</v>
      </c>
      <c r="J19" s="10" t="str">
        <f>IF(K19=0,"",I19/SUM(E4:G4))</f>
        <v/>
      </c>
      <c r="K19" s="243">
        <v>0</v>
      </c>
      <c r="L19" s="65"/>
      <c r="M19" s="65"/>
      <c r="N19" s="65"/>
      <c r="O19" s="65"/>
      <c r="P19" s="65"/>
      <c r="Q19" s="65"/>
      <c r="R19" s="65"/>
    </row>
    <row r="20" spans="1:19" ht="15.75">
      <c r="A20" s="239">
        <v>2</v>
      </c>
      <c r="B20" s="240" t="s">
        <v>140</v>
      </c>
      <c r="C20" s="10">
        <v>0.33</v>
      </c>
      <c r="D20" s="241">
        <f>E5*C20</f>
        <v>165</v>
      </c>
      <c r="E20" s="241">
        <f t="shared" ref="E20:E23" si="0">F5*C20</f>
        <v>99</v>
      </c>
      <c r="F20" s="242">
        <f t="shared" ref="F20:F23" si="1">G5*C20</f>
        <v>99</v>
      </c>
      <c r="G20" s="242">
        <f>SUM(D20,E20,F20)</f>
        <v>363</v>
      </c>
      <c r="H20" s="242">
        <f t="shared" ref="H20:H23" si="2">H5</f>
        <v>180</v>
      </c>
      <c r="I20" s="241">
        <f t="shared" ref="I20:I23" si="3">H20*(1-$N$7)</f>
        <v>158.4</v>
      </c>
      <c r="J20" s="10">
        <f t="shared" ref="J20:J23" si="4">IF(K20=0,"",I20/SUM(E5:G5))</f>
        <v>0.14400000000000002</v>
      </c>
      <c r="K20" s="243">
        <v>1</v>
      </c>
      <c r="L20" s="65"/>
      <c r="M20" s="236" t="s">
        <v>164</v>
      </c>
      <c r="N20" s="213">
        <f>IF(SUM(N10:N14)=5,1,0)</f>
        <v>0</v>
      </c>
      <c r="O20" s="65"/>
      <c r="P20" s="65"/>
      <c r="Q20" s="65"/>
      <c r="R20" s="65"/>
    </row>
    <row r="21" spans="1:19">
      <c r="A21" s="239">
        <v>3</v>
      </c>
      <c r="B21" s="240" t="s">
        <v>140</v>
      </c>
      <c r="C21" s="10">
        <v>0.5</v>
      </c>
      <c r="D21" s="241">
        <f t="shared" ref="D21:D23" si="5">E6*C21</f>
        <v>50</v>
      </c>
      <c r="E21" s="241">
        <f t="shared" si="0"/>
        <v>100</v>
      </c>
      <c r="F21" s="242">
        <f t="shared" si="1"/>
        <v>200</v>
      </c>
      <c r="G21" s="242">
        <f t="shared" ref="G21:G34" si="6">SUM(D21,E21,F21)</f>
        <v>350</v>
      </c>
      <c r="H21" s="242">
        <f t="shared" si="2"/>
        <v>80</v>
      </c>
      <c r="I21" s="241">
        <f t="shared" si="3"/>
        <v>70.400000000000006</v>
      </c>
      <c r="J21" s="10">
        <f t="shared" si="4"/>
        <v>0.10057142857142858</v>
      </c>
      <c r="K21" s="243">
        <v>1</v>
      </c>
      <c r="L21" s="65"/>
      <c r="M21" s="65"/>
      <c r="N21" s="65"/>
      <c r="O21" s="65"/>
      <c r="P21" s="65"/>
      <c r="Q21" s="65"/>
      <c r="R21" s="65"/>
    </row>
    <row r="22" spans="1:19">
      <c r="A22" s="239">
        <v>4</v>
      </c>
      <c r="B22" s="240" t="s">
        <v>140</v>
      </c>
      <c r="C22" s="244">
        <v>1</v>
      </c>
      <c r="D22" s="241">
        <f t="shared" si="5"/>
        <v>750</v>
      </c>
      <c r="E22" s="241">
        <f t="shared" si="0"/>
        <v>500</v>
      </c>
      <c r="F22" s="242">
        <f t="shared" si="1"/>
        <v>300</v>
      </c>
      <c r="G22" s="242">
        <f t="shared" si="6"/>
        <v>1550</v>
      </c>
      <c r="H22" s="242">
        <f t="shared" si="2"/>
        <v>310</v>
      </c>
      <c r="I22" s="241">
        <f t="shared" si="3"/>
        <v>272.8</v>
      </c>
      <c r="J22" s="10">
        <f t="shared" si="4"/>
        <v>0.17600000000000002</v>
      </c>
      <c r="K22" s="243">
        <v>1</v>
      </c>
      <c r="L22" s="65"/>
      <c r="M22" s="65"/>
      <c r="N22" s="65"/>
      <c r="O22" s="65"/>
      <c r="P22" s="65"/>
      <c r="Q22" s="65"/>
      <c r="R22" s="65"/>
    </row>
    <row r="23" spans="1:19">
      <c r="A23" s="239">
        <v>5</v>
      </c>
      <c r="B23" s="240" t="s">
        <v>140</v>
      </c>
      <c r="C23" s="245">
        <v>0.75</v>
      </c>
      <c r="D23" s="241">
        <f t="shared" si="5"/>
        <v>150</v>
      </c>
      <c r="E23" s="241">
        <f t="shared" si="0"/>
        <v>300</v>
      </c>
      <c r="F23" s="242">
        <f t="shared" si="1"/>
        <v>600</v>
      </c>
      <c r="G23" s="241">
        <f t="shared" si="6"/>
        <v>1050</v>
      </c>
      <c r="H23" s="242">
        <f t="shared" si="2"/>
        <v>220</v>
      </c>
      <c r="I23" s="241">
        <f t="shared" si="3"/>
        <v>193.6</v>
      </c>
      <c r="J23" s="10">
        <f t="shared" si="4"/>
        <v>0.13828571428571429</v>
      </c>
      <c r="K23" s="243">
        <v>1</v>
      </c>
      <c r="L23" s="65"/>
      <c r="M23" s="42"/>
      <c r="N23" s="65"/>
      <c r="O23" s="65"/>
      <c r="P23" s="65"/>
      <c r="Q23" s="65"/>
      <c r="R23" s="65"/>
    </row>
    <row r="24" spans="1:19" ht="15.75">
      <c r="A24" s="65"/>
      <c r="B24" s="65"/>
      <c r="C24" s="246" t="s">
        <v>165</v>
      </c>
      <c r="D24" s="247">
        <f>SUMPRODUCT(D19:D23,K19:K23)</f>
        <v>1115</v>
      </c>
      <c r="E24" s="247">
        <f>SUMPRODUCT(E19:E23,K19:K23)</f>
        <v>999</v>
      </c>
      <c r="F24" s="247">
        <f>SUMPRODUCT(F19:F23,K19:K23)</f>
        <v>1199</v>
      </c>
      <c r="G24" s="247">
        <f t="shared" si="6"/>
        <v>3313</v>
      </c>
      <c r="H24" s="65"/>
      <c r="I24" s="65"/>
      <c r="J24" s="65"/>
      <c r="K24" s="234"/>
      <c r="L24" s="65"/>
      <c r="M24" s="42"/>
      <c r="N24" s="42"/>
      <c r="O24" s="328" t="s">
        <v>166</v>
      </c>
      <c r="P24" s="328"/>
      <c r="Q24" s="328"/>
      <c r="R24" s="65"/>
    </row>
    <row r="25" spans="1:19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234"/>
      <c r="L25" s="65"/>
      <c r="M25" s="42"/>
      <c r="N25" s="5"/>
      <c r="O25" s="200" t="s">
        <v>167</v>
      </c>
      <c r="P25" s="200" t="s">
        <v>168</v>
      </c>
      <c r="Q25" s="200" t="s">
        <v>169</v>
      </c>
      <c r="R25" s="65"/>
    </row>
    <row r="26" spans="1:19">
      <c r="A26" s="239">
        <v>6</v>
      </c>
      <c r="B26" s="248" t="s">
        <v>145</v>
      </c>
      <c r="C26" s="10">
        <v>0.5</v>
      </c>
      <c r="D26" s="241">
        <f>E9*C26</f>
        <v>500</v>
      </c>
      <c r="E26" s="241">
        <f>F9*C26</f>
        <v>150</v>
      </c>
      <c r="F26" s="242">
        <f>G9*C26</f>
        <v>150</v>
      </c>
      <c r="G26" s="242">
        <f t="shared" si="6"/>
        <v>800</v>
      </c>
      <c r="H26" s="242">
        <f>H9</f>
        <v>180</v>
      </c>
      <c r="I26" s="241">
        <f>H26*(1-$N$7)</f>
        <v>158.4</v>
      </c>
      <c r="J26" s="10">
        <f>IF(K26=0,"",I26/SUM(E9:G9))</f>
        <v>9.9000000000000005E-2</v>
      </c>
      <c r="K26" s="243">
        <v>1</v>
      </c>
      <c r="L26" s="65"/>
      <c r="M26" s="365" t="s">
        <v>170</v>
      </c>
      <c r="N26" s="200" t="s">
        <v>171</v>
      </c>
      <c r="O26" s="249">
        <f>D24</f>
        <v>1115</v>
      </c>
      <c r="P26" s="249">
        <f>E24</f>
        <v>999</v>
      </c>
      <c r="Q26" s="249">
        <f>F24</f>
        <v>1199</v>
      </c>
      <c r="R26" s="65"/>
    </row>
    <row r="27" spans="1:19">
      <c r="A27" s="239">
        <v>7</v>
      </c>
      <c r="B27" s="248" t="s">
        <v>145</v>
      </c>
      <c r="C27" s="10">
        <v>1</v>
      </c>
      <c r="D27" s="241">
        <f>E10*C27</f>
        <v>750</v>
      </c>
      <c r="E27" s="241">
        <f>F10*C27</f>
        <v>750</v>
      </c>
      <c r="F27" s="242">
        <f>G10*C27</f>
        <v>300</v>
      </c>
      <c r="G27" s="242">
        <f t="shared" si="6"/>
        <v>1800</v>
      </c>
      <c r="H27" s="242">
        <f t="shared" ref="H27:H29" si="7">H10</f>
        <v>410</v>
      </c>
      <c r="I27" s="241">
        <f t="shared" ref="I27:I29" si="8">H27*(1-$N$7)</f>
        <v>360.8</v>
      </c>
      <c r="J27" s="10">
        <f t="shared" ref="J27:J29" si="9">IF(K27=0,"",I27/SUM(E10:G10))</f>
        <v>0.20044444444444445</v>
      </c>
      <c r="K27" s="243">
        <v>1</v>
      </c>
      <c r="L27" s="65"/>
      <c r="M27" s="365"/>
      <c r="N27" s="200" t="s">
        <v>145</v>
      </c>
      <c r="O27" s="249">
        <f>D30</f>
        <v>1518</v>
      </c>
      <c r="P27" s="249">
        <f>E30</f>
        <v>1302</v>
      </c>
      <c r="Q27" s="249">
        <f>F30</f>
        <v>986</v>
      </c>
      <c r="R27" s="65"/>
    </row>
    <row r="28" spans="1:19">
      <c r="A28" s="239">
        <v>8</v>
      </c>
      <c r="B28" s="248" t="s">
        <v>145</v>
      </c>
      <c r="C28" s="10">
        <v>1</v>
      </c>
      <c r="D28" s="241">
        <f>E11*C28</f>
        <v>800</v>
      </c>
      <c r="E28" s="241">
        <f>F11*C28</f>
        <v>700</v>
      </c>
      <c r="F28" s="242">
        <f>G11*C28</f>
        <v>600</v>
      </c>
      <c r="G28" s="242">
        <f t="shared" si="6"/>
        <v>2100</v>
      </c>
      <c r="H28" s="242">
        <f t="shared" si="7"/>
        <v>280</v>
      </c>
      <c r="I28" s="241">
        <f t="shared" si="8"/>
        <v>246.4</v>
      </c>
      <c r="J28" s="10" t="str">
        <f t="shared" si="9"/>
        <v/>
      </c>
      <c r="K28" s="243">
        <v>0</v>
      </c>
      <c r="L28" s="65"/>
      <c r="M28" s="365"/>
      <c r="N28" s="200" t="s">
        <v>150</v>
      </c>
      <c r="O28" s="249">
        <f>D35</f>
        <v>1850</v>
      </c>
      <c r="P28" s="249">
        <f>E35</f>
        <v>650</v>
      </c>
      <c r="Q28" s="249">
        <f>F35</f>
        <v>550</v>
      </c>
      <c r="R28" s="65"/>
    </row>
    <row r="29" spans="1:19">
      <c r="A29" s="239">
        <v>9</v>
      </c>
      <c r="B29" s="248" t="s">
        <v>145</v>
      </c>
      <c r="C29" s="10">
        <v>0.67</v>
      </c>
      <c r="D29" s="241">
        <f>E12*C29</f>
        <v>268</v>
      </c>
      <c r="E29" s="241">
        <f>F12*C29</f>
        <v>402</v>
      </c>
      <c r="F29" s="242">
        <f>G12*C29</f>
        <v>536</v>
      </c>
      <c r="G29" s="242">
        <f t="shared" si="6"/>
        <v>1206</v>
      </c>
      <c r="H29" s="242">
        <f t="shared" si="7"/>
        <v>380</v>
      </c>
      <c r="I29" s="241">
        <f t="shared" si="8"/>
        <v>334.4</v>
      </c>
      <c r="J29" s="10">
        <f t="shared" si="9"/>
        <v>0.18577777777777776</v>
      </c>
      <c r="K29" s="243">
        <v>1</v>
      </c>
      <c r="L29" s="65"/>
      <c r="M29" s="65"/>
      <c r="N29" s="65"/>
      <c r="O29" s="65"/>
      <c r="P29" s="65"/>
      <c r="Q29" s="65"/>
      <c r="R29" s="65"/>
    </row>
    <row r="30" spans="1:19" ht="16.5" thickBot="1">
      <c r="A30" s="65"/>
      <c r="B30" s="65"/>
      <c r="C30" s="246" t="s">
        <v>172</v>
      </c>
      <c r="D30" s="247">
        <f>SUMPRODUCT(D26:D29,$K$26:$K$29)</f>
        <v>1518</v>
      </c>
      <c r="E30" s="247">
        <f t="shared" ref="E30:F30" si="10">SUMPRODUCT(E26:E29,$K$26:$K$29)</f>
        <v>1302</v>
      </c>
      <c r="F30" s="247">
        <f t="shared" si="10"/>
        <v>986</v>
      </c>
      <c r="G30" s="249">
        <f>SUM(D30:F30)</f>
        <v>3806</v>
      </c>
      <c r="H30" s="65"/>
      <c r="I30" s="65"/>
      <c r="J30" s="65"/>
      <c r="K30" s="234"/>
      <c r="L30" s="65"/>
      <c r="M30" s="65"/>
      <c r="N30" s="65"/>
      <c r="O30" s="65"/>
      <c r="P30" s="65"/>
      <c r="Q30" s="65"/>
      <c r="R30" s="65"/>
    </row>
    <row r="31" spans="1:19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234"/>
      <c r="L31" s="65"/>
      <c r="M31" s="384"/>
      <c r="N31" s="106"/>
      <c r="O31" s="106"/>
      <c r="P31" s="106"/>
      <c r="Q31" s="106"/>
      <c r="R31" s="106"/>
      <c r="S31" s="107"/>
    </row>
    <row r="32" spans="1:19">
      <c r="A32" s="239">
        <v>10</v>
      </c>
      <c r="B32" s="250" t="s">
        <v>150</v>
      </c>
      <c r="C32" s="10">
        <v>1</v>
      </c>
      <c r="D32" s="241">
        <f>E13*C32</f>
        <v>100</v>
      </c>
      <c r="E32" s="241">
        <f>F13*C32</f>
        <v>200</v>
      </c>
      <c r="F32" s="242">
        <f>G13*C32</f>
        <v>400</v>
      </c>
      <c r="G32" s="242">
        <f t="shared" si="6"/>
        <v>700</v>
      </c>
      <c r="H32" s="251">
        <f>H13</f>
        <v>100</v>
      </c>
      <c r="I32" s="241">
        <f>H32*(1-$N$7)</f>
        <v>88</v>
      </c>
      <c r="J32" s="10" t="str">
        <f>IF(K32=0,"",I32/SUM(E13:G13))</f>
        <v/>
      </c>
      <c r="K32" s="243">
        <v>0</v>
      </c>
      <c r="L32" s="65"/>
      <c r="M32" s="135"/>
      <c r="N32" s="42"/>
      <c r="O32" s="42"/>
      <c r="P32" s="42"/>
      <c r="Q32" s="42"/>
      <c r="R32" s="42"/>
      <c r="S32" s="46"/>
    </row>
    <row r="33" spans="1:24">
      <c r="A33" s="239">
        <v>11</v>
      </c>
      <c r="B33" s="250" t="s">
        <v>150</v>
      </c>
      <c r="C33" s="10">
        <v>0.5</v>
      </c>
      <c r="D33" s="241">
        <f>E14*C33</f>
        <v>350</v>
      </c>
      <c r="E33" s="241">
        <f>F14*C33</f>
        <v>250</v>
      </c>
      <c r="F33" s="242">
        <f>G14*C33</f>
        <v>150</v>
      </c>
      <c r="G33" s="242">
        <f t="shared" si="6"/>
        <v>750</v>
      </c>
      <c r="H33" s="251">
        <f t="shared" ref="H33:H34" si="11">H14</f>
        <v>260</v>
      </c>
      <c r="I33" s="241">
        <f t="shared" ref="I33" si="12">H33*(1-$N$7)</f>
        <v>228.8</v>
      </c>
      <c r="J33" s="10">
        <f t="shared" ref="J33:J34" si="13">IF(K33=0,"",I33/SUM(E14:G14))</f>
        <v>0.15253333333333335</v>
      </c>
      <c r="K33" s="243">
        <v>1</v>
      </c>
      <c r="L33" s="65"/>
      <c r="M33" s="135"/>
      <c r="N33" s="42"/>
      <c r="O33" s="42"/>
      <c r="P33" s="42"/>
      <c r="Q33" s="42"/>
      <c r="R33" s="42"/>
      <c r="S33" s="46"/>
    </row>
    <row r="34" spans="1:24">
      <c r="A34" s="239">
        <v>12</v>
      </c>
      <c r="B34" s="250" t="s">
        <v>150</v>
      </c>
      <c r="C34" s="10">
        <v>1</v>
      </c>
      <c r="D34" s="241">
        <f>E15*C34</f>
        <v>1500</v>
      </c>
      <c r="E34" s="241">
        <f>F15*C34</f>
        <v>400</v>
      </c>
      <c r="F34" s="242">
        <f>G15*C34</f>
        <v>400</v>
      </c>
      <c r="G34" s="242">
        <f t="shared" si="6"/>
        <v>2300</v>
      </c>
      <c r="H34" s="251">
        <f t="shared" si="11"/>
        <v>340</v>
      </c>
      <c r="I34" s="241">
        <f>H34*(1-$N$7)</f>
        <v>299.2</v>
      </c>
      <c r="J34" s="10">
        <f t="shared" si="13"/>
        <v>0.13008695652173913</v>
      </c>
      <c r="K34" s="243">
        <v>1</v>
      </c>
      <c r="L34" s="65"/>
      <c r="M34" s="135"/>
      <c r="N34" s="42"/>
      <c r="O34" s="42"/>
      <c r="P34" s="42"/>
      <c r="Q34" s="42"/>
      <c r="R34" s="42"/>
      <c r="S34" s="46"/>
    </row>
    <row r="35" spans="1:24" ht="15.75">
      <c r="A35" s="65"/>
      <c r="B35" s="65"/>
      <c r="C35" s="246" t="s">
        <v>173</v>
      </c>
      <c r="D35" s="241">
        <f>SUMPRODUCT(D32:D34,$K$32:$K$34)</f>
        <v>1850</v>
      </c>
      <c r="E35" s="241">
        <f t="shared" ref="E35:F35" si="14">SUMPRODUCT(E32:E34,$K$32:$K$34)</f>
        <v>650</v>
      </c>
      <c r="F35" s="241">
        <f t="shared" si="14"/>
        <v>550</v>
      </c>
      <c r="G35" s="241">
        <f>SUM(D35:F35)</f>
        <v>3050</v>
      </c>
      <c r="H35" s="65"/>
      <c r="I35" s="65"/>
      <c r="J35" s="65"/>
      <c r="K35" s="65"/>
      <c r="L35" s="65"/>
      <c r="M35" s="135"/>
      <c r="N35" s="42"/>
      <c r="O35" s="42"/>
      <c r="P35" s="42"/>
      <c r="Q35" s="42"/>
      <c r="R35" s="42"/>
      <c r="S35" s="46"/>
    </row>
    <row r="36" spans="1:24">
      <c r="A36" s="65"/>
      <c r="B36" s="65"/>
      <c r="C36" s="65"/>
      <c r="D36" s="65"/>
      <c r="E36" s="65"/>
      <c r="F36" s="252"/>
      <c r="G36" s="252"/>
      <c r="H36" s="65"/>
      <c r="I36" s="65"/>
      <c r="J36" s="65"/>
      <c r="K36" s="65"/>
      <c r="L36" s="65"/>
      <c r="M36" s="135"/>
      <c r="N36" s="42"/>
      <c r="O36" s="42"/>
      <c r="P36" s="42"/>
      <c r="Q36" s="42"/>
      <c r="R36" s="42"/>
      <c r="S36" s="46"/>
    </row>
    <row r="37" spans="1:24" ht="15.75">
      <c r="A37" s="65"/>
      <c r="B37" s="65"/>
      <c r="C37" s="65"/>
      <c r="D37" s="236" t="s">
        <v>157</v>
      </c>
      <c r="E37" s="236" t="s">
        <v>158</v>
      </c>
      <c r="F37" s="237" t="s">
        <v>159</v>
      </c>
      <c r="G37" s="236" t="s">
        <v>160</v>
      </c>
      <c r="H37" s="65"/>
      <c r="I37" s="253" t="s">
        <v>174</v>
      </c>
      <c r="J37" s="65"/>
      <c r="K37" s="65"/>
      <c r="L37" s="65"/>
      <c r="M37" s="135"/>
      <c r="N37" s="42"/>
      <c r="O37" s="42"/>
      <c r="P37" s="42"/>
      <c r="Q37" s="42"/>
      <c r="R37" s="42"/>
      <c r="S37" s="46"/>
    </row>
    <row r="38" spans="1:24" ht="15.75">
      <c r="A38" s="65"/>
      <c r="B38" s="65"/>
      <c r="C38" s="246" t="s">
        <v>175</v>
      </c>
      <c r="D38" s="254">
        <f>SUMPRODUCT(D19:D23,$K$19:$K$23)+SUMPRODUCT(D26:D29,$K$26:$K$29)+SUMPRODUCT(D32:D34,$K$32:$K$34)</f>
        <v>4483</v>
      </c>
      <c r="E38" s="254">
        <f>SUMPRODUCT(E19:E23,$K$19:$K$23)+SUMPRODUCT(E26:E29,$K$26:$K$29)+SUMPRODUCT(E32:E34,$K$32:$K$34)</f>
        <v>2951</v>
      </c>
      <c r="F38" s="254">
        <f t="shared" ref="F38" si="15">SUMPRODUCT(F19:F23,$K$19:$K$23)+SUMPRODUCT(F26:F29,$K$26:$K$29)+SUMPRODUCT(F32:F34,$K$32:$K$34)</f>
        <v>2735</v>
      </c>
      <c r="G38" s="254">
        <f>SUM(D38:F38)</f>
        <v>10169</v>
      </c>
      <c r="H38" s="65"/>
      <c r="I38" s="255">
        <f>SUMPRODUCT(I19:I34,K19:K34)</f>
        <v>2076.8000000000002</v>
      </c>
      <c r="J38" s="65"/>
      <c r="K38" s="65"/>
      <c r="L38" s="65"/>
      <c r="M38" s="135"/>
      <c r="N38" s="42"/>
      <c r="O38" s="42"/>
      <c r="P38" s="42"/>
      <c r="Q38" s="42"/>
      <c r="R38" s="42"/>
      <c r="S38" s="46"/>
    </row>
    <row r="39" spans="1:24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135"/>
      <c r="N39" s="42"/>
      <c r="O39" s="42"/>
      <c r="P39" s="42"/>
      <c r="Q39" s="42"/>
      <c r="R39" s="42"/>
      <c r="S39" s="46"/>
    </row>
    <row r="40" spans="1:24" ht="15.75">
      <c r="A40" s="65"/>
      <c r="B40" s="65"/>
      <c r="C40" s="65"/>
      <c r="D40" s="65"/>
      <c r="E40" s="366" t="s">
        <v>176</v>
      </c>
      <c r="F40" s="366"/>
      <c r="G40" s="366"/>
      <c r="H40" s="65"/>
      <c r="I40" s="65"/>
      <c r="J40" s="65"/>
      <c r="K40" s="65"/>
      <c r="L40" s="65"/>
      <c r="M40" s="135"/>
      <c r="N40" s="42"/>
      <c r="O40" s="42"/>
      <c r="P40" s="42"/>
      <c r="Q40" s="42"/>
      <c r="R40" s="42"/>
      <c r="S40" s="46"/>
    </row>
    <row r="41" spans="1:24" ht="15.75">
      <c r="A41" s="65"/>
      <c r="B41" s="65"/>
      <c r="C41" s="65"/>
      <c r="D41" s="236" t="s">
        <v>177</v>
      </c>
      <c r="E41" s="236" t="s">
        <v>178</v>
      </c>
      <c r="F41" s="236" t="s">
        <v>179</v>
      </c>
      <c r="G41" s="236" t="s">
        <v>180</v>
      </c>
      <c r="H41" s="65"/>
      <c r="I41" s="65"/>
      <c r="J41" s="65"/>
      <c r="K41" s="65"/>
      <c r="L41" s="65"/>
      <c r="M41" s="135"/>
      <c r="N41" s="42"/>
      <c r="O41" s="42"/>
      <c r="P41" s="42"/>
      <c r="Q41" s="42"/>
      <c r="R41" s="42"/>
      <c r="S41" s="46"/>
    </row>
    <row r="42" spans="1:24" ht="15.75">
      <c r="A42" s="65"/>
      <c r="B42" s="65"/>
      <c r="C42" s="65"/>
      <c r="D42" s="256"/>
      <c r="E42" s="257">
        <f>AVERAGE(J19:J34)</f>
        <v>0.14741107277049306</v>
      </c>
      <c r="F42" s="257">
        <f>MIN(J19:J34)</f>
        <v>9.9000000000000005E-2</v>
      </c>
      <c r="G42" s="257">
        <f>MAX(J19:J34)</f>
        <v>0.20044444444444445</v>
      </c>
      <c r="H42" s="65"/>
      <c r="I42" s="65"/>
      <c r="J42" s="65"/>
      <c r="K42" s="65"/>
      <c r="L42" s="65"/>
      <c r="M42" s="135"/>
      <c r="N42" s="42"/>
      <c r="O42" s="42"/>
      <c r="P42" s="42"/>
      <c r="Q42" s="42"/>
      <c r="R42" s="42"/>
      <c r="S42" s="46"/>
    </row>
    <row r="43" spans="1:24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135"/>
      <c r="N43" s="42"/>
      <c r="O43" s="42"/>
      <c r="P43" s="42"/>
      <c r="Q43" s="42"/>
      <c r="R43" s="42"/>
      <c r="S43" s="46"/>
    </row>
    <row r="44" spans="1:24" ht="15.75" thickBot="1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137"/>
      <c r="N44" s="138"/>
      <c r="O44" s="138"/>
      <c r="P44" s="138"/>
      <c r="Q44" s="138"/>
      <c r="R44" s="138"/>
      <c r="S44" s="139"/>
    </row>
    <row r="45" spans="1:24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24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24" ht="15.75" thickBot="1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M47" s="65"/>
      <c r="N47" s="65"/>
      <c r="O47" s="65"/>
      <c r="P47" s="65"/>
      <c r="Q47" s="65"/>
      <c r="R47" s="65"/>
    </row>
    <row r="48" spans="1:24" ht="16.5" thickBot="1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27" t="s">
        <v>294</v>
      </c>
      <c r="M48" s="309" t="s">
        <v>298</v>
      </c>
      <c r="N48" s="309" t="s">
        <v>299</v>
      </c>
      <c r="O48" s="309" t="s">
        <v>300</v>
      </c>
      <c r="P48" s="237" t="s">
        <v>301</v>
      </c>
      <c r="Q48" s="237" t="s">
        <v>302</v>
      </c>
      <c r="R48" s="237" t="s">
        <v>303</v>
      </c>
      <c r="S48" s="237" t="s">
        <v>304</v>
      </c>
      <c r="T48" s="237" t="s">
        <v>305</v>
      </c>
      <c r="U48" s="237" t="s">
        <v>306</v>
      </c>
      <c r="V48" s="237" t="s">
        <v>307</v>
      </c>
      <c r="W48" s="237" t="s">
        <v>308</v>
      </c>
      <c r="X48" s="309" t="s">
        <v>309</v>
      </c>
    </row>
    <row r="49" spans="1:27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391">
        <v>0</v>
      </c>
      <c r="N49" s="391">
        <v>1</v>
      </c>
      <c r="O49" s="391">
        <v>1</v>
      </c>
      <c r="P49" s="388">
        <v>1</v>
      </c>
      <c r="Q49" s="388">
        <v>1</v>
      </c>
      <c r="R49" s="388">
        <v>1</v>
      </c>
      <c r="S49" s="388">
        <v>1</v>
      </c>
      <c r="T49" s="388">
        <v>0</v>
      </c>
      <c r="U49" s="388">
        <v>1</v>
      </c>
      <c r="V49" s="388">
        <v>0</v>
      </c>
      <c r="W49" s="388">
        <v>1</v>
      </c>
      <c r="X49" s="388">
        <v>1</v>
      </c>
    </row>
    <row r="50" spans="1:27">
      <c r="M50">
        <v>53</v>
      </c>
      <c r="N50">
        <v>158</v>
      </c>
      <c r="O50">
        <v>70</v>
      </c>
      <c r="P50">
        <v>273</v>
      </c>
      <c r="Q50">
        <v>194</v>
      </c>
      <c r="R50">
        <v>158</v>
      </c>
      <c r="S50">
        <v>361</v>
      </c>
      <c r="T50">
        <v>246</v>
      </c>
      <c r="U50">
        <v>334</v>
      </c>
      <c r="V50">
        <v>88</v>
      </c>
      <c r="W50">
        <v>229</v>
      </c>
      <c r="X50">
        <v>299</v>
      </c>
    </row>
    <row r="51" spans="1:27" ht="15.75" thickBot="1"/>
    <row r="52" spans="1:27" ht="30.75" thickBot="1">
      <c r="L52" s="385" t="s">
        <v>295</v>
      </c>
      <c r="M52" s="386">
        <f>SUMPRODUCT(M49:X49,M50:X50)</f>
        <v>2076</v>
      </c>
    </row>
    <row r="53" spans="1:27" ht="15.75" thickBot="1"/>
    <row r="54" spans="1:27" ht="15.75" thickBot="1">
      <c r="L54" s="26" t="s">
        <v>296</v>
      </c>
      <c r="M54" s="42"/>
      <c r="N54" s="42"/>
      <c r="O54" s="42"/>
      <c r="Y54" s="308" t="s">
        <v>199</v>
      </c>
      <c r="Z54" s="308" t="s">
        <v>200</v>
      </c>
      <c r="AA54" s="308" t="s">
        <v>201</v>
      </c>
    </row>
    <row r="55" spans="1:27">
      <c r="L55" s="387" t="s">
        <v>297</v>
      </c>
      <c r="M55" s="308">
        <v>1</v>
      </c>
      <c r="N55" s="308">
        <v>1</v>
      </c>
      <c r="O55" s="308">
        <v>1</v>
      </c>
      <c r="P55" s="5"/>
      <c r="Q55" s="5"/>
      <c r="R55" s="5"/>
      <c r="S55" s="5"/>
      <c r="T55" s="5"/>
      <c r="U55" s="5"/>
      <c r="V55" s="5"/>
      <c r="W55" s="5"/>
      <c r="X55" s="5"/>
      <c r="Y55" s="308"/>
      <c r="Z55" s="308" t="s">
        <v>206</v>
      </c>
      <c r="AA55" s="308">
        <v>10000</v>
      </c>
    </row>
    <row r="56" spans="1:27">
      <c r="L56" s="306"/>
      <c r="M56" s="308"/>
      <c r="N56" s="308"/>
      <c r="O56" s="308"/>
      <c r="P56" s="5"/>
      <c r="Q56" s="5"/>
      <c r="R56" s="5"/>
      <c r="S56" s="5"/>
      <c r="T56" s="5"/>
      <c r="U56" s="5"/>
      <c r="V56" s="5"/>
      <c r="W56" s="5"/>
      <c r="X56" s="5"/>
      <c r="Y56" s="308"/>
      <c r="Z56" s="308" t="s">
        <v>206</v>
      </c>
      <c r="AA56" s="308">
        <v>4000</v>
      </c>
    </row>
    <row r="57" spans="1:27">
      <c r="L57" s="308"/>
      <c r="M57" s="308"/>
      <c r="N57" s="308"/>
      <c r="O57" s="308"/>
      <c r="P57" s="5"/>
      <c r="Q57" s="5"/>
      <c r="R57" s="5"/>
      <c r="S57" s="5"/>
      <c r="T57" s="5"/>
      <c r="U57" s="5"/>
      <c r="V57" s="5"/>
      <c r="W57" s="5"/>
      <c r="X57" s="5"/>
      <c r="Y57" s="308"/>
      <c r="Z57" s="308"/>
      <c r="AA57" s="308"/>
    </row>
    <row r="58" spans="1:27">
      <c r="L58" s="307"/>
      <c r="M58" s="307"/>
      <c r="N58" s="307"/>
      <c r="O58" s="307"/>
      <c r="P58" s="307"/>
      <c r="Q58" s="307"/>
      <c r="R58" s="307"/>
    </row>
    <row r="59" spans="1:27" ht="15.75" thickBot="1"/>
    <row r="60" spans="1:27" ht="15.75" thickBot="1">
      <c r="L60" s="392" t="s">
        <v>310</v>
      </c>
    </row>
    <row r="61" spans="1:27" ht="15.75" thickBot="1"/>
    <row r="62" spans="1:27" ht="15.75">
      <c r="L62" s="384" t="s">
        <v>294</v>
      </c>
      <c r="M62" s="389" t="s">
        <v>311</v>
      </c>
      <c r="N62" s="389" t="s">
        <v>312</v>
      </c>
      <c r="O62" s="389" t="s">
        <v>313</v>
      </c>
      <c r="P62" s="389" t="s">
        <v>314</v>
      </c>
      <c r="Q62" s="389" t="s">
        <v>315</v>
      </c>
      <c r="R62" s="389" t="s">
        <v>316</v>
      </c>
      <c r="S62" s="389" t="s">
        <v>317</v>
      </c>
      <c r="T62" s="390" t="s">
        <v>318</v>
      </c>
      <c r="U62" s="393"/>
      <c r="V62" s="393"/>
      <c r="W62" s="393"/>
      <c r="X62" s="393"/>
    </row>
    <row r="63" spans="1:27">
      <c r="L63" s="397" t="s">
        <v>319</v>
      </c>
      <c r="M63" s="398">
        <v>1</v>
      </c>
      <c r="N63" s="399">
        <v>1</v>
      </c>
      <c r="O63" s="399">
        <v>1</v>
      </c>
      <c r="P63" s="399">
        <v>1</v>
      </c>
      <c r="Q63" s="399">
        <v>1</v>
      </c>
      <c r="R63" s="399">
        <v>0</v>
      </c>
      <c r="S63" s="399">
        <v>0</v>
      </c>
      <c r="T63" s="399">
        <v>0</v>
      </c>
      <c r="U63" s="395"/>
      <c r="V63" s="395"/>
      <c r="W63" s="395"/>
      <c r="X63" s="395"/>
    </row>
    <row r="64" spans="1:27">
      <c r="L64" s="3" t="s">
        <v>299</v>
      </c>
      <c r="M64" s="304">
        <v>1</v>
      </c>
      <c r="N64" s="304">
        <v>1</v>
      </c>
      <c r="O64" s="304">
        <v>1</v>
      </c>
      <c r="P64" s="304">
        <v>1</v>
      </c>
      <c r="Q64" s="304">
        <v>0</v>
      </c>
      <c r="R64" s="304">
        <v>1</v>
      </c>
      <c r="S64" s="304">
        <v>0</v>
      </c>
      <c r="T64" s="304">
        <v>1</v>
      </c>
      <c r="U64" s="394"/>
      <c r="V64" s="394"/>
      <c r="W64" s="394"/>
      <c r="X64" s="394"/>
    </row>
    <row r="65" spans="12:20">
      <c r="L65" s="397" t="s">
        <v>300</v>
      </c>
      <c r="M65" s="400">
        <v>1</v>
      </c>
      <c r="N65" s="304">
        <v>0</v>
      </c>
      <c r="O65" s="304">
        <v>0</v>
      </c>
      <c r="P65" s="304">
        <v>1</v>
      </c>
      <c r="Q65" s="304">
        <v>1</v>
      </c>
      <c r="R65" s="304">
        <v>1</v>
      </c>
      <c r="S65" s="304">
        <v>0</v>
      </c>
      <c r="T65" s="304">
        <v>1</v>
      </c>
    </row>
    <row r="66" spans="12:20">
      <c r="L66" s="3" t="s">
        <v>301</v>
      </c>
      <c r="M66" s="304">
        <v>0</v>
      </c>
      <c r="N66" s="304">
        <v>1</v>
      </c>
      <c r="O66" s="304">
        <v>0</v>
      </c>
      <c r="P66" s="304">
        <v>0</v>
      </c>
      <c r="Q66" s="304">
        <v>1</v>
      </c>
      <c r="R66" s="304">
        <v>1</v>
      </c>
      <c r="S66" s="304">
        <v>1</v>
      </c>
      <c r="T66" s="304">
        <v>1</v>
      </c>
    </row>
    <row r="67" spans="12:20">
      <c r="L67" s="397" t="s">
        <v>302</v>
      </c>
      <c r="M67" s="400">
        <v>1</v>
      </c>
      <c r="N67" s="304">
        <v>1</v>
      </c>
      <c r="O67" s="304">
        <v>1</v>
      </c>
      <c r="P67" s="304">
        <v>1</v>
      </c>
      <c r="Q67" s="304">
        <v>1</v>
      </c>
      <c r="R67" s="304">
        <v>1</v>
      </c>
      <c r="S67" s="304">
        <v>1</v>
      </c>
      <c r="T67" s="304">
        <v>0</v>
      </c>
    </row>
    <row r="68" spans="12:20">
      <c r="L68" s="3" t="s">
        <v>303</v>
      </c>
      <c r="M68" s="304">
        <v>1</v>
      </c>
      <c r="N68" s="304">
        <v>1</v>
      </c>
      <c r="O68" s="304">
        <v>1</v>
      </c>
      <c r="P68" s="304">
        <v>1</v>
      </c>
      <c r="Q68" s="304">
        <v>1</v>
      </c>
      <c r="R68" s="304">
        <v>1</v>
      </c>
      <c r="S68" s="304">
        <v>1</v>
      </c>
      <c r="T68" s="304">
        <v>1</v>
      </c>
    </row>
    <row r="69" spans="12:20">
      <c r="L69" s="397" t="s">
        <v>304</v>
      </c>
      <c r="M69" s="400">
        <v>1</v>
      </c>
      <c r="N69" s="304">
        <v>1</v>
      </c>
      <c r="O69" s="304">
        <v>1</v>
      </c>
      <c r="P69" s="304">
        <v>1</v>
      </c>
      <c r="Q69" s="304">
        <v>1</v>
      </c>
      <c r="R69" s="304">
        <v>1</v>
      </c>
      <c r="S69" s="304">
        <v>0</v>
      </c>
      <c r="T69" s="304">
        <v>1</v>
      </c>
    </row>
    <row r="70" spans="12:20">
      <c r="L70" s="3" t="s">
        <v>305</v>
      </c>
      <c r="M70" s="304">
        <v>1</v>
      </c>
      <c r="N70" s="304">
        <v>1</v>
      </c>
      <c r="O70" s="304">
        <v>1</v>
      </c>
      <c r="P70" s="304">
        <v>1</v>
      </c>
      <c r="Q70" s="304">
        <v>0</v>
      </c>
      <c r="R70" s="304">
        <v>1</v>
      </c>
      <c r="S70" s="304">
        <v>1</v>
      </c>
      <c r="T70" s="304">
        <v>0</v>
      </c>
    </row>
    <row r="71" spans="12:20">
      <c r="L71" s="397" t="s">
        <v>306</v>
      </c>
      <c r="M71" s="400">
        <v>1</v>
      </c>
      <c r="N71" s="304">
        <v>1</v>
      </c>
      <c r="O71" s="304">
        <v>1</v>
      </c>
      <c r="P71" s="304">
        <v>1</v>
      </c>
      <c r="Q71" s="304">
        <v>0</v>
      </c>
      <c r="R71" s="304">
        <v>0</v>
      </c>
      <c r="S71" s="304">
        <v>0</v>
      </c>
      <c r="T71" s="304">
        <v>1</v>
      </c>
    </row>
    <row r="72" spans="12:20">
      <c r="L72" s="3" t="s">
        <v>307</v>
      </c>
      <c r="M72" s="304">
        <v>1</v>
      </c>
      <c r="N72" s="304">
        <v>1</v>
      </c>
      <c r="O72" s="304">
        <v>1</v>
      </c>
      <c r="P72" s="304">
        <v>1</v>
      </c>
      <c r="Q72" s="304">
        <v>0</v>
      </c>
      <c r="R72" s="304">
        <v>1</v>
      </c>
      <c r="S72" s="304">
        <v>1</v>
      </c>
      <c r="T72" s="304">
        <v>1</v>
      </c>
    </row>
    <row r="73" spans="12:20">
      <c r="L73" s="397" t="s">
        <v>308</v>
      </c>
      <c r="M73" s="400">
        <v>1</v>
      </c>
      <c r="N73" s="304">
        <v>1</v>
      </c>
      <c r="O73" s="304">
        <v>1</v>
      </c>
      <c r="P73" s="304">
        <v>1</v>
      </c>
      <c r="Q73" s="304">
        <v>1</v>
      </c>
      <c r="R73" s="304">
        <v>1</v>
      </c>
      <c r="S73" s="304">
        <v>0</v>
      </c>
      <c r="T73" s="304">
        <v>1</v>
      </c>
    </row>
    <row r="74" spans="12:20">
      <c r="L74" s="3" t="s">
        <v>309</v>
      </c>
      <c r="M74" s="400">
        <v>0</v>
      </c>
      <c r="N74" s="304">
        <v>0</v>
      </c>
      <c r="O74" s="304">
        <v>0</v>
      </c>
      <c r="P74" s="304">
        <v>1</v>
      </c>
      <c r="Q74" s="304">
        <v>1</v>
      </c>
      <c r="R74" s="304">
        <v>0</v>
      </c>
      <c r="S74" s="304">
        <v>1</v>
      </c>
      <c r="T74" s="304">
        <v>1</v>
      </c>
    </row>
    <row r="76" spans="12:20">
      <c r="M76" s="396"/>
    </row>
    <row r="78" spans="12:20">
      <c r="M78" s="396"/>
    </row>
    <row r="80" spans="12:20">
      <c r="M80" s="396"/>
    </row>
    <row r="82" spans="13:13">
      <c r="M82" s="396"/>
    </row>
    <row r="84" spans="13:13">
      <c r="M84" s="396"/>
    </row>
    <row r="86" spans="13:13">
      <c r="M86" s="396"/>
    </row>
    <row r="88" spans="13:13">
      <c r="M88" s="396"/>
    </row>
    <row r="90" spans="13:13">
      <c r="M90" s="396"/>
    </row>
    <row r="92" spans="13:13">
      <c r="M92" s="396"/>
    </row>
    <row r="94" spans="13:13">
      <c r="M94" s="396"/>
    </row>
    <row r="261" spans="13:13">
      <c r="M261" s="396"/>
    </row>
    <row r="263" spans="13:13">
      <c r="M263" s="396"/>
    </row>
    <row r="265" spans="13:13">
      <c r="M265" s="396"/>
    </row>
    <row r="267" spans="13:13">
      <c r="M267" s="396"/>
    </row>
    <row r="269" spans="13:13">
      <c r="M269" s="396"/>
    </row>
    <row r="271" spans="13:13">
      <c r="M271" s="396"/>
    </row>
    <row r="273" spans="13:13">
      <c r="M273" s="396"/>
    </row>
    <row r="275" spans="13:13">
      <c r="M275" s="396"/>
    </row>
    <row r="277" spans="13:13">
      <c r="M277" s="396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5" priority="14" operator="equal">
      <formula>1</formula>
    </cfRule>
  </conditionalFormatting>
  <conditionalFormatting sqref="N10:N13">
    <cfRule type="cellIs" dxfId="14" priority="13" operator="lessThan">
      <formula>1</formula>
    </cfRule>
  </conditionalFormatting>
  <conditionalFormatting sqref="H26:H29 H32:H34">
    <cfRule type="cellIs" dxfId="13" priority="15" operator="equal">
      <formula>MIN($K$19:$K$29)</formula>
    </cfRule>
    <cfRule type="cellIs" dxfId="12" priority="16" operator="equal">
      <formula>MAX($K$19:$K$29)</formula>
    </cfRule>
  </conditionalFormatting>
  <conditionalFormatting sqref="D38:F38">
    <cfRule type="cellIs" dxfId="11" priority="11" operator="greaterThan">
      <formula>4000</formula>
    </cfRule>
    <cfRule type="cellIs" dxfId="10" priority="12" operator="lessThan">
      <formula>4000</formula>
    </cfRule>
  </conditionalFormatting>
  <conditionalFormatting sqref="N14">
    <cfRule type="cellIs" dxfId="9" priority="9" operator="lessThan">
      <formula>1</formula>
    </cfRule>
    <cfRule type="cellIs" dxfId="8" priority="10" operator="greaterThan">
      <formula>0</formula>
    </cfRule>
  </conditionalFormatting>
  <conditionalFormatting sqref="M20:N20">
    <cfRule type="cellIs" dxfId="7" priority="7" operator="lessThan">
      <formula>1</formula>
    </cfRule>
    <cfRule type="cellIs" dxfId="6" priority="8" operator="equal">
      <formula>1</formula>
    </cfRule>
  </conditionalFormatting>
  <conditionalFormatting sqref="G38">
    <cfRule type="cellIs" dxfId="5" priority="5" operator="greaterThan">
      <formula>10000</formula>
    </cfRule>
    <cfRule type="cellIs" dxfId="4" priority="6" operator="lessThan">
      <formula>10000</formula>
    </cfRule>
  </conditionalFormatting>
  <conditionalFormatting sqref="M49:X49">
    <cfRule type="cellIs" dxfId="3" priority="3" operator="greaterThan">
      <formula>4000</formula>
    </cfRule>
    <cfRule type="cellIs" dxfId="2" priority="4" operator="lessThan">
      <formula>4000</formula>
    </cfRule>
  </conditionalFormatting>
  <conditionalFormatting sqref="N63:X63">
    <cfRule type="cellIs" dxfId="1" priority="1" operator="greaterThan">
      <formula>4000</formula>
    </cfRule>
    <cfRule type="cellIs" dxfId="0" priority="2" operator="lessThan">
      <formula>4000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D12" sqref="D12:F12"/>
    </sheetView>
  </sheetViews>
  <sheetFormatPr baseColWidth="10" defaultRowHeight="15"/>
  <cols>
    <col min="1" max="1" width="20.28515625" customWidth="1"/>
    <col min="2" max="2" width="15.140625" bestFit="1" customWidth="1"/>
    <col min="3" max="3" width="12.42578125" bestFit="1" customWidth="1"/>
    <col min="4" max="4" width="13.28515625" customWidth="1"/>
    <col min="7" max="7" width="31.140625" customWidth="1"/>
  </cols>
  <sheetData>
    <row r="1" spans="1:7" s="65" customFormat="1" ht="23.25" customHeight="1">
      <c r="A1" s="333" t="s">
        <v>216</v>
      </c>
      <c r="B1" s="333"/>
      <c r="C1" s="333"/>
      <c r="D1" s="333"/>
      <c r="E1" s="65" t="s">
        <v>217</v>
      </c>
    </row>
    <row r="2" spans="1:7" s="65" customFormat="1" ht="15.75" customHeight="1">
      <c r="A2" s="260"/>
      <c r="B2" s="260"/>
      <c r="C2" s="260"/>
      <c r="D2" s="260"/>
    </row>
    <row r="3" spans="1:7">
      <c r="B3" t="s">
        <v>193</v>
      </c>
      <c r="C3" s="65" t="s">
        <v>194</v>
      </c>
    </row>
    <row r="4" spans="1:7">
      <c r="A4" t="s">
        <v>192</v>
      </c>
      <c r="B4" s="269">
        <v>175</v>
      </c>
      <c r="C4" s="269">
        <v>10.000000000000007</v>
      </c>
      <c r="D4" t="s">
        <v>195</v>
      </c>
    </row>
    <row r="5" spans="1:7">
      <c r="B5" s="267">
        <v>3000</v>
      </c>
      <c r="C5" s="267">
        <v>7000</v>
      </c>
      <c r="G5" s="262" t="s">
        <v>213</v>
      </c>
    </row>
    <row r="6" spans="1:7" ht="15.75" thickBot="1">
      <c r="A6" t="s">
        <v>197</v>
      </c>
      <c r="G6" s="262" t="s">
        <v>214</v>
      </c>
    </row>
    <row r="7" spans="1:7" ht="15.75" thickBot="1">
      <c r="A7" s="271" t="s">
        <v>203</v>
      </c>
      <c r="B7" s="272">
        <f>SUMPRODUCT(B4:C4,B5:C5)</f>
        <v>595000</v>
      </c>
      <c r="G7" s="262" t="s">
        <v>215</v>
      </c>
    </row>
    <row r="10" spans="1:7">
      <c r="D10" s="65"/>
      <c r="E10" s="65"/>
    </row>
    <row r="11" spans="1:7">
      <c r="D11" s="65"/>
      <c r="E11" s="65"/>
    </row>
    <row r="12" spans="1:7" ht="14.25" customHeight="1">
      <c r="A12" s="5" t="s">
        <v>198</v>
      </c>
      <c r="B12" s="5"/>
      <c r="C12" s="5"/>
      <c r="D12" s="259" t="s">
        <v>199</v>
      </c>
      <c r="E12" s="259" t="s">
        <v>200</v>
      </c>
      <c r="F12" s="259" t="s">
        <v>201</v>
      </c>
      <c r="G12" s="268" t="s">
        <v>202</v>
      </c>
    </row>
    <row r="13" spans="1:7">
      <c r="A13" s="5" t="s">
        <v>205</v>
      </c>
      <c r="B13" s="259">
        <v>200</v>
      </c>
      <c r="C13" s="259">
        <v>500</v>
      </c>
      <c r="D13" s="259">
        <f>SUMPRODUCT($B$4:$C$4,B13:C13)</f>
        <v>40000</v>
      </c>
      <c r="E13" s="259" t="s">
        <v>206</v>
      </c>
      <c r="F13" s="270">
        <f>C20</f>
        <v>40000</v>
      </c>
      <c r="G13" s="42" t="str">
        <f ca="1">_xlfn.FORMULATEXT(D13)</f>
        <v>=SUMAPRODUCTO($B$4:$C$4;B13:C13)</v>
      </c>
    </row>
    <row r="14" spans="1:7">
      <c r="A14" s="5" t="s">
        <v>207</v>
      </c>
      <c r="B14" s="259">
        <v>1</v>
      </c>
      <c r="C14" s="259"/>
      <c r="D14" s="259">
        <f t="shared" ref="D14:D16" si="0">SUMPRODUCT($B$4:$C$4,B14:C14)</f>
        <v>175</v>
      </c>
      <c r="E14" s="259" t="s">
        <v>204</v>
      </c>
      <c r="F14" s="259">
        <v>10</v>
      </c>
      <c r="G14" s="42" t="str">
        <f t="shared" ref="G14:G15" ca="1" si="1">_xlfn.FORMULATEXT(D14)</f>
        <v>=SUMAPRODUCTO($B$4:$C$4;B14:C14)</v>
      </c>
    </row>
    <row r="15" spans="1:7">
      <c r="A15" s="5" t="s">
        <v>208</v>
      </c>
      <c r="B15" s="259"/>
      <c r="C15" s="259">
        <v>1</v>
      </c>
      <c r="D15" s="259">
        <f t="shared" si="0"/>
        <v>10.000000000000007</v>
      </c>
      <c r="E15" s="259" t="s">
        <v>204</v>
      </c>
      <c r="F15" s="259">
        <v>10</v>
      </c>
      <c r="G15" s="42" t="str">
        <f t="shared" ca="1" si="1"/>
        <v>=SUMAPRODUCTO($B$4:$C$4;B15:C15)</v>
      </c>
    </row>
    <row r="16" spans="1:7">
      <c r="A16" s="5" t="s">
        <v>209</v>
      </c>
      <c r="B16" s="259">
        <v>1</v>
      </c>
      <c r="C16" s="259">
        <v>-1</v>
      </c>
      <c r="D16" s="259">
        <f t="shared" si="0"/>
        <v>165</v>
      </c>
      <c r="E16" s="259" t="s">
        <v>204</v>
      </c>
      <c r="F16" s="259">
        <v>0</v>
      </c>
      <c r="G16" s="42"/>
    </row>
    <row r="18" spans="1:6" ht="15.75">
      <c r="A18" s="7" t="s">
        <v>183</v>
      </c>
    </row>
    <row r="20" spans="1:6">
      <c r="A20" s="373" t="s">
        <v>185</v>
      </c>
      <c r="B20" s="373"/>
      <c r="C20" s="261">
        <v>40000</v>
      </c>
    </row>
    <row r="21" spans="1:6">
      <c r="A21" s="373" t="s">
        <v>187</v>
      </c>
      <c r="B21" s="373"/>
      <c r="C21" s="12">
        <v>200</v>
      </c>
      <c r="D21" t="s">
        <v>188</v>
      </c>
      <c r="E21" s="86">
        <v>3000</v>
      </c>
      <c r="F21" t="s">
        <v>189</v>
      </c>
    </row>
    <row r="22" spans="1:6">
      <c r="A22" s="373" t="s">
        <v>186</v>
      </c>
      <c r="B22" s="373"/>
      <c r="C22" s="12">
        <v>500</v>
      </c>
      <c r="D22" t="s">
        <v>188</v>
      </c>
      <c r="E22" s="86">
        <v>7000</v>
      </c>
      <c r="F22" s="65" t="s">
        <v>189</v>
      </c>
    </row>
    <row r="23" spans="1:6">
      <c r="A23" s="373" t="s">
        <v>190</v>
      </c>
      <c r="B23" s="373"/>
      <c r="C23" s="373"/>
      <c r="D23" s="373"/>
      <c r="E23" s="373"/>
      <c r="F23" s="12">
        <f>200*10+500*10</f>
        <v>7000</v>
      </c>
    </row>
    <row r="24" spans="1:6">
      <c r="A24" s="373" t="s">
        <v>210</v>
      </c>
      <c r="B24" s="373"/>
      <c r="C24" s="373"/>
      <c r="D24" s="373"/>
    </row>
    <row r="26" spans="1:6">
      <c r="A26" s="374" t="s">
        <v>191</v>
      </c>
      <c r="B26" s="374"/>
      <c r="C26" s="374"/>
      <c r="D26" s="374"/>
      <c r="E26" s="374"/>
      <c r="F26" s="374"/>
    </row>
    <row r="28" spans="1:6">
      <c r="A28" t="s">
        <v>211</v>
      </c>
    </row>
    <row r="29" spans="1:6">
      <c r="A29" t="s">
        <v>212</v>
      </c>
    </row>
  </sheetData>
  <mergeCells count="7">
    <mergeCell ref="A1:D1"/>
    <mergeCell ref="A20:B20"/>
    <mergeCell ref="A21:B21"/>
    <mergeCell ref="A22:B22"/>
    <mergeCell ref="A26:F26"/>
    <mergeCell ref="A23:E23"/>
    <mergeCell ref="A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8" sqref="E18"/>
    </sheetView>
  </sheetViews>
  <sheetFormatPr baseColWidth="10" defaultRowHeight="15"/>
  <cols>
    <col min="1" max="1" width="14.85546875" customWidth="1"/>
  </cols>
  <sheetData>
    <row r="1" spans="1:7">
      <c r="A1" s="65"/>
      <c r="B1" s="273" t="s">
        <v>218</v>
      </c>
      <c r="C1" s="273" t="s">
        <v>219</v>
      </c>
      <c r="D1" s="65"/>
      <c r="E1" s="65"/>
      <c r="F1" s="65"/>
      <c r="G1" s="65"/>
    </row>
    <row r="2" spans="1:7">
      <c r="A2" s="65" t="s">
        <v>192</v>
      </c>
      <c r="B2" s="269">
        <v>37</v>
      </c>
      <c r="C2" s="269">
        <v>60</v>
      </c>
      <c r="D2" s="65" t="s">
        <v>195</v>
      </c>
      <c r="E2" s="65"/>
      <c r="F2" s="65"/>
      <c r="G2" s="65"/>
    </row>
    <row r="3" spans="1:7">
      <c r="A3" s="65"/>
      <c r="B3" s="267">
        <v>5</v>
      </c>
      <c r="C3" s="267">
        <v>6</v>
      </c>
      <c r="D3" s="65"/>
      <c r="E3" s="65"/>
      <c r="F3" s="262" t="s">
        <v>213</v>
      </c>
      <c r="G3" s="65"/>
    </row>
    <row r="4" spans="1:7">
      <c r="C4" s="65"/>
      <c r="D4" s="65"/>
      <c r="E4" s="65"/>
      <c r="F4" s="262" t="s">
        <v>214</v>
      </c>
    </row>
    <row r="5" spans="1:7" ht="15.75" thickBot="1">
      <c r="A5" s="65" t="s">
        <v>197</v>
      </c>
      <c r="B5" s="65"/>
      <c r="C5" s="65"/>
      <c r="D5" s="65"/>
      <c r="E5" s="65"/>
      <c r="F5" s="262" t="s">
        <v>224</v>
      </c>
    </row>
    <row r="6" spans="1:7" ht="15.75" thickBot="1">
      <c r="A6" s="271" t="s">
        <v>220</v>
      </c>
      <c r="B6" s="274">
        <f>SUMPRODUCT(B2:C2,B3:C3)</f>
        <v>545</v>
      </c>
      <c r="F6" s="65"/>
    </row>
    <row r="8" spans="1:7">
      <c r="A8" s="275" t="s">
        <v>221</v>
      </c>
      <c r="B8" s="259"/>
      <c r="C8" s="259"/>
      <c r="D8" s="258" t="s">
        <v>199</v>
      </c>
      <c r="E8" s="258" t="s">
        <v>200</v>
      </c>
      <c r="F8" s="258" t="s">
        <v>201</v>
      </c>
    </row>
    <row r="9" spans="1:7">
      <c r="A9" s="5" t="s">
        <v>222</v>
      </c>
      <c r="B9" s="259">
        <v>2</v>
      </c>
      <c r="C9" s="259">
        <v>1</v>
      </c>
      <c r="D9" s="259">
        <f>SUMPRODUCT($B$2:$C$2,B9:C9)</f>
        <v>134</v>
      </c>
      <c r="E9" s="259" t="s">
        <v>206</v>
      </c>
      <c r="F9" s="259">
        <v>120</v>
      </c>
      <c r="G9" t="str">
        <f ca="1">_xlfn.FORMULATEXT(D9)</f>
        <v>=SUMAPRODUCTO($B$2:$C$2;B9:C9)</v>
      </c>
    </row>
    <row r="10" spans="1:7">
      <c r="A10" s="276" t="s">
        <v>223</v>
      </c>
      <c r="B10" s="259">
        <v>2</v>
      </c>
      <c r="C10" s="259">
        <v>3</v>
      </c>
      <c r="D10" s="259">
        <f>SUMPRODUCT($B$2:$C$2,B10:C10)</f>
        <v>254</v>
      </c>
      <c r="E10" s="259" t="s">
        <v>206</v>
      </c>
      <c r="F10" s="259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4" sqref="A14:F18"/>
    </sheetView>
  </sheetViews>
  <sheetFormatPr baseColWidth="10" defaultRowHeight="15"/>
  <cols>
    <col min="1" max="1" width="23.7109375" customWidth="1"/>
    <col min="4" max="4" width="12.28515625" bestFit="1" customWidth="1"/>
  </cols>
  <sheetData>
    <row r="1" spans="1:7" ht="30">
      <c r="A1" s="65"/>
      <c r="B1" s="280" t="s">
        <v>231</v>
      </c>
      <c r="C1" s="280" t="s">
        <v>227</v>
      </c>
      <c r="D1" s="65"/>
      <c r="E1" s="65"/>
      <c r="F1" s="65"/>
    </row>
    <row r="2" spans="1:7">
      <c r="A2" s="65" t="s">
        <v>192</v>
      </c>
      <c r="B2" s="269">
        <v>560</v>
      </c>
      <c r="C2" s="269">
        <v>1200</v>
      </c>
      <c r="D2" s="266" t="s">
        <v>195</v>
      </c>
      <c r="E2" s="65"/>
      <c r="F2" s="65"/>
    </row>
    <row r="3" spans="1:7">
      <c r="A3" s="65"/>
      <c r="B3" s="267"/>
      <c r="C3" s="267"/>
      <c r="D3" s="267"/>
      <c r="E3" s="65"/>
      <c r="F3" s="262" t="s">
        <v>213</v>
      </c>
    </row>
    <row r="4" spans="1:7" ht="15.75" thickBot="1">
      <c r="A4" s="65" t="s">
        <v>197</v>
      </c>
      <c r="B4" s="267"/>
      <c r="C4" s="267"/>
      <c r="D4" s="267" t="s">
        <v>228</v>
      </c>
      <c r="E4" s="65"/>
      <c r="F4" s="262" t="s">
        <v>214</v>
      </c>
    </row>
    <row r="5" spans="1:7" ht="15.75" thickBot="1">
      <c r="A5" s="282" t="s">
        <v>229</v>
      </c>
      <c r="B5" s="281">
        <v>300</v>
      </c>
      <c r="C5" s="267">
        <v>450</v>
      </c>
      <c r="D5" s="286">
        <f>SUMPRODUCT(B2:C2,B5:C5)</f>
        <v>708000</v>
      </c>
      <c r="E5" s="65"/>
      <c r="F5" s="262" t="s">
        <v>224</v>
      </c>
    </row>
    <row r="6" spans="1:7" s="65" customFormat="1">
      <c r="A6" t="s">
        <v>230</v>
      </c>
      <c r="B6" s="281"/>
      <c r="C6" s="267"/>
      <c r="D6" s="267"/>
      <c r="F6" s="262"/>
    </row>
    <row r="7" spans="1:7">
      <c r="A7" t="s">
        <v>232</v>
      </c>
      <c r="B7" s="267">
        <v>150</v>
      </c>
      <c r="C7" s="267">
        <v>225</v>
      </c>
      <c r="D7" s="267">
        <f>B7*B2+C7*C2</f>
        <v>354000</v>
      </c>
      <c r="E7" s="65"/>
    </row>
    <row r="8" spans="1:7" s="65" customFormat="1">
      <c r="A8" s="65" t="s">
        <v>237</v>
      </c>
      <c r="B8" s="284">
        <f>5*F8</f>
        <v>55</v>
      </c>
      <c r="C8" s="284">
        <f>6*F8</f>
        <v>66</v>
      </c>
      <c r="D8" s="284">
        <f>B8+C8</f>
        <v>121</v>
      </c>
      <c r="F8" s="283">
        <v>11</v>
      </c>
      <c r="G8" s="65" t="s">
        <v>235</v>
      </c>
    </row>
    <row r="9" spans="1:7" s="65" customFormat="1" ht="15.75" thickBot="1">
      <c r="A9" s="65" t="s">
        <v>238</v>
      </c>
      <c r="B9" s="284">
        <f>1*F9</f>
        <v>15</v>
      </c>
      <c r="C9" s="284">
        <f>2*F9</f>
        <v>30</v>
      </c>
      <c r="D9" s="284">
        <f>B9+C9</f>
        <v>45</v>
      </c>
      <c r="F9" s="283">
        <v>15</v>
      </c>
      <c r="G9" s="65" t="s">
        <v>236</v>
      </c>
    </row>
    <row r="10" spans="1:7" s="65" customFormat="1" ht="15.75" thickBot="1">
      <c r="A10" s="85" t="s">
        <v>230</v>
      </c>
      <c r="B10" s="267"/>
      <c r="C10" s="267"/>
      <c r="D10" s="286">
        <f>SUM(D7:D9)</f>
        <v>354166</v>
      </c>
    </row>
    <row r="11" spans="1:7" s="65" customFormat="1" ht="15.75" thickBot="1">
      <c r="A11" s="375" t="s">
        <v>220</v>
      </c>
      <c r="B11" s="376"/>
      <c r="C11" s="377"/>
      <c r="D11" s="285">
        <f>D5-D10</f>
        <v>353834</v>
      </c>
    </row>
    <row r="12" spans="1:7">
      <c r="A12" s="65"/>
      <c r="B12" s="267"/>
      <c r="C12" s="267"/>
      <c r="D12" s="267"/>
      <c r="E12" s="65"/>
      <c r="F12" s="65"/>
    </row>
    <row r="14" spans="1:7">
      <c r="A14" s="275" t="s">
        <v>221</v>
      </c>
      <c r="B14" s="265"/>
      <c r="C14" s="265"/>
      <c r="D14" s="263" t="s">
        <v>199</v>
      </c>
      <c r="E14" s="263" t="s">
        <v>200</v>
      </c>
      <c r="F14" s="263" t="s">
        <v>201</v>
      </c>
    </row>
    <row r="15" spans="1:7">
      <c r="A15" s="5" t="s">
        <v>225</v>
      </c>
      <c r="B15" s="265">
        <v>1</v>
      </c>
      <c r="C15" s="265"/>
      <c r="D15" s="265">
        <f>SUMPRODUCT($B$2:$C$2,B15:C15)</f>
        <v>560</v>
      </c>
      <c r="E15" s="265" t="s">
        <v>206</v>
      </c>
      <c r="F15" s="265">
        <v>600</v>
      </c>
      <c r="G15" t="str">
        <f ca="1">_xlfn.FORMULATEXT(D15)</f>
        <v>=SUMAPRODUCTO($B$2:$C$2;B15:C15)</v>
      </c>
    </row>
    <row r="16" spans="1:7">
      <c r="A16" s="276" t="s">
        <v>226</v>
      </c>
      <c r="B16" s="265"/>
      <c r="C16" s="265">
        <v>1</v>
      </c>
      <c r="D16" s="265">
        <f>SUMPRODUCT($B$2:$C$2,B16:C16)</f>
        <v>1200</v>
      </c>
      <c r="E16" s="265" t="s">
        <v>206</v>
      </c>
      <c r="F16" s="265">
        <v>1200</v>
      </c>
      <c r="G16" s="65" t="str">
        <f ca="1">_xlfn.FORMULATEXT(D16)</f>
        <v>=SUMAPRODUCTO($B$2:$C$2;B16:C16)</v>
      </c>
    </row>
    <row r="17" spans="1:8">
      <c r="A17" s="5" t="s">
        <v>233</v>
      </c>
      <c r="B17" s="265">
        <v>5</v>
      </c>
      <c r="C17" s="265">
        <v>6</v>
      </c>
      <c r="D17" s="265">
        <f t="shared" ref="D17:D18" si="0">SUMPRODUCT($B$2:$C$2,B17:C17)</f>
        <v>10000</v>
      </c>
      <c r="E17" s="265" t="s">
        <v>206</v>
      </c>
      <c r="F17" s="265">
        <v>10000</v>
      </c>
    </row>
    <row r="18" spans="1:8">
      <c r="A18" s="5" t="s">
        <v>234</v>
      </c>
      <c r="B18" s="265">
        <v>1</v>
      </c>
      <c r="C18" s="265">
        <v>2</v>
      </c>
      <c r="D18" s="265">
        <f t="shared" si="0"/>
        <v>2960</v>
      </c>
      <c r="E18" s="265" t="s">
        <v>206</v>
      </c>
      <c r="F18" s="265">
        <v>3000</v>
      </c>
      <c r="H18" s="168"/>
    </row>
    <row r="19" spans="1:8">
      <c r="A19" s="42"/>
      <c r="B19" s="264"/>
      <c r="C19" s="264"/>
      <c r="D19" s="264"/>
      <c r="E19" s="264"/>
      <c r="F19" s="264"/>
    </row>
  </sheetData>
  <mergeCells count="1">
    <mergeCell ref="A11:C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69" zoomScaleNormal="69" workbookViewId="0">
      <selection activeCell="A11" sqref="A11:I15"/>
    </sheetView>
  </sheetViews>
  <sheetFormatPr baseColWidth="10" defaultRowHeight="15"/>
  <cols>
    <col min="1" max="1" width="24.85546875" customWidth="1"/>
    <col min="2" max="2" width="16.7109375" customWidth="1"/>
    <col min="3" max="3" width="13.42578125" customWidth="1"/>
    <col min="4" max="4" width="14.7109375" customWidth="1"/>
    <col min="11" max="11" width="14" customWidth="1"/>
  </cols>
  <sheetData>
    <row r="1" spans="1:11" ht="36" customHeight="1">
      <c r="A1" s="65"/>
      <c r="B1" s="299" t="s">
        <v>239</v>
      </c>
      <c r="C1" s="302" t="s">
        <v>242</v>
      </c>
      <c r="D1" s="301" t="s">
        <v>244</v>
      </c>
      <c r="E1" s="303" t="s">
        <v>243</v>
      </c>
      <c r="F1" s="300" t="s">
        <v>245</v>
      </c>
      <c r="K1" s="12"/>
    </row>
    <row r="2" spans="1:11">
      <c r="A2" s="65" t="s">
        <v>192</v>
      </c>
      <c r="B2" s="269">
        <v>50000</v>
      </c>
      <c r="C2" s="269">
        <v>0</v>
      </c>
      <c r="D2" s="269">
        <v>0</v>
      </c>
      <c r="E2" s="269">
        <v>100000</v>
      </c>
      <c r="F2" s="269">
        <v>100000</v>
      </c>
      <c r="G2" s="279" t="s">
        <v>195</v>
      </c>
    </row>
    <row r="3" spans="1:11">
      <c r="B3" s="292">
        <v>5.2999999999999999E-2</v>
      </c>
      <c r="C3" s="292">
        <v>6.8000000000000005E-2</v>
      </c>
      <c r="D3" s="292">
        <v>4.9000000000000002E-2</v>
      </c>
      <c r="E3" s="292">
        <v>8.4000000000000005E-2</v>
      </c>
      <c r="F3" s="292">
        <v>0.11799999999999999</v>
      </c>
    </row>
    <row r="4" spans="1:11">
      <c r="B4" s="267"/>
      <c r="C4" s="267"/>
      <c r="D4" s="267"/>
    </row>
    <row r="5" spans="1:11">
      <c r="A5" s="65" t="s">
        <v>197</v>
      </c>
      <c r="B5" s="281">
        <f>SUMPRODUCT(B2:F2,B3:F3)</f>
        <v>22850</v>
      </c>
      <c r="C5" s="267"/>
      <c r="D5" s="293"/>
    </row>
    <row r="6" spans="1:11">
      <c r="A6" s="65"/>
      <c r="B6" s="281"/>
      <c r="C6" s="267"/>
      <c r="D6" s="267"/>
    </row>
    <row r="7" spans="1:11">
      <c r="A7" s="65"/>
      <c r="B7" s="267"/>
      <c r="C7" s="267"/>
      <c r="D7" s="267"/>
    </row>
    <row r="8" spans="1:11">
      <c r="A8" s="65"/>
      <c r="B8" s="284"/>
      <c r="C8" s="284"/>
      <c r="D8" s="284"/>
    </row>
    <row r="9" spans="1:11">
      <c r="A9" s="65"/>
      <c r="B9" s="284"/>
      <c r="C9" s="284"/>
      <c r="D9" s="284"/>
    </row>
    <row r="10" spans="1:11">
      <c r="A10" s="294"/>
      <c r="B10" s="295"/>
      <c r="C10" s="295"/>
      <c r="D10" s="296"/>
    </row>
    <row r="11" spans="1:11">
      <c r="A11" s="275" t="s">
        <v>246</v>
      </c>
      <c r="B11" s="278"/>
      <c r="C11" s="278"/>
      <c r="D11" s="5"/>
      <c r="E11" s="5"/>
      <c r="F11" s="5"/>
      <c r="G11" s="277" t="s">
        <v>199</v>
      </c>
      <c r="H11" s="277" t="s">
        <v>200</v>
      </c>
      <c r="I11" s="277" t="s">
        <v>201</v>
      </c>
    </row>
    <row r="12" spans="1:11" s="65" customFormat="1">
      <c r="A12" s="297" t="s">
        <v>247</v>
      </c>
      <c r="B12" s="298">
        <v>1</v>
      </c>
      <c r="C12" s="298">
        <v>1</v>
      </c>
      <c r="D12" s="298">
        <v>1</v>
      </c>
      <c r="E12" s="298">
        <v>1</v>
      </c>
      <c r="F12" s="298">
        <v>1</v>
      </c>
      <c r="G12" s="298">
        <f>SUMPRODUCT($B$2:$F$2,B12:F12)</f>
        <v>250000</v>
      </c>
      <c r="H12" s="298" t="s">
        <v>206</v>
      </c>
      <c r="I12" s="298">
        <v>250000</v>
      </c>
    </row>
    <row r="13" spans="1:11">
      <c r="A13" s="5" t="s">
        <v>239</v>
      </c>
      <c r="B13" s="278">
        <v>1</v>
      </c>
      <c r="C13" s="278"/>
      <c r="D13" s="278"/>
      <c r="E13" s="278"/>
      <c r="F13" s="278"/>
      <c r="G13" s="298">
        <f>SUMPRODUCT($B$2:$F$2,B13:F13)</f>
        <v>50000</v>
      </c>
      <c r="H13" s="278" t="s">
        <v>204</v>
      </c>
      <c r="I13" s="278">
        <f>250000*0.2</f>
        <v>50000</v>
      </c>
    </row>
    <row r="14" spans="1:11">
      <c r="A14" s="276" t="s">
        <v>240</v>
      </c>
      <c r="B14" s="278"/>
      <c r="C14" s="278">
        <v>1</v>
      </c>
      <c r="D14" s="278">
        <v>1</v>
      </c>
      <c r="E14" s="278">
        <v>1</v>
      </c>
      <c r="F14" s="278"/>
      <c r="G14" s="298">
        <f>SUMPRODUCT($B$2:$F$2,B14:F14)</f>
        <v>100000</v>
      </c>
      <c r="H14" s="278" t="s">
        <v>204</v>
      </c>
      <c r="I14" s="278">
        <f>0.4*250000</f>
        <v>100000</v>
      </c>
    </row>
    <row r="15" spans="1:11">
      <c r="A15" s="5" t="s">
        <v>241</v>
      </c>
      <c r="B15" s="278"/>
      <c r="C15" s="278"/>
      <c r="D15" s="278"/>
      <c r="E15" s="278"/>
      <c r="F15" s="278">
        <v>1</v>
      </c>
      <c r="G15" s="298">
        <f>SUMPRODUCT($B$2:$F$2,B15:F15)</f>
        <v>100000</v>
      </c>
      <c r="H15" s="278" t="s">
        <v>206</v>
      </c>
      <c r="I15" s="278">
        <f>250000/2</f>
        <v>125000</v>
      </c>
    </row>
    <row r="16" spans="1:11">
      <c r="A16" s="5"/>
      <c r="B16" s="278"/>
      <c r="C16" s="278"/>
      <c r="D16" s="278"/>
      <c r="E16" s="278"/>
      <c r="F16" s="278"/>
      <c r="G16" s="278"/>
      <c r="H16" s="278"/>
      <c r="I16" s="278"/>
    </row>
    <row r="21" spans="5:9">
      <c r="E21" s="65"/>
      <c r="I21" s="65"/>
    </row>
    <row r="24" spans="5:9">
      <c r="G24" s="65"/>
    </row>
    <row r="25" spans="5:9">
      <c r="H25" s="65"/>
      <c r="I25" s="65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2" zoomScaleNormal="82" workbookViewId="0">
      <selection activeCell="Q13" sqref="Q13"/>
    </sheetView>
  </sheetViews>
  <sheetFormatPr baseColWidth="10" defaultRowHeight="15"/>
  <cols>
    <col min="1" max="1" width="18.85546875" customWidth="1"/>
  </cols>
  <sheetData>
    <row r="1" spans="1:19">
      <c r="A1" s="65"/>
      <c r="B1" s="310" t="s">
        <v>249</v>
      </c>
      <c r="C1" s="310" t="s">
        <v>250</v>
      </c>
      <c r="D1" s="310" t="s">
        <v>251</v>
      </c>
      <c r="E1" s="311" t="s">
        <v>256</v>
      </c>
      <c r="F1" s="311" t="s">
        <v>252</v>
      </c>
      <c r="G1" s="311" t="s">
        <v>253</v>
      </c>
      <c r="H1" s="311" t="s">
        <v>257</v>
      </c>
      <c r="I1" s="311" t="s">
        <v>259</v>
      </c>
      <c r="J1" s="311" t="s">
        <v>254</v>
      </c>
      <c r="K1" s="311" t="s">
        <v>260</v>
      </c>
      <c r="L1" s="311" t="s">
        <v>261</v>
      </c>
      <c r="M1" s="311" t="s">
        <v>255</v>
      </c>
      <c r="N1" s="311" t="s">
        <v>258</v>
      </c>
      <c r="O1" s="311" t="s">
        <v>262</v>
      </c>
      <c r="P1" s="311" t="s">
        <v>263</v>
      </c>
    </row>
    <row r="2" spans="1:19">
      <c r="A2" s="65" t="s">
        <v>264</v>
      </c>
      <c r="B2" s="269">
        <v>400</v>
      </c>
      <c r="C2" s="269">
        <v>0</v>
      </c>
      <c r="D2" s="269">
        <v>300</v>
      </c>
      <c r="E2" s="269">
        <v>500</v>
      </c>
      <c r="F2" s="269">
        <v>0</v>
      </c>
      <c r="G2" s="269">
        <v>0</v>
      </c>
      <c r="H2" s="269">
        <v>100</v>
      </c>
      <c r="I2" s="269">
        <v>0</v>
      </c>
      <c r="J2" s="269">
        <v>0</v>
      </c>
      <c r="K2" s="269">
        <v>800</v>
      </c>
      <c r="L2" s="269">
        <v>0</v>
      </c>
      <c r="M2" s="269">
        <v>0</v>
      </c>
      <c r="N2" s="269">
        <v>400</v>
      </c>
      <c r="O2" s="269">
        <v>0</v>
      </c>
      <c r="P2" s="269">
        <v>0</v>
      </c>
      <c r="Q2" s="290" t="s">
        <v>195</v>
      </c>
    </row>
    <row r="3" spans="1:19">
      <c r="A3" s="65"/>
      <c r="B3" s="314">
        <v>5</v>
      </c>
      <c r="C3" s="314">
        <v>8</v>
      </c>
      <c r="D3" s="315">
        <v>6</v>
      </c>
      <c r="E3" s="316">
        <v>0</v>
      </c>
      <c r="F3" s="316">
        <v>4</v>
      </c>
      <c r="G3" s="316">
        <v>12</v>
      </c>
      <c r="H3" s="316">
        <v>0</v>
      </c>
      <c r="I3" s="316">
        <v>4</v>
      </c>
      <c r="J3" s="316">
        <v>7</v>
      </c>
      <c r="K3" s="316">
        <v>2</v>
      </c>
      <c r="L3" s="316">
        <v>7</v>
      </c>
      <c r="M3" s="316">
        <v>5</v>
      </c>
      <c r="N3" s="316">
        <v>0</v>
      </c>
      <c r="O3" s="316">
        <v>12</v>
      </c>
      <c r="P3" s="316">
        <v>7</v>
      </c>
    </row>
    <row r="4" spans="1:19">
      <c r="A4" s="65"/>
      <c r="B4" s="267"/>
      <c r="C4" s="65"/>
      <c r="D4" s="65"/>
      <c r="E4" s="65"/>
      <c r="F4" s="65"/>
      <c r="G4" s="65"/>
    </row>
    <row r="5" spans="1:19" ht="31.5" customHeight="1">
      <c r="A5" s="291"/>
      <c r="B5" s="281"/>
      <c r="C5" s="65"/>
      <c r="D5" s="65"/>
      <c r="E5" s="65"/>
      <c r="F5" s="65"/>
      <c r="G5" s="65"/>
    </row>
    <row r="6" spans="1:19">
      <c r="A6" s="65"/>
      <c r="B6" s="281"/>
      <c r="C6" s="65"/>
      <c r="D6" s="65"/>
      <c r="E6" s="65"/>
      <c r="F6" s="65"/>
      <c r="G6" s="65"/>
    </row>
    <row r="7" spans="1:19">
      <c r="B7" s="267"/>
      <c r="C7" s="65"/>
      <c r="D7" s="65"/>
      <c r="E7" s="65"/>
      <c r="F7" s="65"/>
      <c r="G7" s="65"/>
    </row>
    <row r="8" spans="1:19" ht="30">
      <c r="A8" s="291" t="s">
        <v>248</v>
      </c>
      <c r="B8" s="317">
        <f>SUMPRODUCT(B2:P2,B3:P3)</f>
        <v>5400</v>
      </c>
      <c r="C8" s="65"/>
      <c r="D8" s="65"/>
      <c r="E8" s="65"/>
      <c r="F8" s="65"/>
      <c r="G8" s="65"/>
    </row>
    <row r="9" spans="1:19">
      <c r="A9" s="65"/>
      <c r="B9" s="284"/>
      <c r="C9" s="65"/>
      <c r="D9" s="65"/>
      <c r="E9" s="65"/>
      <c r="F9" s="65"/>
      <c r="G9" s="65"/>
      <c r="H9" s="168"/>
    </row>
    <row r="10" spans="1:19">
      <c r="A10" s="294"/>
      <c r="B10" s="295"/>
      <c r="C10" s="65"/>
      <c r="D10" s="65"/>
      <c r="E10" s="65"/>
      <c r="F10" s="65"/>
      <c r="G10" s="65"/>
    </row>
    <row r="11" spans="1:19">
      <c r="B11" s="288"/>
      <c r="C11" s="42"/>
      <c r="D11" s="42"/>
    </row>
    <row r="12" spans="1:19">
      <c r="A12" s="312" t="s">
        <v>246</v>
      </c>
      <c r="B12" s="288"/>
      <c r="C12" s="288"/>
      <c r="D12" s="288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13" t="s">
        <v>199</v>
      </c>
      <c r="R12" s="313" t="s">
        <v>200</v>
      </c>
      <c r="S12" s="313" t="s">
        <v>201</v>
      </c>
    </row>
    <row r="13" spans="1:19">
      <c r="A13" s="287" t="s">
        <v>265</v>
      </c>
      <c r="B13" s="289">
        <v>1</v>
      </c>
      <c r="C13" s="289">
        <v>1</v>
      </c>
      <c r="D13" s="289">
        <v>1</v>
      </c>
      <c r="E13" s="289"/>
      <c r="F13" s="289"/>
      <c r="G13" s="289"/>
      <c r="H13" s="5"/>
      <c r="I13" s="5"/>
      <c r="J13" s="5"/>
      <c r="K13" s="5"/>
      <c r="L13" s="5"/>
      <c r="M13" s="5"/>
      <c r="N13" s="5"/>
      <c r="O13" s="5"/>
      <c r="P13" s="5"/>
      <c r="Q13" s="289">
        <f>SUMPRODUCT($B$2:$P$2,B13:P13)</f>
        <v>700</v>
      </c>
      <c r="R13" s="289" t="s">
        <v>87</v>
      </c>
      <c r="S13" s="289">
        <v>700</v>
      </c>
    </row>
    <row r="14" spans="1:19">
      <c r="A14" s="287" t="s">
        <v>266</v>
      </c>
      <c r="B14" s="289"/>
      <c r="C14" s="289"/>
      <c r="D14" s="289"/>
      <c r="E14" s="289">
        <v>1</v>
      </c>
      <c r="F14" s="289">
        <v>1</v>
      </c>
      <c r="G14" s="289">
        <v>1</v>
      </c>
      <c r="H14" s="5"/>
      <c r="I14" s="5"/>
      <c r="J14" s="5"/>
      <c r="K14" s="5"/>
      <c r="L14" s="5"/>
      <c r="M14" s="5"/>
      <c r="N14" s="5"/>
      <c r="O14" s="5"/>
      <c r="P14" s="5"/>
      <c r="Q14" s="289">
        <f t="shared" ref="Q14:Q20" si="0">SUMPRODUCT($B$2:$P$2,B14:P14)</f>
        <v>500</v>
      </c>
      <c r="R14" s="289" t="s">
        <v>87</v>
      </c>
      <c r="S14" s="289">
        <v>500</v>
      </c>
    </row>
    <row r="15" spans="1:19">
      <c r="A15" s="287" t="s">
        <v>267</v>
      </c>
      <c r="B15" s="289"/>
      <c r="C15" s="289"/>
      <c r="D15" s="289"/>
      <c r="E15" s="289"/>
      <c r="F15" s="289"/>
      <c r="G15" s="289"/>
      <c r="H15" s="5">
        <v>1</v>
      </c>
      <c r="I15" s="5">
        <v>1</v>
      </c>
      <c r="J15" s="5">
        <v>1</v>
      </c>
      <c r="K15" s="5"/>
      <c r="L15" s="5"/>
      <c r="M15" s="5"/>
      <c r="N15" s="5"/>
      <c r="O15" s="5"/>
      <c r="P15" s="5"/>
      <c r="Q15" s="289">
        <f t="shared" si="0"/>
        <v>100</v>
      </c>
      <c r="R15" s="289" t="s">
        <v>87</v>
      </c>
      <c r="S15" s="289">
        <v>100</v>
      </c>
    </row>
    <row r="16" spans="1:19">
      <c r="A16" s="287" t="s">
        <v>268</v>
      </c>
      <c r="B16" s="289"/>
      <c r="C16" s="289"/>
      <c r="D16" s="289"/>
      <c r="E16" s="289"/>
      <c r="F16" s="289"/>
      <c r="G16" s="289"/>
      <c r="H16" s="5"/>
      <c r="I16" s="5"/>
      <c r="J16" s="5"/>
      <c r="K16" s="5">
        <v>1</v>
      </c>
      <c r="L16" s="5">
        <v>1</v>
      </c>
      <c r="M16" s="5">
        <v>1</v>
      </c>
      <c r="N16" s="5"/>
      <c r="O16" s="5"/>
      <c r="P16" s="5"/>
      <c r="Q16" s="289">
        <f t="shared" si="0"/>
        <v>800</v>
      </c>
      <c r="R16" s="289" t="s">
        <v>87</v>
      </c>
      <c r="S16" s="289">
        <v>800</v>
      </c>
    </row>
    <row r="17" spans="1:19">
      <c r="A17" s="287" t="s">
        <v>269</v>
      </c>
      <c r="B17" s="289"/>
      <c r="C17" s="289"/>
      <c r="D17" s="289"/>
      <c r="E17" s="289"/>
      <c r="F17" s="289"/>
      <c r="G17" s="289"/>
      <c r="H17" s="5"/>
      <c r="I17" s="5"/>
      <c r="J17" s="5"/>
      <c r="K17" s="5"/>
      <c r="L17" s="5"/>
      <c r="M17" s="5"/>
      <c r="N17" s="5">
        <v>1</v>
      </c>
      <c r="O17" s="5">
        <v>1</v>
      </c>
      <c r="P17" s="5">
        <v>1</v>
      </c>
      <c r="Q17" s="289">
        <f t="shared" si="0"/>
        <v>400</v>
      </c>
      <c r="R17" s="289" t="s">
        <v>87</v>
      </c>
      <c r="S17" s="289">
        <v>400</v>
      </c>
    </row>
    <row r="18" spans="1:19">
      <c r="A18" s="5" t="s">
        <v>270</v>
      </c>
      <c r="B18" s="5">
        <v>1</v>
      </c>
      <c r="C18" s="5"/>
      <c r="D18" s="5"/>
      <c r="E18" s="5">
        <v>1</v>
      </c>
      <c r="F18" s="5"/>
      <c r="G18" s="5"/>
      <c r="H18" s="5"/>
      <c r="I18" s="5">
        <v>1</v>
      </c>
      <c r="J18" s="5"/>
      <c r="K18" s="5"/>
      <c r="L18" s="5">
        <v>1</v>
      </c>
      <c r="M18" s="5"/>
      <c r="N18" s="5"/>
      <c r="O18" s="5">
        <v>1</v>
      </c>
      <c r="P18" s="5"/>
      <c r="Q18" s="289">
        <f>SUMPRODUCT($B$2:$P$2,B18:P18)</f>
        <v>900</v>
      </c>
      <c r="R18" s="289" t="s">
        <v>206</v>
      </c>
      <c r="S18" s="289">
        <v>900</v>
      </c>
    </row>
    <row r="19" spans="1:19">
      <c r="A19" s="5" t="s">
        <v>271</v>
      </c>
      <c r="B19" s="5"/>
      <c r="C19" s="5">
        <v>1</v>
      </c>
      <c r="D19" s="5"/>
      <c r="E19" s="5"/>
      <c r="F19" s="5">
        <v>1</v>
      </c>
      <c r="G19" s="5"/>
      <c r="H19" s="5">
        <v>1</v>
      </c>
      <c r="I19" s="5"/>
      <c r="J19" s="5"/>
      <c r="K19" s="5">
        <v>1</v>
      </c>
      <c r="L19" s="5"/>
      <c r="M19" s="5"/>
      <c r="N19" s="5"/>
      <c r="O19" s="5"/>
      <c r="P19" s="5">
        <v>1</v>
      </c>
      <c r="Q19" s="289">
        <f t="shared" si="0"/>
        <v>900</v>
      </c>
      <c r="R19" s="289" t="s">
        <v>206</v>
      </c>
      <c r="S19" s="289">
        <v>900</v>
      </c>
    </row>
    <row r="20" spans="1:19">
      <c r="A20" s="5" t="s">
        <v>272</v>
      </c>
      <c r="B20" s="5"/>
      <c r="C20" s="5"/>
      <c r="D20" s="5">
        <v>1</v>
      </c>
      <c r="E20" s="5"/>
      <c r="F20" s="5"/>
      <c r="G20" s="5">
        <v>1</v>
      </c>
      <c r="H20" s="5"/>
      <c r="I20" s="5"/>
      <c r="J20" s="5">
        <v>1</v>
      </c>
      <c r="K20" s="5"/>
      <c r="L20" s="5"/>
      <c r="M20" s="5">
        <v>1</v>
      </c>
      <c r="N20" s="5">
        <v>1</v>
      </c>
      <c r="O20" s="5"/>
      <c r="P20" s="5"/>
      <c r="Q20" s="289">
        <f t="shared" si="0"/>
        <v>700</v>
      </c>
      <c r="R20" s="289" t="s">
        <v>206</v>
      </c>
      <c r="S20" s="289">
        <v>900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B5" sqref="B5"/>
    </sheetView>
  </sheetViews>
  <sheetFormatPr baseColWidth="10" defaultRowHeight="15"/>
  <cols>
    <col min="1" max="1" width="13.28515625" customWidth="1"/>
  </cols>
  <sheetData>
    <row r="2" spans="1:16" ht="30">
      <c r="A2" s="65"/>
      <c r="B2" s="310" t="s">
        <v>273</v>
      </c>
      <c r="C2" s="310" t="s">
        <v>274</v>
      </c>
      <c r="D2" s="310" t="s">
        <v>275</v>
      </c>
      <c r="E2" s="310" t="s">
        <v>276</v>
      </c>
      <c r="F2" s="310" t="s">
        <v>277</v>
      </c>
      <c r="G2" s="310" t="s">
        <v>278</v>
      </c>
      <c r="H2" s="310" t="s">
        <v>279</v>
      </c>
      <c r="I2" s="310" t="s">
        <v>280</v>
      </c>
      <c r="J2" s="310" t="s">
        <v>281</v>
      </c>
      <c r="K2" s="310" t="s">
        <v>282</v>
      </c>
    </row>
    <row r="3" spans="1:16">
      <c r="A3" s="65" t="s">
        <v>264</v>
      </c>
      <c r="B3" s="269">
        <v>10</v>
      </c>
      <c r="C3" s="269">
        <v>0</v>
      </c>
      <c r="D3" s="269">
        <v>10</v>
      </c>
      <c r="E3" s="269">
        <v>0</v>
      </c>
      <c r="F3" s="269">
        <v>0</v>
      </c>
      <c r="G3" s="269">
        <v>20</v>
      </c>
      <c r="H3" s="269">
        <v>15</v>
      </c>
      <c r="I3" s="269">
        <v>0</v>
      </c>
      <c r="J3" s="269">
        <v>10</v>
      </c>
      <c r="K3" s="269">
        <v>0</v>
      </c>
    </row>
    <row r="4" spans="1:16">
      <c r="A4" s="65"/>
      <c r="B4" s="314">
        <v>64000</v>
      </c>
      <c r="C4" s="314">
        <v>2000</v>
      </c>
      <c r="D4" s="314">
        <v>14000</v>
      </c>
      <c r="E4" s="314">
        <v>2000</v>
      </c>
      <c r="F4" s="314">
        <v>14000</v>
      </c>
      <c r="G4" s="314">
        <v>2000</v>
      </c>
      <c r="H4" s="314">
        <v>14000</v>
      </c>
      <c r="I4" s="314">
        <v>2000</v>
      </c>
      <c r="J4" s="314">
        <v>14000</v>
      </c>
      <c r="K4" s="314">
        <v>2000</v>
      </c>
    </row>
    <row r="7" spans="1:16" ht="45">
      <c r="A7" s="32" t="s">
        <v>283</v>
      </c>
      <c r="B7" s="378">
        <f>SUMPRODUCT(B3:K3,B4:K4)+50000</f>
        <v>1220000</v>
      </c>
      <c r="C7" t="str">
        <f ca="1">_xlfn.FORMULATEXT(B7)</f>
        <v>=SUMAPRODUCTO(B3:K3;B4:K4)+50000</v>
      </c>
      <c r="D7" s="65"/>
      <c r="K7" s="65"/>
    </row>
    <row r="8" spans="1:16">
      <c r="G8" s="168"/>
      <c r="K8" s="65"/>
    </row>
    <row r="9" spans="1:16">
      <c r="A9" s="312" t="s">
        <v>246</v>
      </c>
      <c r="B9" s="307"/>
      <c r="C9" s="307"/>
      <c r="D9" s="307"/>
      <c r="E9" s="42"/>
      <c r="F9" s="42"/>
      <c r="G9" s="42"/>
      <c r="H9" s="42"/>
      <c r="I9" s="42"/>
      <c r="J9" s="42"/>
      <c r="K9" s="42"/>
      <c r="L9" s="313" t="s">
        <v>199</v>
      </c>
      <c r="M9" s="313" t="s">
        <v>200</v>
      </c>
      <c r="N9" s="313" t="s">
        <v>201</v>
      </c>
      <c r="O9" s="42"/>
      <c r="P9" s="42"/>
    </row>
    <row r="10" spans="1:16">
      <c r="A10" s="306" t="s">
        <v>284</v>
      </c>
      <c r="B10" s="308">
        <v>1</v>
      </c>
      <c r="C10" s="308">
        <v>-1</v>
      </c>
      <c r="D10" s="308"/>
      <c r="E10" s="308"/>
      <c r="F10" s="308"/>
      <c r="G10" s="308"/>
      <c r="H10" s="5"/>
      <c r="I10" s="5"/>
      <c r="J10" s="5"/>
      <c r="K10" s="5"/>
      <c r="L10" s="308">
        <f>SUMPRODUCT($B$3:$K$3,B10:K10) +50</f>
        <v>60</v>
      </c>
      <c r="M10" s="308" t="s">
        <v>87</v>
      </c>
      <c r="N10" s="308">
        <v>60</v>
      </c>
      <c r="O10" s="42"/>
      <c r="P10" s="42"/>
    </row>
    <row r="11" spans="1:16">
      <c r="A11" s="306" t="s">
        <v>285</v>
      </c>
      <c r="B11" s="308"/>
      <c r="C11" s="308"/>
      <c r="D11" s="308">
        <v>1</v>
      </c>
      <c r="E11" s="308">
        <v>-1</v>
      </c>
      <c r="F11" s="308"/>
      <c r="G11" s="308"/>
      <c r="H11" s="5"/>
      <c r="I11" s="5"/>
      <c r="J11" s="5"/>
      <c r="K11" s="5"/>
      <c r="L11" s="308">
        <f>SUMPRODUCT($B$3:$K$3,B11:K11)+N10</f>
        <v>70</v>
      </c>
      <c r="M11" s="308" t="s">
        <v>87</v>
      </c>
      <c r="N11" s="308">
        <v>70</v>
      </c>
      <c r="O11" s="42"/>
      <c r="P11" s="42"/>
    </row>
    <row r="12" spans="1:16">
      <c r="A12" s="306" t="s">
        <v>286</v>
      </c>
      <c r="B12" s="308"/>
      <c r="C12" s="308"/>
      <c r="D12" s="308"/>
      <c r="E12" s="308"/>
      <c r="F12" s="308">
        <v>1</v>
      </c>
      <c r="G12" s="308">
        <v>-1</v>
      </c>
      <c r="H12" s="5"/>
      <c r="I12" s="5"/>
      <c r="J12" s="5"/>
      <c r="K12" s="5"/>
      <c r="L12" s="308">
        <f t="shared" ref="L12:L14" si="0">SUMPRODUCT($B$3:$K$3,B12:K12)+N11</f>
        <v>50</v>
      </c>
      <c r="M12" s="308" t="s">
        <v>87</v>
      </c>
      <c r="N12" s="308">
        <v>50</v>
      </c>
      <c r="O12" s="42"/>
      <c r="P12" s="42"/>
    </row>
    <row r="13" spans="1:16">
      <c r="A13" s="306" t="s">
        <v>287</v>
      </c>
      <c r="B13" s="308"/>
      <c r="C13" s="308"/>
      <c r="D13" s="308"/>
      <c r="E13" s="308"/>
      <c r="F13" s="308"/>
      <c r="G13" s="308"/>
      <c r="H13" s="5">
        <v>1</v>
      </c>
      <c r="I13" s="5">
        <v>-1</v>
      </c>
      <c r="J13" s="5"/>
      <c r="K13" s="5"/>
      <c r="L13" s="308">
        <f t="shared" si="0"/>
        <v>65</v>
      </c>
      <c r="M13" s="308" t="s">
        <v>87</v>
      </c>
      <c r="N13" s="308">
        <v>65</v>
      </c>
      <c r="O13" s="42"/>
      <c r="P13" s="42"/>
    </row>
    <row r="14" spans="1:16">
      <c r="A14" s="306" t="s">
        <v>288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>
        <v>-1</v>
      </c>
      <c r="L14" s="308">
        <f t="shared" si="0"/>
        <v>75</v>
      </c>
      <c r="M14" s="308" t="s">
        <v>87</v>
      </c>
      <c r="N14" s="308">
        <v>75</v>
      </c>
    </row>
    <row r="15" spans="1:16">
      <c r="A15" s="379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42"/>
      <c r="M15" s="295"/>
      <c r="N15" s="295"/>
    </row>
    <row r="16" spans="1:16">
      <c r="A16" s="379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295"/>
      <c r="N16" s="29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17"/>
  <sheetViews>
    <sheetView tabSelected="1" topLeftCell="A4" workbookViewId="0">
      <selection activeCell="B16" sqref="B16"/>
    </sheetView>
  </sheetViews>
  <sheetFormatPr baseColWidth="10" defaultRowHeight="15"/>
  <cols>
    <col min="1" max="1" width="18.5703125" customWidth="1"/>
    <col min="3" max="3" width="12.42578125" customWidth="1"/>
  </cols>
  <sheetData>
    <row r="8" spans="1:6" ht="30">
      <c r="A8" s="65"/>
      <c r="B8" s="299" t="s">
        <v>289</v>
      </c>
      <c r="C8" s="302" t="s">
        <v>290</v>
      </c>
    </row>
    <row r="9" spans="1:6">
      <c r="A9" s="65" t="s">
        <v>192</v>
      </c>
      <c r="B9" s="269">
        <v>4</v>
      </c>
      <c r="C9" s="269">
        <v>12</v>
      </c>
    </row>
    <row r="10" spans="1:6">
      <c r="A10" s="65"/>
      <c r="B10" s="314">
        <v>20</v>
      </c>
      <c r="C10" s="314">
        <v>10</v>
      </c>
    </row>
    <row r="11" spans="1:6">
      <c r="A11" s="65"/>
      <c r="B11" s="267"/>
      <c r="C11" s="267"/>
    </row>
    <row r="12" spans="1:6" ht="30">
      <c r="A12" s="32" t="s">
        <v>291</v>
      </c>
      <c r="B12" s="281">
        <f>SUMPRODUCT(B9:C9,B10:C10)</f>
        <v>200</v>
      </c>
      <c r="C12" s="267"/>
    </row>
    <row r="13" spans="1:6">
      <c r="A13" s="65"/>
      <c r="B13" s="281"/>
      <c r="C13" s="267"/>
    </row>
    <row r="14" spans="1:6">
      <c r="A14" s="275" t="s">
        <v>246</v>
      </c>
      <c r="B14" s="308"/>
      <c r="C14" s="308"/>
      <c r="D14" s="305" t="s">
        <v>199</v>
      </c>
      <c r="E14" s="305" t="s">
        <v>200</v>
      </c>
      <c r="F14" s="305" t="s">
        <v>201</v>
      </c>
    </row>
    <row r="15" spans="1:6" ht="30">
      <c r="A15" s="34" t="s">
        <v>292</v>
      </c>
      <c r="B15" s="308">
        <v>1.5</v>
      </c>
      <c r="C15" s="308">
        <v>3</v>
      </c>
      <c r="D15" s="381">
        <f t="shared" ref="D15:D16" si="0">SUMPRODUCT($B$9:$C$9,B15:C15)</f>
        <v>42</v>
      </c>
      <c r="E15" s="308" t="s">
        <v>206</v>
      </c>
      <c r="F15" s="308">
        <v>42</v>
      </c>
    </row>
    <row r="16" spans="1:6" ht="30">
      <c r="A16" s="380" t="s">
        <v>293</v>
      </c>
      <c r="B16" s="308">
        <v>3</v>
      </c>
      <c r="C16" s="93">
        <v>1</v>
      </c>
      <c r="D16" s="298">
        <f t="shared" si="0"/>
        <v>24</v>
      </c>
      <c r="E16" s="383" t="s">
        <v>206</v>
      </c>
      <c r="F16" s="308">
        <v>24</v>
      </c>
    </row>
    <row r="17" spans="4:4">
      <c r="D17" s="3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44" zoomScaleNormal="44" workbookViewId="0">
      <selection activeCell="P39" sqref="P39"/>
    </sheetView>
  </sheetViews>
  <sheetFormatPr baseColWidth="10" defaultRowHeight="15"/>
  <sheetData>
    <row r="2" spans="1:7" ht="38.25" customHeight="1">
      <c r="A2" s="323" t="s">
        <v>181</v>
      </c>
      <c r="B2" s="323"/>
      <c r="C2" s="323"/>
      <c r="D2" s="323"/>
      <c r="E2" s="323"/>
      <c r="F2" s="323"/>
      <c r="G2" s="170"/>
    </row>
    <row r="3" spans="1:7" ht="15" customHeight="1">
      <c r="A3" s="324" t="s">
        <v>38</v>
      </c>
      <c r="B3" s="324"/>
      <c r="C3" s="324"/>
      <c r="D3" s="324"/>
      <c r="E3" s="324"/>
      <c r="F3" s="324"/>
      <c r="G3" s="324"/>
    </row>
    <row r="4" spans="1:7">
      <c r="A4" s="324"/>
      <c r="B4" s="324"/>
      <c r="C4" s="324"/>
      <c r="D4" s="324"/>
      <c r="E4" s="324"/>
      <c r="F4" s="324"/>
      <c r="G4" s="324"/>
    </row>
    <row r="6" spans="1:7">
      <c r="A6" s="65" t="s">
        <v>84</v>
      </c>
      <c r="B6" s="65"/>
      <c r="C6" s="65"/>
      <c r="D6" s="65"/>
    </row>
    <row r="7" spans="1:7" ht="15.75" thickBot="1">
      <c r="A7" s="65" t="s">
        <v>85</v>
      </c>
      <c r="B7" s="65"/>
      <c r="C7" s="65"/>
      <c r="D7" s="65"/>
    </row>
    <row r="8" spans="1:7" ht="15.75" thickBot="1">
      <c r="A8" s="131">
        <f>1000/POWER(1+0.05,3)</f>
        <v>863.83759853147603</v>
      </c>
      <c r="B8" s="132" t="str">
        <f ca="1">_xlfn.FORMULATEXT(A8)</f>
        <v>=1000/POTENCIA(1+0,05;3)</v>
      </c>
      <c r="C8" s="133"/>
      <c r="D8" s="65"/>
    </row>
    <row r="9" spans="1:7" ht="15" customHeight="1">
      <c r="A9" s="322" t="s">
        <v>86</v>
      </c>
      <c r="B9" s="322"/>
      <c r="C9" s="322"/>
      <c r="D9" s="322"/>
      <c r="E9" s="322"/>
      <c r="F9" s="322"/>
    </row>
    <row r="10" spans="1:7">
      <c r="A10" s="322"/>
      <c r="B10" s="322"/>
      <c r="C10" s="322"/>
      <c r="D10" s="322"/>
      <c r="E10" s="322"/>
      <c r="F10" s="322"/>
    </row>
    <row r="18" spans="1:14">
      <c r="N18" s="65" t="s">
        <v>96</v>
      </c>
    </row>
    <row r="19" spans="1:14" ht="15.75" thickBot="1">
      <c r="N19" s="65" t="s">
        <v>97</v>
      </c>
    </row>
    <row r="20" spans="1:14" ht="15.75" thickBot="1">
      <c r="A20" s="325" t="s">
        <v>89</v>
      </c>
      <c r="B20" s="326"/>
      <c r="C20" s="327"/>
      <c r="D20" s="106"/>
      <c r="E20" s="106"/>
      <c r="F20" s="106"/>
      <c r="G20" s="106"/>
      <c r="H20" s="106"/>
      <c r="I20" s="106"/>
      <c r="J20" s="106"/>
      <c r="K20" s="106"/>
      <c r="L20" s="107"/>
      <c r="N20" s="65" t="s">
        <v>98</v>
      </c>
    </row>
    <row r="21" spans="1:14">
      <c r="A21" s="13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99</v>
      </c>
    </row>
    <row r="22" spans="1:14">
      <c r="A22" s="13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135"/>
      <c r="B24" s="42"/>
      <c r="C24" s="136"/>
      <c r="D24" s="136" t="s">
        <v>87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13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135"/>
      <c r="B39" s="42"/>
      <c r="C39" s="42"/>
      <c r="D39" s="42"/>
      <c r="E39" s="42"/>
      <c r="F39" s="42"/>
      <c r="G39" s="319" t="s">
        <v>88</v>
      </c>
      <c r="H39" s="320"/>
      <c r="I39" s="320"/>
      <c r="J39" s="321"/>
      <c r="K39" s="42"/>
      <c r="L39" s="46"/>
    </row>
    <row r="40" spans="1:12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</row>
    <row r="45" spans="1:12" ht="18.75">
      <c r="A45" s="318" t="s">
        <v>182</v>
      </c>
      <c r="B45" s="318"/>
      <c r="C45" s="318"/>
      <c r="D45" s="318"/>
      <c r="E45" s="318"/>
    </row>
  </sheetData>
  <mergeCells count="6">
    <mergeCell ref="A45:E45"/>
    <mergeCell ref="G39:J39"/>
    <mergeCell ref="A9:F10"/>
    <mergeCell ref="A2:F2"/>
    <mergeCell ref="A3:G4"/>
    <mergeCell ref="A20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328" t="s">
        <v>4</v>
      </c>
      <c r="B1" s="328"/>
      <c r="C1" s="328" t="s">
        <v>3</v>
      </c>
      <c r="D1" s="328"/>
      <c r="E1" s="329" t="s">
        <v>7</v>
      </c>
      <c r="F1" s="328"/>
      <c r="G1" s="8"/>
      <c r="H1" s="330" t="s">
        <v>2</v>
      </c>
      <c r="I1" s="331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328" t="s">
        <v>12</v>
      </c>
      <c r="I6" s="328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6" sqref="I6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336" t="s">
        <v>53</v>
      </c>
      <c r="B3" s="337"/>
      <c r="C3" s="337"/>
      <c r="D3" s="337"/>
      <c r="E3" s="337"/>
      <c r="F3" s="43"/>
      <c r="G3" s="44"/>
    </row>
    <row r="4" spans="1:8" ht="37.5" customHeight="1">
      <c r="A4" s="338" t="s">
        <v>38</v>
      </c>
      <c r="B4" s="324"/>
      <c r="C4" s="324"/>
      <c r="D4" s="324"/>
      <c r="E4" s="324"/>
      <c r="F4" s="324"/>
      <c r="G4" s="339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340" t="s">
        <v>39</v>
      </c>
      <c r="B6" s="341"/>
      <c r="C6" s="341"/>
      <c r="D6" s="341"/>
      <c r="E6" s="341"/>
      <c r="F6" s="341"/>
      <c r="G6" s="342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343" t="s">
        <v>23</v>
      </c>
      <c r="B8" s="344"/>
      <c r="C8" s="344"/>
      <c r="D8" s="344"/>
      <c r="E8" s="344"/>
      <c r="F8" s="344"/>
      <c r="G8" s="345"/>
    </row>
    <row r="9" spans="1:8" ht="21" customHeight="1" thickBot="1">
      <c r="A9" s="346" t="s">
        <v>24</v>
      </c>
      <c r="B9" s="347"/>
      <c r="C9" s="347"/>
      <c r="D9" s="347"/>
      <c r="E9" s="347"/>
      <c r="F9" s="347"/>
      <c r="G9" s="348"/>
      <c r="H9" s="42"/>
    </row>
    <row r="11" spans="1:8">
      <c r="E11" s="333" t="s">
        <v>36</v>
      </c>
      <c r="F11" s="333"/>
      <c r="G11" s="333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332" t="s">
        <v>37</v>
      </c>
      <c r="G12" s="332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334" t="s">
        <v>42</v>
      </c>
      <c r="C24" s="335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7" zoomScaleNormal="37" workbookViewId="0">
      <selection activeCell="M42" sqref="M42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350" t="s">
        <v>52</v>
      </c>
      <c r="G2" s="350"/>
      <c r="H2" s="350"/>
      <c r="I2" s="350"/>
      <c r="J2" s="350"/>
      <c r="K2" s="350"/>
      <c r="L2" s="350"/>
      <c r="M2" s="350"/>
      <c r="N2" s="350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349" t="s">
        <v>2</v>
      </c>
      <c r="G10" s="331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351" t="s">
        <v>59</v>
      </c>
      <c r="B1" s="352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353" t="s">
        <v>38</v>
      </c>
      <c r="B9" s="354"/>
      <c r="C9" s="354"/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5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356" t="s">
        <v>56</v>
      </c>
      <c r="B40" s="318"/>
      <c r="C40" s="318"/>
      <c r="D40" s="318"/>
      <c r="E40" s="318"/>
      <c r="F40" s="318"/>
      <c r="G40" s="318"/>
      <c r="H40" s="318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Index</vt:lpstr>
      <vt:lpstr>VAN Theory</vt:lpstr>
      <vt:lpstr>ROI theory</vt:lpstr>
      <vt:lpstr>Linear Programming theory</vt:lpstr>
      <vt:lpstr>bycicles</vt:lpstr>
      <vt:lpstr> example VAN or NPV </vt:lpstr>
      <vt:lpstr>NPV theory</vt:lpstr>
      <vt:lpstr>% average growing</vt:lpstr>
      <vt:lpstr>VAN example </vt:lpstr>
      <vt:lpstr>table final proyect</vt:lpstr>
      <vt:lpstr>REVISED final table project</vt:lpstr>
      <vt:lpstr>approved line charts</vt:lpstr>
      <vt:lpstr>example linear programming</vt:lpstr>
      <vt:lpstr>example LP</vt:lpstr>
      <vt:lpstr>variants LP</vt:lpstr>
      <vt:lpstr>more variants LP</vt:lpstr>
      <vt:lpstr>example 2 LP</vt:lpstr>
      <vt:lpstr>example 3 LP</vt:lpstr>
      <vt:lpstr>example 4 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2024-03-10T18:06:11Z</dcterms:modified>
</cp:coreProperties>
</file>