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excel\Excel_proyects_mathematical_optimization_modeling\"/>
    </mc:Choice>
  </mc:AlternateContent>
  <bookViews>
    <workbookView xWindow="0" yWindow="0" windowWidth="15360" windowHeight="7125" firstSheet="22" activeTab="25"/>
  </bookViews>
  <sheets>
    <sheet name="Index" sheetId="16" r:id="rId1"/>
    <sheet name="VAN Theory" sheetId="13" r:id="rId2"/>
    <sheet name="ROI theory" sheetId="17" r:id="rId3"/>
    <sheet name="Linear Programming theory" sheetId="18" r:id="rId4"/>
    <sheet name="bycicles" sheetId="1" r:id="rId5"/>
    <sheet name=" example VAN or NPV " sheetId="2" r:id="rId6"/>
    <sheet name="NPV theory" sheetId="4" r:id="rId7"/>
    <sheet name="% average growing" sheetId="6" r:id="rId8"/>
    <sheet name="VAN example " sheetId="7" r:id="rId9"/>
    <sheet name="table final proyect" sheetId="9" r:id="rId10"/>
    <sheet name="REVISED final table project" sheetId="10" r:id="rId11"/>
    <sheet name="approved line charts" sheetId="11" r:id="rId12"/>
    <sheet name="example linear programming" sheetId="15" r:id="rId13"/>
    <sheet name="example LP" sheetId="20" r:id="rId14"/>
    <sheet name="variants LP" sheetId="21" r:id="rId15"/>
    <sheet name="more variants LP" sheetId="22" r:id="rId16"/>
    <sheet name="example 2 LP" sheetId="23" r:id="rId17"/>
    <sheet name="example 3 LP" sheetId="24" r:id="rId18"/>
    <sheet name="example 4 LP" sheetId="25" r:id="rId19"/>
    <sheet name=" shipping transport LP" sheetId="26" r:id="rId20"/>
    <sheet name="example transport LP" sheetId="27" r:id="rId21"/>
    <sheet name="TRANSPORT LP" sheetId="28" r:id="rId22"/>
    <sheet name=" assignment problem LP" sheetId="29" r:id="rId23"/>
    <sheet name="assignment LP" sheetId="30" r:id="rId24"/>
    <sheet name="assignment problem" sheetId="31" r:id="rId25"/>
    <sheet name="transport and assignment" sheetId="32" r:id="rId26"/>
  </sheets>
  <externalReferences>
    <externalReference r:id="rId27"/>
  </externalReferences>
  <definedNames>
    <definedName name="solver_adj" localSheetId="22" hidden="1">' assignment problem LP'!$B$12:$E$14</definedName>
    <definedName name="solver_adj" localSheetId="19" hidden="1">' shipping transport LP'!$C$12:$E$14</definedName>
    <definedName name="solver_adj" localSheetId="23" hidden="1">'assignment LP'!$B$14:$E$17</definedName>
    <definedName name="solver_adj" localSheetId="24" hidden="1">'assignment problem'!$B$12:$E$15</definedName>
    <definedName name="solver_adj" localSheetId="16" hidden="1">'example 2 LP'!$B$2:$P$2</definedName>
    <definedName name="solver_adj" localSheetId="17" hidden="1">'example 3 LP'!$B$3:$K$3</definedName>
    <definedName name="solver_adj" localSheetId="18" hidden="1">'example 4 LP'!$B$9:$C$9</definedName>
    <definedName name="solver_adj" localSheetId="12" hidden="1">'example linear programming'!$B$4:$C$4</definedName>
    <definedName name="solver_adj" localSheetId="13" hidden="1">'example LP'!$B$2:$C$2</definedName>
    <definedName name="solver_adj" localSheetId="20" hidden="1">'example transport LP'!$D$4:$D$12</definedName>
    <definedName name="solver_adj" localSheetId="15" hidden="1">'more variants LP'!$B$2:$F$2</definedName>
    <definedName name="solver_adj" localSheetId="25" hidden="1">'transport and assignment'!$B$41:$D$43</definedName>
    <definedName name="solver_adj" localSheetId="21" hidden="1">'TRANSPORT LP'!$D$13:$D$21</definedName>
    <definedName name="solver_adj" localSheetId="14" hidden="1">'variants LP'!$B$2:$C$2</definedName>
    <definedName name="solver_cvg" localSheetId="22" hidden="1">0.0001</definedName>
    <definedName name="solver_cvg" localSheetId="19" hidden="1">0.0001</definedName>
    <definedName name="solver_cvg" localSheetId="23" hidden="1">0.0001</definedName>
    <definedName name="solver_cvg" localSheetId="24" hidden="1">0.0001</definedName>
    <definedName name="solver_cvg" localSheetId="16" hidden="1">0.0001</definedName>
    <definedName name="solver_cvg" localSheetId="17" hidden="1">0.0001</definedName>
    <definedName name="solver_cvg" localSheetId="18" hidden="1">0.0001</definedName>
    <definedName name="solver_cvg" localSheetId="12" hidden="1">0.0001</definedName>
    <definedName name="solver_cvg" localSheetId="13" hidden="1">0.0001</definedName>
    <definedName name="solver_cvg" localSheetId="20" hidden="1">0.0001</definedName>
    <definedName name="solver_cvg" localSheetId="15" hidden="1">0.0001</definedName>
    <definedName name="solver_cvg" localSheetId="25" hidden="1">0.0001</definedName>
    <definedName name="solver_cvg" localSheetId="21" hidden="1">0.0001</definedName>
    <definedName name="solver_cvg" localSheetId="14" hidden="1">0.0001</definedName>
    <definedName name="solver_drv" localSheetId="22" hidden="1">1</definedName>
    <definedName name="solver_drv" localSheetId="19" hidden="1">1</definedName>
    <definedName name="solver_drv" localSheetId="23" hidden="1">1</definedName>
    <definedName name="solver_drv" localSheetId="24" hidden="1">1</definedName>
    <definedName name="solver_drv" localSheetId="16" hidden="1">1</definedName>
    <definedName name="solver_drv" localSheetId="17" hidden="1">2</definedName>
    <definedName name="solver_drv" localSheetId="18" hidden="1">1</definedName>
    <definedName name="solver_drv" localSheetId="12" hidden="1">1</definedName>
    <definedName name="solver_drv" localSheetId="13" hidden="1">1</definedName>
    <definedName name="solver_drv" localSheetId="20" hidden="1">1</definedName>
    <definedName name="solver_drv" localSheetId="15" hidden="1">1</definedName>
    <definedName name="solver_drv" localSheetId="25" hidden="1">1</definedName>
    <definedName name="solver_drv" localSheetId="21" hidden="1">1</definedName>
    <definedName name="solver_drv" localSheetId="14" hidden="1">1</definedName>
    <definedName name="solver_eng" localSheetId="22" hidden="1">2</definedName>
    <definedName name="solver_eng" localSheetId="19" hidden="1">2</definedName>
    <definedName name="solver_eng" localSheetId="23" hidden="1">2</definedName>
    <definedName name="solver_eng" localSheetId="24" hidden="1">2</definedName>
    <definedName name="solver_eng" localSheetId="16" hidden="1">2</definedName>
    <definedName name="solver_eng" localSheetId="17" hidden="1">2</definedName>
    <definedName name="solver_eng" localSheetId="18" hidden="1">2</definedName>
    <definedName name="solver_eng" localSheetId="12" hidden="1">2</definedName>
    <definedName name="solver_eng" localSheetId="13" hidden="1">2</definedName>
    <definedName name="solver_eng" localSheetId="20" hidden="1">2</definedName>
    <definedName name="solver_eng" localSheetId="15" hidden="1">2</definedName>
    <definedName name="solver_eng" localSheetId="25" hidden="1">2</definedName>
    <definedName name="solver_eng" localSheetId="21" hidden="1">2</definedName>
    <definedName name="solver_eng" localSheetId="14" hidden="1">2</definedName>
    <definedName name="solver_est" localSheetId="22" hidden="1">1</definedName>
    <definedName name="solver_est" localSheetId="19" hidden="1">1</definedName>
    <definedName name="solver_est" localSheetId="23" hidden="1">1</definedName>
    <definedName name="solver_est" localSheetId="24" hidden="1">1</definedName>
    <definedName name="solver_est" localSheetId="16" hidden="1">1</definedName>
    <definedName name="solver_est" localSheetId="17" hidden="1">1</definedName>
    <definedName name="solver_est" localSheetId="18" hidden="1">1</definedName>
    <definedName name="solver_est" localSheetId="12" hidden="1">1</definedName>
    <definedName name="solver_est" localSheetId="13" hidden="1">1</definedName>
    <definedName name="solver_est" localSheetId="20" hidden="1">1</definedName>
    <definedName name="solver_est" localSheetId="15" hidden="1">1</definedName>
    <definedName name="solver_est" localSheetId="25" hidden="1">1</definedName>
    <definedName name="solver_est" localSheetId="21" hidden="1">1</definedName>
    <definedName name="solver_est" localSheetId="14" hidden="1">1</definedName>
    <definedName name="solver_itr" localSheetId="22" hidden="1">2147483647</definedName>
    <definedName name="solver_itr" localSheetId="19" hidden="1">2147483647</definedName>
    <definedName name="solver_itr" localSheetId="23" hidden="1">2147483647</definedName>
    <definedName name="solver_itr" localSheetId="24" hidden="1">2147483647</definedName>
    <definedName name="solver_itr" localSheetId="16" hidden="1">2147483647</definedName>
    <definedName name="solver_itr" localSheetId="17" hidden="1">2147483647</definedName>
    <definedName name="solver_itr" localSheetId="18" hidden="1">2147483647</definedName>
    <definedName name="solver_itr" localSheetId="12" hidden="1">2147483647</definedName>
    <definedName name="solver_itr" localSheetId="13" hidden="1">2147483647</definedName>
    <definedName name="solver_itr" localSheetId="20" hidden="1">2147483647</definedName>
    <definedName name="solver_itr" localSheetId="15" hidden="1">2147483647</definedName>
    <definedName name="solver_itr" localSheetId="25" hidden="1">2147483647</definedName>
    <definedName name="solver_itr" localSheetId="21" hidden="1">2147483647</definedName>
    <definedName name="solver_itr" localSheetId="14" hidden="1">2147483647</definedName>
    <definedName name="solver_lhs0" localSheetId="18" hidden="1">'example 4 LP'!$D$15:$D$16</definedName>
    <definedName name="solver_lhs1" localSheetId="22" hidden="1">' assignment problem LP'!$B$15:$E$15</definedName>
    <definedName name="solver_lhs1" localSheetId="19" hidden="1">' shipping transport LP'!$C$15:$E$15</definedName>
    <definedName name="solver_lhs1" localSheetId="23" hidden="1">'assignment LP'!$B$18:$E$18</definedName>
    <definedName name="solver_lhs1" localSheetId="24" hidden="1">'assignment problem'!$B$16:$E$16</definedName>
    <definedName name="solver_lhs1" localSheetId="16" hidden="1">'example 2 LP'!$Q$13:$Q$17</definedName>
    <definedName name="solver_lhs1" localSheetId="17" hidden="1">'example 3 LP'!$L$10:$L$14</definedName>
    <definedName name="solver_lhs1" localSheetId="18" hidden="1">'example 4 LP'!$D$15:$D$16</definedName>
    <definedName name="solver_lhs1" localSheetId="12" hidden="1">'example linear programming'!$D$13</definedName>
    <definedName name="solver_lhs1" localSheetId="13" hidden="1">'example LP'!$D$10</definedName>
    <definedName name="solver_lhs1" localSheetId="20" hidden="1">'example transport LP'!$B$16:$B$18</definedName>
    <definedName name="solver_lhs1" localSheetId="15" hidden="1">'more variants LP'!$G$12</definedName>
    <definedName name="solver_lhs1" localSheetId="25" hidden="1">'transport and assignment'!$B$44:$D$44</definedName>
    <definedName name="solver_lhs1" localSheetId="21" hidden="1">'TRANSPORT LP'!$C$24:$C$26</definedName>
    <definedName name="solver_lhs1" localSheetId="14" hidden="1">'variants LP'!$D$15:$D$18</definedName>
    <definedName name="solver_lhs2" localSheetId="22" hidden="1">' assignment problem LP'!$F$12:$F$14</definedName>
    <definedName name="solver_lhs2" localSheetId="19" hidden="1">' shipping transport LP'!$F$12:$F$14</definedName>
    <definedName name="solver_lhs2" localSheetId="23" hidden="1">'assignment LP'!$F$14:$F$17</definedName>
    <definedName name="solver_lhs2" localSheetId="24" hidden="1">'assignment problem'!$F$12:$F$15</definedName>
    <definedName name="solver_lhs2" localSheetId="16" hidden="1">'example 2 LP'!$Q$18:$Q$20</definedName>
    <definedName name="solver_lhs2" localSheetId="18" hidden="1">'example 4 LP'!$D$15:$D$16</definedName>
    <definedName name="solver_lhs2" localSheetId="12" hidden="1">'example linear programming'!$D$14</definedName>
    <definedName name="solver_lhs2" localSheetId="13" hidden="1">'example LP'!$D$9</definedName>
    <definedName name="solver_lhs2" localSheetId="20" hidden="1">'example transport LP'!$B$22:$B$24</definedName>
    <definedName name="solver_lhs2" localSheetId="15" hidden="1">'more variants LP'!$G$13</definedName>
    <definedName name="solver_lhs2" localSheetId="25" hidden="1">'transport and assignment'!$E$41:$E$43</definedName>
    <definedName name="solver_lhs2" localSheetId="21" hidden="1">'TRANSPORT LP'!$C$29:$C$31</definedName>
    <definedName name="solver_lhs3" localSheetId="12" hidden="1">'example linear programming'!$D$15</definedName>
    <definedName name="solver_lhs3" localSheetId="15" hidden="1">'more variants LP'!$G$14</definedName>
    <definedName name="solver_lhs4" localSheetId="12" hidden="1">'example linear programming'!$D$16</definedName>
    <definedName name="solver_lhs4" localSheetId="15" hidden="1">'more variants LP'!$G$15</definedName>
    <definedName name="solver_lhs5" localSheetId="12" hidden="1">'example linear programming'!$D$16</definedName>
    <definedName name="solver_mip" localSheetId="22" hidden="1">2147483647</definedName>
    <definedName name="solver_mip" localSheetId="19" hidden="1">2147483647</definedName>
    <definedName name="solver_mip" localSheetId="23" hidden="1">2147483647</definedName>
    <definedName name="solver_mip" localSheetId="24" hidden="1">2147483647</definedName>
    <definedName name="solver_mip" localSheetId="16" hidden="1">2147483647</definedName>
    <definedName name="solver_mip" localSheetId="17" hidden="1">2147483647</definedName>
    <definedName name="solver_mip" localSheetId="18" hidden="1">2147483647</definedName>
    <definedName name="solver_mip" localSheetId="12" hidden="1">2147483647</definedName>
    <definedName name="solver_mip" localSheetId="13" hidden="1">2147483647</definedName>
    <definedName name="solver_mip" localSheetId="20" hidden="1">2147483647</definedName>
    <definedName name="solver_mip" localSheetId="15" hidden="1">2147483647</definedName>
    <definedName name="solver_mip" localSheetId="25" hidden="1">2147483647</definedName>
    <definedName name="solver_mip" localSheetId="21" hidden="1">2147483647</definedName>
    <definedName name="solver_mip" localSheetId="14" hidden="1">2147483647</definedName>
    <definedName name="solver_mni" localSheetId="22" hidden="1">30</definedName>
    <definedName name="solver_mni" localSheetId="19" hidden="1">30</definedName>
    <definedName name="solver_mni" localSheetId="23" hidden="1">30</definedName>
    <definedName name="solver_mni" localSheetId="24" hidden="1">30</definedName>
    <definedName name="solver_mni" localSheetId="16" hidden="1">30</definedName>
    <definedName name="solver_mni" localSheetId="17" hidden="1">30</definedName>
    <definedName name="solver_mni" localSheetId="18" hidden="1">30</definedName>
    <definedName name="solver_mni" localSheetId="12" hidden="1">30</definedName>
    <definedName name="solver_mni" localSheetId="13" hidden="1">30</definedName>
    <definedName name="solver_mni" localSheetId="20" hidden="1">30</definedName>
    <definedName name="solver_mni" localSheetId="15" hidden="1">30</definedName>
    <definedName name="solver_mni" localSheetId="25" hidden="1">30</definedName>
    <definedName name="solver_mni" localSheetId="21" hidden="1">30</definedName>
    <definedName name="solver_mni" localSheetId="14" hidden="1">30</definedName>
    <definedName name="solver_mrt" localSheetId="22" hidden="1">0.075</definedName>
    <definedName name="solver_mrt" localSheetId="19" hidden="1">0.075</definedName>
    <definedName name="solver_mrt" localSheetId="23" hidden="1">0.075</definedName>
    <definedName name="solver_mrt" localSheetId="24" hidden="1">0.075</definedName>
    <definedName name="solver_mrt" localSheetId="16" hidden="1">0.075</definedName>
    <definedName name="solver_mrt" localSheetId="17" hidden="1">0.075</definedName>
    <definedName name="solver_mrt" localSheetId="18" hidden="1">0.075</definedName>
    <definedName name="solver_mrt" localSheetId="12" hidden="1">0.075</definedName>
    <definedName name="solver_mrt" localSheetId="13" hidden="1">0.075</definedName>
    <definedName name="solver_mrt" localSheetId="20" hidden="1">0.075</definedName>
    <definedName name="solver_mrt" localSheetId="15" hidden="1">0.075</definedName>
    <definedName name="solver_mrt" localSheetId="25" hidden="1">0.075</definedName>
    <definedName name="solver_mrt" localSheetId="21" hidden="1">0.075</definedName>
    <definedName name="solver_mrt" localSheetId="14" hidden="1">0.075</definedName>
    <definedName name="solver_msl" localSheetId="22" hidden="1">2</definedName>
    <definedName name="solver_msl" localSheetId="19" hidden="1">2</definedName>
    <definedName name="solver_msl" localSheetId="23" hidden="1">2</definedName>
    <definedName name="solver_msl" localSheetId="24" hidden="1">2</definedName>
    <definedName name="solver_msl" localSheetId="16" hidden="1">2</definedName>
    <definedName name="solver_msl" localSheetId="17" hidden="1">2</definedName>
    <definedName name="solver_msl" localSheetId="18" hidden="1">2</definedName>
    <definedName name="solver_msl" localSheetId="12" hidden="1">2</definedName>
    <definedName name="solver_msl" localSheetId="13" hidden="1">2</definedName>
    <definedName name="solver_msl" localSheetId="20" hidden="1">2</definedName>
    <definedName name="solver_msl" localSheetId="15" hidden="1">2</definedName>
    <definedName name="solver_msl" localSheetId="25" hidden="1">2</definedName>
    <definedName name="solver_msl" localSheetId="21" hidden="1">2</definedName>
    <definedName name="solver_msl" localSheetId="14" hidden="1">2</definedName>
    <definedName name="solver_neg" localSheetId="22" hidden="1">1</definedName>
    <definedName name="solver_neg" localSheetId="19" hidden="1">1</definedName>
    <definedName name="solver_neg" localSheetId="23" hidden="1">1</definedName>
    <definedName name="solver_neg" localSheetId="24" hidden="1">1</definedName>
    <definedName name="solver_neg" localSheetId="16" hidden="1">1</definedName>
    <definedName name="solver_neg" localSheetId="17" hidden="1">1</definedName>
    <definedName name="solver_neg" localSheetId="18" hidden="1">1</definedName>
    <definedName name="solver_neg" localSheetId="12" hidden="1">1</definedName>
    <definedName name="solver_neg" localSheetId="13" hidden="1">1</definedName>
    <definedName name="solver_neg" localSheetId="20" hidden="1">1</definedName>
    <definedName name="solver_neg" localSheetId="15" hidden="1">1</definedName>
    <definedName name="solver_neg" localSheetId="25" hidden="1">1</definedName>
    <definedName name="solver_neg" localSheetId="21" hidden="1">1</definedName>
    <definedName name="solver_neg" localSheetId="14" hidden="1">1</definedName>
    <definedName name="solver_nod" localSheetId="22" hidden="1">2147483647</definedName>
    <definedName name="solver_nod" localSheetId="19" hidden="1">2147483647</definedName>
    <definedName name="solver_nod" localSheetId="23" hidden="1">2147483647</definedName>
    <definedName name="solver_nod" localSheetId="24" hidden="1">2147483647</definedName>
    <definedName name="solver_nod" localSheetId="16" hidden="1">2147483647</definedName>
    <definedName name="solver_nod" localSheetId="17" hidden="1">2147483647</definedName>
    <definedName name="solver_nod" localSheetId="18" hidden="1">2147483647</definedName>
    <definedName name="solver_nod" localSheetId="12" hidden="1">2147483647</definedName>
    <definedName name="solver_nod" localSheetId="13" hidden="1">2147483647</definedName>
    <definedName name="solver_nod" localSheetId="20" hidden="1">2147483647</definedName>
    <definedName name="solver_nod" localSheetId="15" hidden="1">2147483647</definedName>
    <definedName name="solver_nod" localSheetId="25" hidden="1">2147483647</definedName>
    <definedName name="solver_nod" localSheetId="21" hidden="1">2147483647</definedName>
    <definedName name="solver_nod" localSheetId="14" hidden="1">2147483647</definedName>
    <definedName name="solver_num" localSheetId="22" hidden="1">2</definedName>
    <definedName name="solver_num" localSheetId="19" hidden="1">2</definedName>
    <definedName name="solver_num" localSheetId="23" hidden="1">2</definedName>
    <definedName name="solver_num" localSheetId="24" hidden="1">2</definedName>
    <definedName name="solver_num" localSheetId="16" hidden="1">2</definedName>
    <definedName name="solver_num" localSheetId="17" hidden="1">1</definedName>
    <definedName name="solver_num" localSheetId="18" hidden="1">1</definedName>
    <definedName name="solver_num" localSheetId="12" hidden="1">4</definedName>
    <definedName name="solver_num" localSheetId="13" hidden="1">2</definedName>
    <definedName name="solver_num" localSheetId="20" hidden="1">2</definedName>
    <definedName name="solver_num" localSheetId="15" hidden="1">4</definedName>
    <definedName name="solver_num" localSheetId="25" hidden="1">2</definedName>
    <definedName name="solver_num" localSheetId="21" hidden="1">2</definedName>
    <definedName name="solver_num" localSheetId="14" hidden="1">1</definedName>
    <definedName name="solver_nwt" localSheetId="22" hidden="1">1</definedName>
    <definedName name="solver_nwt" localSheetId="19" hidden="1">1</definedName>
    <definedName name="solver_nwt" localSheetId="23" hidden="1">1</definedName>
    <definedName name="solver_nwt" localSheetId="24" hidden="1">1</definedName>
    <definedName name="solver_nwt" localSheetId="16" hidden="1">1</definedName>
    <definedName name="solver_nwt" localSheetId="17" hidden="1">1</definedName>
    <definedName name="solver_nwt" localSheetId="18" hidden="1">1</definedName>
    <definedName name="solver_nwt" localSheetId="12" hidden="1">1</definedName>
    <definedName name="solver_nwt" localSheetId="13" hidden="1">1</definedName>
    <definedName name="solver_nwt" localSheetId="20" hidden="1">1</definedName>
    <definedName name="solver_nwt" localSheetId="15" hidden="1">1</definedName>
    <definedName name="solver_nwt" localSheetId="25" hidden="1">1</definedName>
    <definedName name="solver_nwt" localSheetId="21" hidden="1">1</definedName>
    <definedName name="solver_nwt" localSheetId="14" hidden="1">1</definedName>
    <definedName name="solver_opt" localSheetId="22" hidden="1">' assignment problem LP'!$B$20</definedName>
    <definedName name="solver_opt" localSheetId="19" hidden="1">' shipping transport LP'!$B$22</definedName>
    <definedName name="solver_opt" localSheetId="23" hidden="1">'assignment LP'!$B$10</definedName>
    <definedName name="solver_opt" localSheetId="24" hidden="1">'assignment problem'!$C$9</definedName>
    <definedName name="solver_opt" localSheetId="16" hidden="1">'example 2 LP'!$B$8</definedName>
    <definedName name="solver_opt" localSheetId="17" hidden="1">'example 3 LP'!$B$7</definedName>
    <definedName name="solver_opt" localSheetId="18" hidden="1">'example 4 LP'!$B$12</definedName>
    <definedName name="solver_opt" localSheetId="12" hidden="1">'example linear programming'!$B$7</definedName>
    <definedName name="solver_opt" localSheetId="13" hidden="1">'example LP'!$B$6</definedName>
    <definedName name="solver_opt" localSheetId="20" hidden="1">'example transport LP'!$B$27</definedName>
    <definedName name="solver_opt" localSheetId="15" hidden="1">'more variants LP'!$B$5</definedName>
    <definedName name="solver_opt" localSheetId="25" hidden="1">'transport and assignment'!$C$37</definedName>
    <definedName name="solver_opt" localSheetId="21" hidden="1">'TRANSPORT LP'!$C$9</definedName>
    <definedName name="solver_opt" localSheetId="14" hidden="1">'variants LP'!$D$11</definedName>
    <definedName name="solver_pre" localSheetId="22" hidden="1">0.000001</definedName>
    <definedName name="solver_pre" localSheetId="19" hidden="1">0.000001</definedName>
    <definedName name="solver_pre" localSheetId="23" hidden="1">0.000001</definedName>
    <definedName name="solver_pre" localSheetId="24" hidden="1">0.000001</definedName>
    <definedName name="solver_pre" localSheetId="16" hidden="1">0.000001</definedName>
    <definedName name="solver_pre" localSheetId="17" hidden="1">0.000001</definedName>
    <definedName name="solver_pre" localSheetId="18" hidden="1">0.000001</definedName>
    <definedName name="solver_pre" localSheetId="12" hidden="1">0.000001</definedName>
    <definedName name="solver_pre" localSheetId="13" hidden="1">0.000001</definedName>
    <definedName name="solver_pre" localSheetId="20" hidden="1">0.000001</definedName>
    <definedName name="solver_pre" localSheetId="15" hidden="1">0.000001</definedName>
    <definedName name="solver_pre" localSheetId="25" hidden="1">0.000001</definedName>
    <definedName name="solver_pre" localSheetId="21" hidden="1">0.000001</definedName>
    <definedName name="solver_pre" localSheetId="14" hidden="1">0.000001</definedName>
    <definedName name="solver_rbv" localSheetId="22" hidden="1">1</definedName>
    <definedName name="solver_rbv" localSheetId="19" hidden="1">1</definedName>
    <definedName name="solver_rbv" localSheetId="23" hidden="1">1</definedName>
    <definedName name="solver_rbv" localSheetId="24" hidden="1">1</definedName>
    <definedName name="solver_rbv" localSheetId="16" hidden="1">1</definedName>
    <definedName name="solver_rbv" localSheetId="17" hidden="1">2</definedName>
    <definedName name="solver_rbv" localSheetId="18" hidden="1">1</definedName>
    <definedName name="solver_rbv" localSheetId="12" hidden="1">1</definedName>
    <definedName name="solver_rbv" localSheetId="13" hidden="1">1</definedName>
    <definedName name="solver_rbv" localSheetId="20" hidden="1">1</definedName>
    <definedName name="solver_rbv" localSheetId="15" hidden="1">1</definedName>
    <definedName name="solver_rbv" localSheetId="25" hidden="1">1</definedName>
    <definedName name="solver_rbv" localSheetId="21" hidden="1">1</definedName>
    <definedName name="solver_rbv" localSheetId="14" hidden="1">1</definedName>
    <definedName name="solver_rel0" localSheetId="18" hidden="1">1</definedName>
    <definedName name="solver_rel1" localSheetId="22" hidden="1">1</definedName>
    <definedName name="solver_rel1" localSheetId="19" hidden="1">2</definedName>
    <definedName name="solver_rel1" localSheetId="23" hidden="1">1</definedName>
    <definedName name="solver_rel1" localSheetId="24" hidden="1">2</definedName>
    <definedName name="solver_rel1" localSheetId="16" hidden="1">2</definedName>
    <definedName name="solver_rel1" localSheetId="17" hidden="1">2</definedName>
    <definedName name="solver_rel1" localSheetId="18" hidden="1">1</definedName>
    <definedName name="solver_rel1" localSheetId="12" hidden="1">1</definedName>
    <definedName name="solver_rel1" localSheetId="13" hidden="1">1</definedName>
    <definedName name="solver_rel1" localSheetId="20" hidden="1">1</definedName>
    <definedName name="solver_rel1" localSheetId="15" hidden="1">1</definedName>
    <definedName name="solver_rel1" localSheetId="25" hidden="1">1</definedName>
    <definedName name="solver_rel1" localSheetId="21" hidden="1">1</definedName>
    <definedName name="solver_rel1" localSheetId="14" hidden="1">1</definedName>
    <definedName name="solver_rel2" localSheetId="22" hidden="1">2</definedName>
    <definedName name="solver_rel2" localSheetId="19" hidden="1">1</definedName>
    <definedName name="solver_rel2" localSheetId="23" hidden="1">2</definedName>
    <definedName name="solver_rel2" localSheetId="24" hidden="1">2</definedName>
    <definedName name="solver_rel2" localSheetId="16" hidden="1">1</definedName>
    <definedName name="solver_rel2" localSheetId="18" hidden="1">1</definedName>
    <definedName name="solver_rel2" localSheetId="12" hidden="1">3</definedName>
    <definedName name="solver_rel2" localSheetId="13" hidden="1">1</definedName>
    <definedName name="solver_rel2" localSheetId="20" hidden="1">3</definedName>
    <definedName name="solver_rel2" localSheetId="15" hidden="1">3</definedName>
    <definedName name="solver_rel2" localSheetId="25" hidden="1">1</definedName>
    <definedName name="solver_rel2" localSheetId="21" hidden="1">3</definedName>
    <definedName name="solver_rel3" localSheetId="12" hidden="1">3</definedName>
    <definedName name="solver_rel3" localSheetId="15" hidden="1">3</definedName>
    <definedName name="solver_rel4" localSheetId="12" hidden="1">3</definedName>
    <definedName name="solver_rel4" localSheetId="15" hidden="1">1</definedName>
    <definedName name="solver_rel5" localSheetId="12" hidden="1">3</definedName>
    <definedName name="solver_rhs0" localSheetId="18" hidden="1">'example 4 LP'!$F$15:$F$16</definedName>
    <definedName name="solver_rhs1" localSheetId="22" hidden="1">' assignment problem LP'!$B$17:$E$17</definedName>
    <definedName name="solver_rhs1" localSheetId="19" hidden="1">' shipping transport LP'!$C$7:$E$7</definedName>
    <definedName name="solver_rhs1" localSheetId="23" hidden="1">'assignment LP'!$B$20:$E$20</definedName>
    <definedName name="solver_rhs1" localSheetId="24" hidden="1">'assignment problem'!$B$18:$E$18</definedName>
    <definedName name="solver_rhs1" localSheetId="16" hidden="1">'example 2 LP'!$S$13:$S$17</definedName>
    <definedName name="solver_rhs1" localSheetId="17" hidden="1">'example 3 LP'!$N$10:$N$14</definedName>
    <definedName name="solver_rhs1" localSheetId="18" hidden="1">'example 4 LP'!$F$15:$F$16</definedName>
    <definedName name="solver_rhs1" localSheetId="12" hidden="1">'example linear programming'!$F$13</definedName>
    <definedName name="solver_rhs1" localSheetId="13" hidden="1">'example LP'!$F$10</definedName>
    <definedName name="solver_rhs1" localSheetId="20" hidden="1">'example transport LP'!$D$16:$D$18</definedName>
    <definedName name="solver_rhs1" localSheetId="15" hidden="1">'more variants LP'!$I$12</definedName>
    <definedName name="solver_rhs1" localSheetId="25" hidden="1">'transport and assignment'!$B$46:$D$46</definedName>
    <definedName name="solver_rhs1" localSheetId="21" hidden="1">'TRANSPORT LP'!$E$24:$E$26</definedName>
    <definedName name="solver_rhs1" localSheetId="14" hidden="1">'variants LP'!$F$15:$F$18</definedName>
    <definedName name="solver_rhs2" localSheetId="22" hidden="1">' assignment problem LP'!$H$12:$H$14</definedName>
    <definedName name="solver_rhs2" localSheetId="19" hidden="1">' shipping transport LP'!$F$4:$F$6</definedName>
    <definedName name="solver_rhs2" localSheetId="23" hidden="1">'assignment LP'!$H$14:$H$17</definedName>
    <definedName name="solver_rhs2" localSheetId="24" hidden="1">'assignment problem'!$H$12:$H$15</definedName>
    <definedName name="solver_rhs2" localSheetId="16" hidden="1">'example 2 LP'!$S$18:$S$20</definedName>
    <definedName name="solver_rhs2" localSheetId="18" hidden="1">'example 4 LP'!$F$15:$F$16</definedName>
    <definedName name="solver_rhs2" localSheetId="12" hidden="1">'example linear programming'!$F$14</definedName>
    <definedName name="solver_rhs2" localSheetId="13" hidden="1">'example LP'!$F$9</definedName>
    <definedName name="solver_rhs2" localSheetId="20" hidden="1">'example transport LP'!$D$22:$D$24</definedName>
    <definedName name="solver_rhs2" localSheetId="15" hidden="1">'more variants LP'!$I$13</definedName>
    <definedName name="solver_rhs2" localSheetId="25" hidden="1">'transport and assignment'!$G$41:$G$43</definedName>
    <definedName name="solver_rhs2" localSheetId="21" hidden="1">'TRANSPORT LP'!$E$29:$E$31</definedName>
    <definedName name="solver_rhs3" localSheetId="12" hidden="1">'example linear programming'!$F$15</definedName>
    <definedName name="solver_rhs3" localSheetId="15" hidden="1">'more variants LP'!$I$14</definedName>
    <definedName name="solver_rhs4" localSheetId="12" hidden="1">'example linear programming'!$F$16</definedName>
    <definedName name="solver_rhs4" localSheetId="15" hidden="1">'more variants LP'!$I$15</definedName>
    <definedName name="solver_rhs5" localSheetId="12" hidden="1">'example linear programming'!$F$16</definedName>
    <definedName name="solver_rlx" localSheetId="22" hidden="1">2</definedName>
    <definedName name="solver_rlx" localSheetId="19" hidden="1">2</definedName>
    <definedName name="solver_rlx" localSheetId="23" hidden="1">2</definedName>
    <definedName name="solver_rlx" localSheetId="24" hidden="1">2</definedName>
    <definedName name="solver_rlx" localSheetId="16" hidden="1">2</definedName>
    <definedName name="solver_rlx" localSheetId="17" hidden="1">2</definedName>
    <definedName name="solver_rlx" localSheetId="18" hidden="1">2</definedName>
    <definedName name="solver_rlx" localSheetId="12" hidden="1">2</definedName>
    <definedName name="solver_rlx" localSheetId="13" hidden="1">2</definedName>
    <definedName name="solver_rlx" localSheetId="20" hidden="1">2</definedName>
    <definedName name="solver_rlx" localSheetId="15" hidden="1">2</definedName>
    <definedName name="solver_rlx" localSheetId="25" hidden="1">2</definedName>
    <definedName name="solver_rlx" localSheetId="21" hidden="1">2</definedName>
    <definedName name="solver_rlx" localSheetId="14" hidden="1">2</definedName>
    <definedName name="solver_rsd" localSheetId="22" hidden="1">0</definedName>
    <definedName name="solver_rsd" localSheetId="19" hidden="1">0</definedName>
    <definedName name="solver_rsd" localSheetId="23" hidden="1">0</definedName>
    <definedName name="solver_rsd" localSheetId="24" hidden="1">0</definedName>
    <definedName name="solver_rsd" localSheetId="16" hidden="1">0</definedName>
    <definedName name="solver_rsd" localSheetId="17" hidden="1">0</definedName>
    <definedName name="solver_rsd" localSheetId="18" hidden="1">0</definedName>
    <definedName name="solver_rsd" localSheetId="12" hidden="1">0</definedName>
    <definedName name="solver_rsd" localSheetId="13" hidden="1">0</definedName>
    <definedName name="solver_rsd" localSheetId="20" hidden="1">0</definedName>
    <definedName name="solver_rsd" localSheetId="15" hidden="1">0</definedName>
    <definedName name="solver_rsd" localSheetId="25" hidden="1">0</definedName>
    <definedName name="solver_rsd" localSheetId="21" hidden="1">0</definedName>
    <definedName name="solver_rsd" localSheetId="14" hidden="1">0</definedName>
    <definedName name="solver_scl" localSheetId="22" hidden="1">1</definedName>
    <definedName name="solver_scl" localSheetId="19" hidden="1">1</definedName>
    <definedName name="solver_scl" localSheetId="23" hidden="1">1</definedName>
    <definedName name="solver_scl" localSheetId="24" hidden="1">1</definedName>
    <definedName name="solver_scl" localSheetId="16" hidden="1">1</definedName>
    <definedName name="solver_scl" localSheetId="17" hidden="1">2</definedName>
    <definedName name="solver_scl" localSheetId="18" hidden="1">1</definedName>
    <definedName name="solver_scl" localSheetId="12" hidden="1">1</definedName>
    <definedName name="solver_scl" localSheetId="13" hidden="1">1</definedName>
    <definedName name="solver_scl" localSheetId="20" hidden="1">1</definedName>
    <definedName name="solver_scl" localSheetId="15" hidden="1">1</definedName>
    <definedName name="solver_scl" localSheetId="25" hidden="1">1</definedName>
    <definedName name="solver_scl" localSheetId="21" hidden="1">1</definedName>
    <definedName name="solver_scl" localSheetId="14" hidden="1">1</definedName>
    <definedName name="solver_sho" localSheetId="22" hidden="1">2</definedName>
    <definedName name="solver_sho" localSheetId="19" hidden="1">2</definedName>
    <definedName name="solver_sho" localSheetId="23" hidden="1">2</definedName>
    <definedName name="solver_sho" localSheetId="24" hidden="1">2</definedName>
    <definedName name="solver_sho" localSheetId="16" hidden="1">2</definedName>
    <definedName name="solver_sho" localSheetId="17" hidden="1">2</definedName>
    <definedName name="solver_sho" localSheetId="18" hidden="1">2</definedName>
    <definedName name="solver_sho" localSheetId="12" hidden="1">2</definedName>
    <definedName name="solver_sho" localSheetId="13" hidden="1">2</definedName>
    <definedName name="solver_sho" localSheetId="20" hidden="1">2</definedName>
    <definedName name="solver_sho" localSheetId="15" hidden="1">2</definedName>
    <definedName name="solver_sho" localSheetId="25" hidden="1">2</definedName>
    <definedName name="solver_sho" localSheetId="21" hidden="1">2</definedName>
    <definedName name="solver_sho" localSheetId="14" hidden="1">2</definedName>
    <definedName name="solver_ssz" localSheetId="22" hidden="1">100</definedName>
    <definedName name="solver_ssz" localSheetId="19" hidden="1">100</definedName>
    <definedName name="solver_ssz" localSheetId="23" hidden="1">100</definedName>
    <definedName name="solver_ssz" localSheetId="24" hidden="1">100</definedName>
    <definedName name="solver_ssz" localSheetId="16" hidden="1">100</definedName>
    <definedName name="solver_ssz" localSheetId="17" hidden="1">100</definedName>
    <definedName name="solver_ssz" localSheetId="18" hidden="1">100</definedName>
    <definedName name="solver_ssz" localSheetId="12" hidden="1">100</definedName>
    <definedName name="solver_ssz" localSheetId="13" hidden="1">100</definedName>
    <definedName name="solver_ssz" localSheetId="20" hidden="1">100</definedName>
    <definedName name="solver_ssz" localSheetId="15" hidden="1">100</definedName>
    <definedName name="solver_ssz" localSheetId="25" hidden="1">100</definedName>
    <definedName name="solver_ssz" localSheetId="21" hidden="1">100</definedName>
    <definedName name="solver_ssz" localSheetId="14" hidden="1">100</definedName>
    <definedName name="solver_tim" localSheetId="22" hidden="1">2147483647</definedName>
    <definedName name="solver_tim" localSheetId="19" hidden="1">2147483647</definedName>
    <definedName name="solver_tim" localSheetId="23" hidden="1">2147483647</definedName>
    <definedName name="solver_tim" localSheetId="24" hidden="1">2147483647</definedName>
    <definedName name="solver_tim" localSheetId="16" hidden="1">2147483647</definedName>
    <definedName name="solver_tim" localSheetId="17" hidden="1">2147483647</definedName>
    <definedName name="solver_tim" localSheetId="18" hidden="1">2147483647</definedName>
    <definedName name="solver_tim" localSheetId="12" hidden="1">2147483647</definedName>
    <definedName name="solver_tim" localSheetId="13" hidden="1">2147483647</definedName>
    <definedName name="solver_tim" localSheetId="20" hidden="1">2147483647</definedName>
    <definedName name="solver_tim" localSheetId="15" hidden="1">2147483647</definedName>
    <definedName name="solver_tim" localSheetId="25" hidden="1">2147483647</definedName>
    <definedName name="solver_tim" localSheetId="21" hidden="1">2147483647</definedName>
    <definedName name="solver_tim" localSheetId="14" hidden="1">2147483647</definedName>
    <definedName name="solver_tol" localSheetId="22" hidden="1">0.01</definedName>
    <definedName name="solver_tol" localSheetId="19" hidden="1">0.01</definedName>
    <definedName name="solver_tol" localSheetId="23" hidden="1">0.01</definedName>
    <definedName name="solver_tol" localSheetId="24" hidden="1">0.01</definedName>
    <definedName name="solver_tol" localSheetId="16" hidden="1">0.01</definedName>
    <definedName name="solver_tol" localSheetId="17" hidden="1">0.01</definedName>
    <definedName name="solver_tol" localSheetId="18" hidden="1">0.01</definedName>
    <definedName name="solver_tol" localSheetId="12" hidden="1">0.01</definedName>
    <definedName name="solver_tol" localSheetId="13" hidden="1">0.01</definedName>
    <definedName name="solver_tol" localSheetId="20" hidden="1">0.01</definedName>
    <definedName name="solver_tol" localSheetId="15" hidden="1">0.01</definedName>
    <definedName name="solver_tol" localSheetId="25" hidden="1">0.01</definedName>
    <definedName name="solver_tol" localSheetId="21" hidden="1">0.01</definedName>
    <definedName name="solver_tol" localSheetId="14" hidden="1">0.01</definedName>
    <definedName name="solver_typ" localSheetId="22" hidden="1">2</definedName>
    <definedName name="solver_typ" localSheetId="19" hidden="1">2</definedName>
    <definedName name="solver_typ" localSheetId="23" hidden="1">2</definedName>
    <definedName name="solver_typ" localSheetId="24" hidden="1">1</definedName>
    <definedName name="solver_typ" localSheetId="16" hidden="1">2</definedName>
    <definedName name="solver_typ" localSheetId="17" hidden="1">2</definedName>
    <definedName name="solver_typ" localSheetId="18" hidden="1">1</definedName>
    <definedName name="solver_typ" localSheetId="12" hidden="1">1</definedName>
    <definedName name="solver_typ" localSheetId="13" hidden="1">1</definedName>
    <definedName name="solver_typ" localSheetId="20" hidden="1">2</definedName>
    <definedName name="solver_typ" localSheetId="15" hidden="1">1</definedName>
    <definedName name="solver_typ" localSheetId="25" hidden="1">1</definedName>
    <definedName name="solver_typ" localSheetId="21" hidden="1">2</definedName>
    <definedName name="solver_typ" localSheetId="14" hidden="1">1</definedName>
    <definedName name="solver_val" localSheetId="22" hidden="1">0</definedName>
    <definedName name="solver_val" localSheetId="19" hidden="1">0</definedName>
    <definedName name="solver_val" localSheetId="23" hidden="1">0</definedName>
    <definedName name="solver_val" localSheetId="24" hidden="1">0</definedName>
    <definedName name="solver_val" localSheetId="16" hidden="1">0</definedName>
    <definedName name="solver_val" localSheetId="17" hidden="1">0</definedName>
    <definedName name="solver_val" localSheetId="18" hidden="1">0</definedName>
    <definedName name="solver_val" localSheetId="12" hidden="1">0</definedName>
    <definedName name="solver_val" localSheetId="13" hidden="1">0</definedName>
    <definedName name="solver_val" localSheetId="20" hidden="1">0</definedName>
    <definedName name="solver_val" localSheetId="15" hidden="1">0</definedName>
    <definedName name="solver_val" localSheetId="25" hidden="1">0</definedName>
    <definedName name="solver_val" localSheetId="21" hidden="1">0</definedName>
    <definedName name="solver_val" localSheetId="14" hidden="1">0</definedName>
    <definedName name="solver_ver" localSheetId="22" hidden="1">3</definedName>
    <definedName name="solver_ver" localSheetId="19" hidden="1">3</definedName>
    <definedName name="solver_ver" localSheetId="23" hidden="1">3</definedName>
    <definedName name="solver_ver" localSheetId="24" hidden="1">3</definedName>
    <definedName name="solver_ver" localSheetId="16" hidden="1">3</definedName>
    <definedName name="solver_ver" localSheetId="17" hidden="1">3</definedName>
    <definedName name="solver_ver" localSheetId="18" hidden="1">3</definedName>
    <definedName name="solver_ver" localSheetId="12" hidden="1">3</definedName>
    <definedName name="solver_ver" localSheetId="13" hidden="1">3</definedName>
    <definedName name="solver_ver" localSheetId="20" hidden="1">3</definedName>
    <definedName name="solver_ver" localSheetId="15" hidden="1">3</definedName>
    <definedName name="solver_ver" localSheetId="25" hidden="1">3</definedName>
    <definedName name="solver_ver" localSheetId="21" hidden="1">3</definedName>
    <definedName name="solver_ver" localSheetId="14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32" l="1"/>
  <c r="D44" i="32"/>
  <c r="B44" i="32"/>
  <c r="C37" i="32"/>
  <c r="E42" i="32"/>
  <c r="E43" i="32"/>
  <c r="E41" i="32"/>
  <c r="A48" i="32"/>
  <c r="B48" i="32" l="1"/>
  <c r="B17" i="32"/>
  <c r="E16" i="32"/>
  <c r="E15" i="32"/>
  <c r="B12" i="32"/>
  <c r="D4" i="32"/>
  <c r="C4" i="32"/>
  <c r="B4" i="32"/>
  <c r="D3" i="32"/>
  <c r="C3" i="32"/>
  <c r="B3" i="32"/>
  <c r="G12" i="32"/>
  <c r="C17" i="32"/>
  <c r="D17" i="32"/>
  <c r="C16" i="31"/>
  <c r="D16" i="31"/>
  <c r="E16" i="31"/>
  <c r="B16" i="31"/>
  <c r="F13" i="31"/>
  <c r="F14" i="31"/>
  <c r="F15" i="31"/>
  <c r="F12" i="31"/>
  <c r="C9" i="31"/>
  <c r="E18" i="30"/>
  <c r="D18" i="30"/>
  <c r="C18" i="30"/>
  <c r="B18" i="30"/>
  <c r="F16" i="30"/>
  <c r="F17" i="30"/>
  <c r="F15" i="30"/>
  <c r="F14" i="30"/>
  <c r="B10" i="30"/>
  <c r="C10" i="30"/>
  <c r="E17" i="32"/>
  <c r="F18" i="30"/>
  <c r="C12" i="32"/>
  <c r="B20" i="29" l="1"/>
  <c r="E15" i="29"/>
  <c r="D15" i="29"/>
  <c r="C15" i="29"/>
  <c r="B15" i="29"/>
  <c r="F13" i="29"/>
  <c r="F14" i="29"/>
  <c r="F12" i="29"/>
  <c r="C31" i="28"/>
  <c r="C30" i="28"/>
  <c r="C29" i="28"/>
  <c r="C9" i="28"/>
  <c r="C26" i="28"/>
  <c r="C25" i="28"/>
  <c r="C24" i="28"/>
  <c r="B27" i="27"/>
  <c r="B23" i="27"/>
  <c r="B24" i="27"/>
  <c r="B22" i="27"/>
  <c r="B17" i="27"/>
  <c r="B18" i="27"/>
  <c r="B16" i="27"/>
  <c r="E23" i="27"/>
  <c r="F25" i="28"/>
  <c r="F29" i="28"/>
  <c r="E17" i="27"/>
  <c r="E24" i="27"/>
  <c r="F24" i="28"/>
  <c r="D9" i="28"/>
  <c r="E18" i="27"/>
  <c r="F15" i="29"/>
  <c r="F30" i="28"/>
  <c r="E22" i="27"/>
  <c r="F31" i="28"/>
  <c r="F26" i="28"/>
  <c r="E16" i="27"/>
  <c r="B22" i="26" l="1"/>
  <c r="D15" i="26"/>
  <c r="E15" i="26"/>
  <c r="C15" i="26"/>
  <c r="F13" i="26"/>
  <c r="F14" i="26"/>
  <c r="F12" i="26"/>
  <c r="E16" i="26"/>
  <c r="C16" i="26"/>
  <c r="G14" i="26"/>
  <c r="G12" i="26"/>
  <c r="G13" i="26"/>
  <c r="D16" i="26"/>
  <c r="M52" i="10" l="1"/>
  <c r="D15" i="25"/>
  <c r="D16" i="25"/>
  <c r="B5" i="22"/>
  <c r="B12" i="25"/>
  <c r="B7" i="24"/>
  <c r="L10" i="24"/>
  <c r="L12" i="24"/>
  <c r="L13" i="24"/>
  <c r="L14" i="24"/>
  <c r="L11" i="24"/>
  <c r="C7" i="24"/>
  <c r="Q18" i="23" l="1"/>
  <c r="Q19" i="23"/>
  <c r="Q20" i="23"/>
  <c r="Q13" i="23"/>
  <c r="Q14" i="23"/>
  <c r="Q15" i="23"/>
  <c r="Q16" i="23"/>
  <c r="Q17" i="23"/>
  <c r="B8" i="23"/>
  <c r="G15" i="22" l="1"/>
  <c r="G14" i="22"/>
  <c r="G13" i="22"/>
  <c r="G12" i="22"/>
  <c r="I15" i="22"/>
  <c r="I14" i="22"/>
  <c r="I13" i="22"/>
  <c r="D11" i="21" l="1"/>
  <c r="D17" i="21"/>
  <c r="D18" i="21"/>
  <c r="D9" i="21"/>
  <c r="D8" i="21"/>
  <c r="C9" i="21"/>
  <c r="C8" i="21"/>
  <c r="B9" i="21"/>
  <c r="B8" i="21"/>
  <c r="D7" i="21"/>
  <c r="D10" i="21" s="1"/>
  <c r="D5" i="21"/>
  <c r="D16" i="21"/>
  <c r="D15" i="21"/>
  <c r="G16" i="21"/>
  <c r="G15" i="21"/>
  <c r="D10" i="20" l="1"/>
  <c r="D9" i="20"/>
  <c r="D13" i="15"/>
  <c r="B6" i="20"/>
  <c r="D16" i="15"/>
  <c r="D14" i="15"/>
  <c r="D15" i="15"/>
  <c r="F13" i="15"/>
  <c r="B7" i="15"/>
  <c r="G9" i="20"/>
  <c r="G13" i="15"/>
  <c r="G15" i="15"/>
  <c r="G14" i="15"/>
  <c r="F23" i="15" l="1"/>
  <c r="A8" i="13" l="1"/>
  <c r="B8" i="13"/>
  <c r="D35" i="10" l="1"/>
  <c r="H34" i="10"/>
  <c r="I34" i="10" s="1"/>
  <c r="J34" i="10" s="1"/>
  <c r="G34" i="10"/>
  <c r="F34" i="10"/>
  <c r="E34" i="10"/>
  <c r="D34" i="10"/>
  <c r="H33" i="10"/>
  <c r="I33" i="10" s="1"/>
  <c r="J33" i="10" s="1"/>
  <c r="G33" i="10"/>
  <c r="F33" i="10"/>
  <c r="E33" i="10"/>
  <c r="D33" i="10"/>
  <c r="J32" i="10"/>
  <c r="I32" i="10"/>
  <c r="H32" i="10"/>
  <c r="F32" i="10"/>
  <c r="F35" i="10" s="1"/>
  <c r="Q28" i="10" s="1"/>
  <c r="E32" i="10"/>
  <c r="E35" i="10" s="1"/>
  <c r="P28" i="10" s="1"/>
  <c r="D32" i="10"/>
  <c r="I29" i="10"/>
  <c r="J29" i="10" s="1"/>
  <c r="H29" i="10"/>
  <c r="F29" i="10"/>
  <c r="E29" i="10"/>
  <c r="D29" i="10"/>
  <c r="G29" i="10" s="1"/>
  <c r="O28" i="10"/>
  <c r="J28" i="10"/>
  <c r="H28" i="10"/>
  <c r="I28" i="10" s="1"/>
  <c r="F28" i="10"/>
  <c r="E28" i="10"/>
  <c r="D28" i="10"/>
  <c r="G28" i="10" s="1"/>
  <c r="H27" i="10"/>
  <c r="I27" i="10" s="1"/>
  <c r="J27" i="10" s="1"/>
  <c r="F27" i="10"/>
  <c r="E27" i="10"/>
  <c r="E30" i="10" s="1"/>
  <c r="P27" i="10" s="1"/>
  <c r="D27" i="10"/>
  <c r="D30" i="10" s="1"/>
  <c r="H26" i="10"/>
  <c r="I26" i="10" s="1"/>
  <c r="J26" i="10" s="1"/>
  <c r="G26" i="10"/>
  <c r="F26" i="10"/>
  <c r="F30" i="10" s="1"/>
  <c r="Q27" i="10" s="1"/>
  <c r="E26" i="10"/>
  <c r="D26" i="10"/>
  <c r="J23" i="10"/>
  <c r="I23" i="10"/>
  <c r="H23" i="10"/>
  <c r="F23" i="10"/>
  <c r="E23" i="10"/>
  <c r="E24" i="10" s="1"/>
  <c r="P26" i="10" s="1"/>
  <c r="D23" i="10"/>
  <c r="G23" i="10" s="1"/>
  <c r="I22" i="10"/>
  <c r="J22" i="10" s="1"/>
  <c r="H22" i="10"/>
  <c r="F22" i="10"/>
  <c r="E22" i="10"/>
  <c r="E38" i="10" s="1"/>
  <c r="N11" i="10" s="1"/>
  <c r="D22" i="10"/>
  <c r="G22" i="10" s="1"/>
  <c r="H21" i="10"/>
  <c r="I21" i="10" s="1"/>
  <c r="J21" i="10" s="1"/>
  <c r="G21" i="10"/>
  <c r="F21" i="10"/>
  <c r="E21" i="10"/>
  <c r="D21" i="10"/>
  <c r="H20" i="10"/>
  <c r="I20" i="10" s="1"/>
  <c r="J20" i="10" s="1"/>
  <c r="G20" i="10"/>
  <c r="F20" i="10"/>
  <c r="E20" i="10"/>
  <c r="D20" i="10"/>
  <c r="D38" i="10" s="1"/>
  <c r="J19" i="10"/>
  <c r="H19" i="10"/>
  <c r="I19" i="10" s="1"/>
  <c r="I38" i="10" s="1"/>
  <c r="G19" i="10"/>
  <c r="F19" i="10"/>
  <c r="F24" i="10" s="1"/>
  <c r="Q26" i="10" s="1"/>
  <c r="E19" i="10"/>
  <c r="D19" i="10"/>
  <c r="N17" i="10"/>
  <c r="N16" i="10"/>
  <c r="N15" i="10"/>
  <c r="N18" i="10" s="1"/>
  <c r="N14" i="10"/>
  <c r="O27" i="10" l="1"/>
  <c r="G30" i="10"/>
  <c r="G42" i="10"/>
  <c r="N10" i="10"/>
  <c r="G35" i="10"/>
  <c r="D24" i="10"/>
  <c r="G32" i="10"/>
  <c r="F38" i="10"/>
  <c r="N12" i="10" s="1"/>
  <c r="G27" i="10"/>
  <c r="E42" i="10"/>
  <c r="F42" i="10"/>
  <c r="B3" i="9"/>
  <c r="C3" i="9" s="1"/>
  <c r="B4" i="9"/>
  <c r="C4" i="9" s="1"/>
  <c r="B5" i="9"/>
  <c r="C5" i="9" s="1"/>
  <c r="B6" i="9"/>
  <c r="C6" i="9" s="1"/>
  <c r="B7" i="9"/>
  <c r="C7" i="9" s="1"/>
  <c r="B8" i="9"/>
  <c r="C8" i="9" s="1"/>
  <c r="B2" i="9"/>
  <c r="C2" i="9" s="1"/>
  <c r="V4" i="9"/>
  <c r="V5" i="9"/>
  <c r="V6" i="9"/>
  <c r="V7" i="9"/>
  <c r="V8" i="9"/>
  <c r="V9" i="9"/>
  <c r="V10" i="9"/>
  <c r="V11" i="9"/>
  <c r="V12" i="9"/>
  <c r="V13" i="9"/>
  <c r="V14" i="9"/>
  <c r="V3" i="9"/>
  <c r="N4" i="9"/>
  <c r="N5" i="9"/>
  <c r="O5" i="9" s="1"/>
  <c r="N6" i="9"/>
  <c r="N7" i="9"/>
  <c r="O7" i="9" s="1"/>
  <c r="N8" i="9"/>
  <c r="O8" i="9" s="1"/>
  <c r="N9" i="9"/>
  <c r="N10" i="9"/>
  <c r="O10" i="9" s="1"/>
  <c r="N11" i="9"/>
  <c r="N12" i="9"/>
  <c r="O12" i="9" s="1"/>
  <c r="N13" i="9"/>
  <c r="N14" i="9"/>
  <c r="O14" i="9" s="1"/>
  <c r="N3" i="9"/>
  <c r="O3" i="9" s="1"/>
  <c r="M15" i="9"/>
  <c r="L15" i="9"/>
  <c r="O26" i="10" l="1"/>
  <c r="G24" i="10"/>
  <c r="G38" i="10"/>
  <c r="N13" i="10" s="1"/>
  <c r="N20" i="10" s="1"/>
  <c r="O6" i="9"/>
  <c r="O13" i="9"/>
  <c r="B13" i="9"/>
  <c r="B12" i="9"/>
  <c r="C11" i="9"/>
  <c r="O11" i="9"/>
  <c r="O9" i="9"/>
  <c r="N15" i="9"/>
  <c r="O4" i="9"/>
  <c r="K15" i="9"/>
  <c r="R4" i="9"/>
  <c r="R5" i="9"/>
  <c r="R6" i="9"/>
  <c r="R7" i="9"/>
  <c r="R8" i="9"/>
  <c r="R9" i="9"/>
  <c r="R10" i="9"/>
  <c r="R11" i="9"/>
  <c r="R12" i="9"/>
  <c r="R13" i="9"/>
  <c r="R14" i="9"/>
  <c r="S4" i="9"/>
  <c r="S5" i="9"/>
  <c r="S6" i="9"/>
  <c r="S7" i="9"/>
  <c r="S8" i="9"/>
  <c r="S9" i="9"/>
  <c r="S10" i="9"/>
  <c r="S11" i="9"/>
  <c r="S12" i="9"/>
  <c r="S13" i="9"/>
  <c r="S14" i="9"/>
  <c r="U4" i="9"/>
  <c r="U5" i="9"/>
  <c r="U6" i="9"/>
  <c r="U7" i="9"/>
  <c r="U8" i="9"/>
  <c r="U9" i="9"/>
  <c r="U10" i="9"/>
  <c r="U11" i="9"/>
  <c r="U12" i="9"/>
  <c r="U13" i="9"/>
  <c r="U14" i="9"/>
  <c r="U3" i="9"/>
  <c r="T4" i="9" l="1"/>
  <c r="T5" i="9"/>
  <c r="T6" i="9"/>
  <c r="T7" i="9"/>
  <c r="T8" i="9"/>
  <c r="T9" i="9"/>
  <c r="T10" i="9"/>
  <c r="T11" i="9"/>
  <c r="T12" i="9"/>
  <c r="T13" i="9"/>
  <c r="T14" i="9"/>
  <c r="T3" i="9"/>
  <c r="S3" i="9"/>
  <c r="P3" i="9"/>
  <c r="R3" i="9"/>
  <c r="P4" i="9"/>
  <c r="P5" i="9"/>
  <c r="P6" i="9"/>
  <c r="P7" i="9"/>
  <c r="P8" i="9"/>
  <c r="P9" i="9"/>
  <c r="P10" i="9"/>
  <c r="P11" i="9"/>
  <c r="P12" i="9"/>
  <c r="P13" i="9"/>
  <c r="P14" i="9"/>
  <c r="Q4" i="9"/>
  <c r="Q5" i="9"/>
  <c r="Q6" i="9"/>
  <c r="Q7" i="9"/>
  <c r="Q8" i="9"/>
  <c r="Q9" i="9"/>
  <c r="Q10" i="9"/>
  <c r="Q11" i="9"/>
  <c r="Q12" i="9"/>
  <c r="Q13" i="9"/>
  <c r="Q14" i="9"/>
  <c r="Q3" i="9"/>
  <c r="R15" i="9" l="1"/>
  <c r="R16" i="9" s="1"/>
  <c r="Q15" i="9"/>
  <c r="P15" i="9"/>
  <c r="P16" i="9" s="1"/>
  <c r="S15" i="9"/>
  <c r="T15" i="9"/>
  <c r="T16" i="9" l="1"/>
  <c r="B37" i="7" l="1"/>
  <c r="B38" i="7"/>
  <c r="B35" i="7"/>
  <c r="E35" i="7" s="1"/>
  <c r="E32" i="7"/>
  <c r="B29" i="7"/>
  <c r="B30" i="7"/>
  <c r="F30" i="7" s="1"/>
  <c r="B31" i="7"/>
  <c r="B28" i="7"/>
  <c r="F27" i="7"/>
  <c r="C30" i="7"/>
  <c r="D30" i="7" s="1"/>
  <c r="E30" i="7" s="1"/>
  <c r="C29" i="7"/>
  <c r="D29" i="7" s="1"/>
  <c r="C28" i="7"/>
  <c r="D28" i="7" s="1"/>
  <c r="C27" i="7"/>
  <c r="D27" i="7" s="1"/>
  <c r="D11" i="7"/>
  <c r="C37" i="7"/>
  <c r="D37" i="7"/>
  <c r="H20" i="2"/>
  <c r="C35" i="7"/>
  <c r="F31" i="7" l="1"/>
  <c r="C31" i="7"/>
  <c r="D31" i="7" s="1"/>
  <c r="E31" i="7"/>
  <c r="E28" i="7"/>
  <c r="F28" i="7" s="1"/>
  <c r="E29" i="7"/>
  <c r="F29" i="7" s="1"/>
  <c r="E27" i="7"/>
  <c r="G6" i="6" l="1"/>
  <c r="G5" i="6"/>
  <c r="G4" i="6"/>
  <c r="H4" i="6"/>
  <c r="H6" i="6"/>
  <c r="H5" i="6"/>
  <c r="D53" i="6" l="1"/>
  <c r="D54" i="6"/>
  <c r="D55" i="6"/>
  <c r="D56" i="6"/>
  <c r="D57" i="6"/>
  <c r="D58" i="6"/>
  <c r="D59" i="6"/>
  <c r="D60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E3" i="6"/>
  <c r="E7" i="6"/>
  <c r="E8" i="6"/>
  <c r="E9" i="6"/>
  <c r="E10" i="6"/>
  <c r="E11" i="6"/>
  <c r="E15" i="6"/>
  <c r="E16" i="6"/>
  <c r="E17" i="6"/>
  <c r="E18" i="6"/>
  <c r="E19" i="6"/>
  <c r="D2" i="6"/>
  <c r="E2" i="6" s="1"/>
  <c r="D3" i="6"/>
  <c r="D4" i="6"/>
  <c r="E4" i="6" s="1"/>
  <c r="D5" i="6"/>
  <c r="E5" i="6" s="1"/>
  <c r="D6" i="6"/>
  <c r="E6" i="6" s="1"/>
  <c r="D7" i="6"/>
  <c r="D8" i="6"/>
  <c r="D9" i="6"/>
  <c r="D10" i="6"/>
  <c r="D11" i="6"/>
  <c r="D12" i="6"/>
  <c r="E12" i="6" s="1"/>
  <c r="D13" i="6"/>
  <c r="E13" i="6" s="1"/>
  <c r="D14" i="6"/>
  <c r="E14" i="6" s="1"/>
  <c r="D15" i="6"/>
  <c r="D16" i="6"/>
  <c r="D17" i="6"/>
  <c r="D18" i="6"/>
  <c r="D19" i="6"/>
  <c r="D20" i="6"/>
  <c r="E20" i="6" s="1"/>
  <c r="D21" i="6"/>
  <c r="E21" i="6" s="1"/>
  <c r="E22" i="6" s="1"/>
  <c r="B20" i="2" l="1"/>
  <c r="F14" i="2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G24" i="2"/>
  <c r="G17" i="2"/>
  <c r="G27" i="2"/>
  <c r="G28" i="2"/>
  <c r="C20" i="2"/>
  <c r="G14" i="2"/>
  <c r="G32" i="2"/>
  <c r="G31" i="2"/>
  <c r="G26" i="2"/>
  <c r="G22" i="2"/>
  <c r="G19" i="2"/>
  <c r="G21" i="2"/>
  <c r="G30" i="2"/>
  <c r="C22" i="2"/>
  <c r="G18" i="2"/>
  <c r="G25" i="2"/>
  <c r="G15" i="2"/>
  <c r="G16" i="2"/>
  <c r="G23" i="2"/>
  <c r="G20" i="2"/>
  <c r="G29" i="2"/>
  <c r="B22" i="2" l="1"/>
  <c r="F4" i="1"/>
  <c r="F5" i="1"/>
  <c r="F6" i="1"/>
  <c r="F7" i="1"/>
  <c r="F3" i="1"/>
  <c r="E8" i="1"/>
  <c r="E3" i="1"/>
  <c r="E4" i="1"/>
  <c r="E5" i="1"/>
  <c r="E6" i="1"/>
  <c r="E7" i="1"/>
  <c r="D9" i="1"/>
  <c r="D8" i="1"/>
  <c r="C9" i="1"/>
  <c r="C8" i="1"/>
  <c r="B21" i="1"/>
  <c r="B22" i="1" s="1"/>
  <c r="C16" i="1"/>
  <c r="C15" i="1"/>
  <c r="C14" i="1"/>
  <c r="C13" i="1"/>
  <c r="C12" i="1"/>
  <c r="F8" i="1"/>
  <c r="D4" i="1"/>
  <c r="D5" i="1"/>
  <c r="D6" i="1"/>
  <c r="D7" i="1"/>
  <c r="D3" i="1"/>
  <c r="C4" i="1"/>
  <c r="C5" i="1"/>
  <c r="C6" i="1"/>
  <c r="C7" i="1"/>
  <c r="C3" i="1"/>
  <c r="B25" i="1" l="1"/>
  <c r="B24" i="1"/>
  <c r="B26" i="1" l="1"/>
  <c r="U15" i="9"/>
</calcChain>
</file>

<file path=xl/comments1.xml><?xml version="1.0" encoding="utf-8"?>
<comments xmlns="http://schemas.openxmlformats.org/spreadsheetml/2006/main">
  <authors>
    <author>Author</author>
  </authors>
  <commentList>
    <comment ref="J18" authorId="0" shapeId="0">
      <text>
        <r>
          <rPr>
            <b/>
            <sz val="9"/>
            <color indexed="81"/>
            <rFont val="Tahoma"/>
            <family val="2"/>
          </rPr>
          <t xml:space="preserve">Based on Adjusted ROI; not based on % partnership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<sst xmlns="http://schemas.openxmlformats.org/spreadsheetml/2006/main" count="837" uniqueCount="484">
  <si>
    <t>YEAR code</t>
  </si>
  <si>
    <t>Revenue (millions of USD)</t>
  </si>
  <si>
    <t>Exponential Model</t>
  </si>
  <si>
    <t>Forecast(previsión)</t>
  </si>
  <si>
    <t>Actual Data</t>
  </si>
  <si>
    <t>Exponential</t>
  </si>
  <si>
    <t>Power</t>
  </si>
  <si>
    <t>Absolute percent error</t>
  </si>
  <si>
    <t>y=ae^(bx)</t>
  </si>
  <si>
    <r>
      <t>y = 103,59e</t>
    </r>
    <r>
      <rPr>
        <vertAlign val="superscript"/>
        <sz val="8"/>
        <color rgb="FF595959"/>
        <rFont val="Calibri"/>
        <family val="2"/>
        <scheme val="minor"/>
      </rPr>
      <t>0,7259x</t>
    </r>
  </si>
  <si>
    <t>b=</t>
  </si>
  <si>
    <t>a=</t>
  </si>
  <si>
    <t>Power Model</t>
  </si>
  <si>
    <t>y=ax^b</t>
  </si>
  <si>
    <t>MAPE</t>
  </si>
  <si>
    <t>Model the business:</t>
  </si>
  <si>
    <t>Unit cost:</t>
  </si>
  <si>
    <t>Actual demand:</t>
  </si>
  <si>
    <t>Cost:</t>
  </si>
  <si>
    <t>Revenue (ingresos):</t>
  </si>
  <si>
    <t>Profit (ganancia)</t>
  </si>
  <si>
    <t>Demand (00s):
aplica la funcion exponential</t>
  </si>
  <si>
    <t xml:space="preserve">ingresos millones: </t>
  </si>
  <si>
    <t>1. ¿Merece la pena seguir adelante con el fármaco o debería Gopher Drugs abandonarlo ahora y no incurrir en los 9,3 millones de dólares de costes de desarrollo?</t>
  </si>
  <si>
    <t>2. ¿Cómo cambian los cambios en el modelo la respuesta a la pregunta anterior?</t>
  </si>
  <si>
    <t>Gopher Drugs:</t>
  </si>
  <si>
    <t>Development cost:</t>
  </si>
  <si>
    <t>millions</t>
  </si>
  <si>
    <t>Live time:</t>
  </si>
  <si>
    <t>years</t>
  </si>
  <si>
    <t>Year 1 Margin:</t>
  </si>
  <si>
    <t>Rate of increase:</t>
  </si>
  <si>
    <t>Inc through year</t>
  </si>
  <si>
    <t>Rate of decrease:</t>
  </si>
  <si>
    <t>Discount rate:</t>
  </si>
  <si>
    <t>End of year:</t>
  </si>
  <si>
    <t>Cast Flows (flujos de fundición)</t>
  </si>
  <si>
    <t>Gross margin ($mill)</t>
  </si>
  <si>
    <t>Es como si imaginaras todo el dinero que podrías ganar o perder con ese juguete en el futuro y lo compararas con el dinero que tendrías que gastar ahora mismo para conseguirlo. Si el resultado es positivo, significa que el juguete podría ser una buena inversión,</t>
  </si>
  <si>
    <r>
      <t>Una gran empresa farmacéutica, Gopher Drugs, está decidiendo si merece la pena seguir adelante con uno de sus nuevos fármacos, Iguazu. Iguazu se encuentra en las fases finales de desarrollo y estará listo para entrar en el mercado dentro de un año. El coste final del desarrollo, que se producirá a principios del año 1, es de 9 $.3M. La empresa estima que la demanda de Iguazú crecerá gradualmente y luego disminuirá a lo largo de su vida útil de 20 años. En concreto, la empresa espera que sus márgenes brutos (ingresos menos costes) sean de 1 $.2M en el año 1, que luego aumenten a un ritmo anual del 10% hasta el año 8, y que finalmente disminuyan a un ritmo anual del 5% hasta el año 20. Gopher Drugs quiere desarrollar un modelo de hoja de cálculo de sus flujos de caja a 20 años, asumiendo que sus flujos de caja, aparte del coste inicial de desarrollo, se producen al</t>
    </r>
    <r>
      <rPr>
        <i/>
        <sz val="10"/>
        <color rgb="FF1F1F1F"/>
        <rFont val="Var(--cds-font-family-source-sa"/>
      </rPr>
      <t>final</t>
    </r>
    <r>
      <rPr>
        <sz val="10"/>
        <color rgb="FF1F1F1F"/>
        <rFont val="Var(--cds-font-family-source-sa"/>
      </rPr>
      <t>de los años respectivos.utilizando un tipo de descuento anual del 12% para calcular el valor actual neto (VAN), la empresa farmacéutica quiere responder a las siguientes preguntas:</t>
    </r>
  </si>
  <si>
    <t>(Net) present value:</t>
  </si>
  <si>
    <t>Net Present Value:</t>
  </si>
  <si>
    <t>The investment is worth it</t>
  </si>
  <si>
    <t>for 3,3 mill</t>
  </si>
  <si>
    <t>Modelización del valor actual neto</t>
  </si>
  <si>
    <t>Year</t>
  </si>
  <si>
    <t>Average of Seasonally Adjusted Sales</t>
  </si>
  <si>
    <t>Year Number</t>
  </si>
  <si>
    <t>y = 158193e0,043x</t>
  </si>
  <si>
    <t xml:space="preserve">Exponential Model 
y=ae^(bx)
</t>
  </si>
  <si>
    <t>Error  %
Absolute</t>
  </si>
  <si>
    <t>Growing %
Average</t>
  </si>
  <si>
    <r>
      <rPr>
        <b/>
        <sz val="15"/>
        <color rgb="FF0D0D0D"/>
        <rFont val="Times New Roman"/>
        <family val="1"/>
      </rPr>
      <t>Porcentaje medio de crecimiento</t>
    </r>
    <r>
      <rPr>
        <sz val="15"/>
        <color rgb="FF0D0D0D"/>
        <rFont val="Times New Roman"/>
        <family val="1"/>
      </rPr>
      <t>=[</t>
    </r>
    <r>
      <rPr>
        <sz val="15"/>
        <color rgb="FF0D0D0D"/>
        <rFont val="KaTeX_Size3"/>
      </rPr>
      <t>(</t>
    </r>
    <r>
      <rPr>
        <sz val="15"/>
        <color rgb="FF0D0D0D"/>
        <rFont val="Times New Roman"/>
        <family val="1"/>
      </rPr>
      <t>Valor final−Valor inicial</t>
    </r>
    <r>
      <rPr>
        <sz val="1"/>
        <color rgb="FF0D0D0D"/>
        <rFont val="Times New Roman"/>
        <family val="1"/>
      </rPr>
      <t>​</t>
    </r>
    <r>
      <rPr>
        <sz val="15"/>
        <color rgb="FF0D0D0D"/>
        <rFont val="KaTeX_Size3"/>
      </rPr>
      <t>)/valor inicial ]</t>
    </r>
    <r>
      <rPr>
        <sz val="15"/>
        <color rgb="FF0D0D0D"/>
        <rFont val="Times New Roman"/>
        <family val="1"/>
      </rPr>
      <t>×100</t>
    </r>
  </si>
  <si>
    <r>
      <rPr>
        <b/>
        <sz val="14"/>
        <color theme="1"/>
        <rFont val="Calibri"/>
        <family val="2"/>
        <scheme val="minor"/>
      </rPr>
      <t>NPV</t>
    </r>
    <r>
      <rPr>
        <b/>
        <sz val="11"/>
        <color theme="1"/>
        <rFont val="Calibri"/>
        <family val="2"/>
        <scheme val="minor"/>
      </rPr>
      <t xml:space="preserve"> (Net Present Value) ó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VAN</t>
    </r>
    <r>
      <rPr>
        <b/>
        <sz val="11"/>
        <color rgb="FFFF0000"/>
        <rFont val="Calibri"/>
        <family val="2"/>
        <scheme val="minor"/>
      </rPr>
      <t xml:space="preserve"> (Valor Actual Neto) EXAMPLE:</t>
    </r>
  </si>
  <si>
    <t>¿Qué tasa de crecimiento porcentual anual g se necesita para amortizar el coste de la planta al final del año 5?</t>
  </si>
  <si>
    <t>Considere la suma de los beneficios de los años 1 a 5, ignorando el valor temporal del dinero.</t>
  </si>
  <si>
    <t>Teniendo en cuenta el valor temporal del dinero, ¿qué tasa de crecimiento porcentual anual g se necesita para amortizar el coste de la planta al final del año 5?</t>
  </si>
  <si>
    <t>Utilice un tipo de descuento del 5% para calcular el valor actual neto (VAN) de los flujos de caja de los años 1 a 5, suponiendo que las entradas de caja se producirán al final de cada año.</t>
  </si>
  <si>
    <t>YEARS</t>
  </si>
  <si>
    <t>Tu objetivo es pagar la inversión de $4M para el final del año 5.</t>
  </si>
  <si>
    <t>Costs (mill)</t>
  </si>
  <si>
    <t xml:space="preserve">Las ventas unitarias se espera que crezcan en el mismo porcentaje (g) cada año. </t>
  </si>
  <si>
    <t>Durante los años 1 al 5, incurres en dos tipos de costos: costos variables y costos fijos de SG&amp;A (ventas, generales y administrativos)</t>
  </si>
  <si>
    <t>Cada año, los costos variables son iguales a la mitad de los ingresos</t>
  </si>
  <si>
    <t>Durante el año 1, los costos de SG&amp;A son iguales al 40% de los ingresos</t>
  </si>
  <si>
    <t>Se asume que este porcentaje disminuirá un 2% por año, por lo que durante el año 2, los costos de SG&amp;A serán iguales al 38% de los ingresos, y así sucesivamente.</t>
  </si>
  <si>
    <t>ventas 1er año</t>
  </si>
  <si>
    <t xml:space="preserve">El precio de $25 permanecerá invariable durante los años 1 a 5. </t>
  </si>
  <si>
    <t>variable Costs</t>
  </si>
  <si>
    <t>fixed Costs SG&amp;A</t>
  </si>
  <si>
    <t>En el año 1, esperas vender 80,000 kits a un precio unitario de $25 cada uno =</t>
  </si>
  <si>
    <t>Total Costs</t>
  </si>
  <si>
    <t>Tasa de crecimiento anual (g)</t>
  </si>
  <si>
    <t>IGNORAMOS EL VALOR TEMPORAL DEL DINERO</t>
  </si>
  <si>
    <r>
      <rPr>
        <b/>
        <u/>
        <sz val="11"/>
        <color theme="1"/>
        <rFont val="Calibri"/>
        <family val="2"/>
        <scheme val="minor"/>
      </rPr>
      <t>Configuración del Modelo</t>
    </r>
    <r>
      <rPr>
        <sz val="11"/>
        <color theme="1"/>
        <rFont val="Calibri"/>
        <family val="2"/>
        <scheme val="minor"/>
      </rPr>
      <t xml:space="preserve">
1. Construye una tabla para modelar los ingresos, costos y beneficios para los años 1 a 5.
2. Asegúrate de incluir una celda para la tasa de crecimiento anual desconocida g. Codifica esta celda con un color y configúrala con cualquier número que desees por ahora.
</t>
    </r>
  </si>
  <si>
    <t>*NPV (Net Present Value) ó VAN (Valor Actual Neto) EXAMPLE:</t>
  </si>
  <si>
    <r>
      <t xml:space="preserve">*Para calcular el VAN, </t>
    </r>
    <r>
      <rPr>
        <b/>
        <u/>
        <sz val="11"/>
        <color rgb="FF00B050"/>
        <rFont val="Calibri"/>
        <family val="2"/>
        <scheme val="minor"/>
      </rPr>
      <t>necesitamos calcular el valor presente de los flujos de efectivo futuros</t>
    </r>
    <r>
      <rPr>
        <b/>
        <sz val="11"/>
        <color rgb="FF00B050"/>
        <rFont val="Calibri"/>
        <family val="2"/>
        <scheme val="minor"/>
      </rPr>
      <t xml:space="preserve"> (ingresos y costos) utilizando el tipo de descuento del 5% especificado. </t>
    </r>
  </si>
  <si>
    <t>Luego, podemos determinar la tasa de crecimiento g que haría que el VAN sea igual a cero.</t>
  </si>
  <si>
    <r>
      <rPr>
        <b/>
        <sz val="11"/>
        <color rgb="FF00B050"/>
        <rFont val="Calibri"/>
        <family val="2"/>
        <scheme val="minor"/>
      </rPr>
      <t>*net cash flows (profit)= flujos de efectivo futuros (ganancias)</t>
    </r>
    <r>
      <rPr>
        <sz val="11"/>
        <color theme="1"/>
        <rFont val="Calibri"/>
        <family val="2"/>
        <scheme val="minor"/>
      </rPr>
      <t xml:space="preserve">
</t>
    </r>
  </si>
  <si>
    <t>Net Cash Flows</t>
  </si>
  <si>
    <t>Descont del 5% (lo pasamos a número)</t>
  </si>
  <si>
    <t>VAN (=VNA(tasa%;valores)</t>
  </si>
  <si>
    <t xml:space="preserve">se necesitaría un crecimiento anual del 138.095% </t>
  </si>
  <si>
    <t>* CHECK AGAIN!!!</t>
  </si>
  <si>
    <t>* Quiero ganar 1000€ en 3 años, ¿Cuánto dinero tengo que invertir?</t>
  </si>
  <si>
    <t>* con un interés compuesto 5% (fijo)</t>
  </si>
  <si>
    <t>*Los 863,84€ es el valor actual de los 1000 dólares de dentro de 3 años.
*Y el 5% anual sería la tasa de descuento.</t>
  </si>
  <si>
    <t>=</t>
  </si>
  <si>
    <t>* VAN positivo, el negocio renta.</t>
  </si>
  <si>
    <t>VALOR ACTUAL NETO (VAN), otro ejemplo</t>
  </si>
  <si>
    <t>Anual Renueve (mill)=</t>
  </si>
  <si>
    <t>Bluejay Natural Gas</t>
  </si>
  <si>
    <t>*análisis financiero de los flujos de ingresos esperados</t>
  </si>
  <si>
    <t>*Total capital expenditures for the approved projects, no more than</t>
  </si>
  <si>
    <t>*Capital expenditures for the approved projects/year cannot be more than</t>
  </si>
  <si>
    <t>*The capital expenditures for the potential list of projects far exceed</t>
  </si>
  <si>
    <t>*FE1= Flujo de efectivo del 1er año</t>
  </si>
  <si>
    <t>*FE2= Flujo de efectivo del 2o año</t>
  </si>
  <si>
    <t>* i= interés</t>
  </si>
  <si>
    <t>*IO =Inversión inicial</t>
  </si>
  <si>
    <t>Financial Estimates for Potential Projects (in $millions)</t>
  </si>
  <si>
    <t>Project Index</t>
  </si>
  <si>
    <t>Functional Area (FA)</t>
  </si>
  <si>
    <t>Capex Year 1</t>
  </si>
  <si>
    <t>Capex Year 2</t>
  </si>
  <si>
    <t>Capex Year 3</t>
  </si>
  <si>
    <t>FA1</t>
  </si>
  <si>
    <t>FA2</t>
  </si>
  <si>
    <t>FA3</t>
  </si>
  <si>
    <t>*Capex Year 1 =  Capital Expenditure Year 1 =  Gasto de Capital en el 1er año.</t>
  </si>
  <si>
    <t>*so no all proyects will be on.</t>
  </si>
  <si>
    <t>Discount Rate  12%, lo pasamos a número=</t>
  </si>
  <si>
    <t>*Capex/FA/year</t>
  </si>
  <si>
    <t>NPV estimation</t>
  </si>
  <si>
    <t>NPV tighter</t>
  </si>
  <si>
    <r>
      <t xml:space="preserve">* NPV (Net Present Value)=VAN (Valor Actual Neto),Se calcula restando el </t>
    </r>
    <r>
      <rPr>
        <b/>
        <u/>
        <sz val="11"/>
        <color theme="1"/>
        <rFont val="Calibri"/>
        <family val="2"/>
        <scheme val="minor"/>
      </rPr>
      <t>costo inicial de la inversión</t>
    </r>
    <r>
      <rPr>
        <sz val="11"/>
        <color theme="1"/>
        <rFont val="Calibri"/>
        <family val="2"/>
        <scheme val="minor"/>
      </rPr>
      <t xml:space="preserve"> del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valor presente de los flujos de efectivo futuros</t>
    </r>
    <r>
      <rPr>
        <sz val="11"/>
        <color theme="1"/>
        <rFont val="Calibri"/>
        <family val="2"/>
        <scheme val="minor"/>
      </rPr>
      <t xml:space="preserve">, descontados a una </t>
    </r>
    <r>
      <rPr>
        <b/>
        <u/>
        <sz val="11"/>
        <color theme="1"/>
        <rFont val="Calibri"/>
        <family val="2"/>
        <scheme val="minor"/>
      </rPr>
      <t>tasa de descuento</t>
    </r>
    <r>
      <rPr>
        <sz val="11"/>
        <color theme="1"/>
        <rFont val="Calibri"/>
        <family val="2"/>
        <scheme val="minor"/>
      </rPr>
      <t xml:space="preserve"> adecuada</t>
    </r>
  </si>
  <si>
    <t>Capex FA1</t>
  </si>
  <si>
    <t>Capex FA2</t>
  </si>
  <si>
    <t>Capex FA3</t>
  </si>
  <si>
    <t>*Al menos 1 proyecto</t>
  </si>
  <si>
    <t>Approved project</t>
  </si>
  <si>
    <t>*Total Capex approved projects in 3 years(no more 10000)</t>
  </si>
  <si>
    <t>Capex/ok projects 1+2+3</t>
  </si>
  <si>
    <r>
      <rPr>
        <sz val="11"/>
        <color rgb="FF0070C0"/>
        <rFont val="Calibri"/>
        <family val="2"/>
        <scheme val="minor"/>
      </rPr>
      <t>*VAN ajustado = VAN original * (1 - Tasa de descuento)</t>
    </r>
    <r>
      <rPr>
        <sz val="11"/>
        <color theme="1"/>
        <rFont val="Calibri"/>
        <family val="2"/>
        <scheme val="minor"/>
      </rPr>
      <t xml:space="preserve">
</t>
    </r>
  </si>
  <si>
    <t xml:space="preserve"> *ROI (Return on Investment = rendimiento de la inversión) de cada proyecto, es el VAN en porcentaje del gasto total de capital del proyecto.</t>
  </si>
  <si>
    <t>ROI (from NPV tighter)</t>
  </si>
  <si>
    <t>% Decrease (pasado a número)</t>
  </si>
  <si>
    <t>VAN con diferentes %</t>
  </si>
  <si>
    <t>ROI</t>
  </si>
  <si>
    <t>*promedio ROI=</t>
  </si>
  <si>
    <t>*Max ROI=</t>
  </si>
  <si>
    <t>*MIN ROI=</t>
  </si>
  <si>
    <t>* La CEO está muy preocupada por mantener los gastos de capital 
dentro de un presupuesto fijo y gestionar el riesgo.</t>
  </si>
  <si>
    <t>*En los negocios compartidos, Bluejay asumirá el 50% de los gastos y recibirá sòlo el 50% 
de los ingresos.</t>
  </si>
  <si>
    <t>Bluejay Natural Gas Financials (in millions)</t>
  </si>
  <si>
    <t>Given:</t>
  </si>
  <si>
    <t>Functional Area</t>
  </si>
  <si>
    <t>Partnership %</t>
  </si>
  <si>
    <t>NPV</t>
  </si>
  <si>
    <t>Inputs</t>
  </si>
  <si>
    <t>FA 1</t>
  </si>
  <si>
    <t>Annual Revenue (millions)</t>
  </si>
  <si>
    <t>Expenditure (millions)</t>
  </si>
  <si>
    <t>Yearly Cap (millions)</t>
  </si>
  <si>
    <t>NPV Discount Rate % decrease:</t>
  </si>
  <si>
    <t>FA 2</t>
  </si>
  <si>
    <t xml:space="preserve">Requirement Checks </t>
  </si>
  <si>
    <t>Capital Ex. Under 4000 (Y1)</t>
  </si>
  <si>
    <t>Capital Ex. under 4000 (Y2)</t>
  </si>
  <si>
    <t>Capital Ex. under 4000 (Y3)</t>
  </si>
  <si>
    <t>FA 3</t>
  </si>
  <si>
    <t>Under $10,000 (year 1-3)</t>
  </si>
  <si>
    <t xml:space="preserve">Each FA has at least 1 project approved </t>
  </si>
  <si>
    <t>Number of Approved Project for FA 1</t>
  </si>
  <si>
    <t>Number of Approved Project for FA 2</t>
  </si>
  <si>
    <t>Adjusted based on % Partnership:</t>
  </si>
  <si>
    <t>Number of Approved Project for FA 3</t>
  </si>
  <si>
    <t>Cap Ex. Yr1</t>
  </si>
  <si>
    <t>Cap Ex. Yr2</t>
  </si>
  <si>
    <t>Cap Ex. Yr3</t>
  </si>
  <si>
    <t xml:space="preserve">Total Cost </t>
  </si>
  <si>
    <t>New NPV</t>
  </si>
  <si>
    <t xml:space="preserve">Approval Rating </t>
  </si>
  <si>
    <t xml:space="preserve">Total Number of Approved Projects </t>
  </si>
  <si>
    <t>Are the Conditions Met?</t>
  </si>
  <si>
    <t>FA 1 Approved Totals:</t>
  </si>
  <si>
    <t xml:space="preserve">Approved Cap Ex. Year Totals </t>
  </si>
  <si>
    <t>Year 1</t>
  </si>
  <si>
    <t xml:space="preserve">Year 2 </t>
  </si>
  <si>
    <t xml:space="preserve">Year 3 </t>
  </si>
  <si>
    <t>Functional Area:</t>
  </si>
  <si>
    <t xml:space="preserve">FA 1 </t>
  </si>
  <si>
    <t>FA 2  Approved Totals:</t>
  </si>
  <si>
    <t>FA 3 Approved Totals:</t>
  </si>
  <si>
    <t>Total Approved NPV:</t>
  </si>
  <si>
    <t>Overall Totals for Approved Projects:</t>
  </si>
  <si>
    <t xml:space="preserve">ROI </t>
  </si>
  <si>
    <t xml:space="preserve">% Change </t>
  </si>
  <si>
    <t>Average</t>
  </si>
  <si>
    <t>Minimum</t>
  </si>
  <si>
    <t>Maximum</t>
  </si>
  <si>
    <r>
      <t xml:space="preserve">* </t>
    </r>
    <r>
      <rPr>
        <b/>
        <sz val="14"/>
        <color theme="1"/>
        <rFont val="Calibri"/>
        <family val="2"/>
        <scheme val="minor"/>
      </rPr>
      <t>NPV</t>
    </r>
    <r>
      <rPr>
        <b/>
        <sz val="11"/>
        <color theme="1"/>
        <rFont val="Calibri"/>
        <family val="2"/>
        <scheme val="minor"/>
      </rPr>
      <t xml:space="preserve"> (Net Present Value) ó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VAN</t>
    </r>
    <r>
      <rPr>
        <b/>
        <sz val="11"/>
        <color rgb="FFFF0000"/>
        <rFont val="Calibri"/>
        <family val="2"/>
        <scheme val="minor"/>
      </rPr>
      <t xml:space="preserve"> (Valor Actual Neto) EXAMPLE:</t>
    </r>
  </si>
  <si>
    <r>
      <t>* ROI (Net Present Value) ó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VAN</t>
    </r>
    <r>
      <rPr>
        <b/>
        <sz val="11"/>
        <color rgb="FFFF0000"/>
        <rFont val="Calibri"/>
        <family val="2"/>
        <scheme val="minor"/>
      </rPr>
      <t xml:space="preserve"> (Valor Actual Neto) EXAMPLE:</t>
    </r>
  </si>
  <si>
    <r>
      <rPr>
        <b/>
        <sz val="12"/>
        <color rgb="FF1F1F1F"/>
        <rFont val="Arial"/>
        <family val="2"/>
      </rPr>
      <t xml:space="preserve">Programación Lineal </t>
    </r>
    <r>
      <rPr>
        <sz val="12"/>
        <color rgb="FF1F1F1F"/>
        <rFont val="Arial"/>
        <family val="2"/>
      </rPr>
      <t>ayuda a determinar cómo asignar mejor unos recursos limitados para maximizar o minimizar una cantidad (como el beneficio o el coste).</t>
    </r>
  </si>
  <si>
    <t>VAN or</t>
  </si>
  <si>
    <t>Capex elections</t>
  </si>
  <si>
    <t>TV advertising/each one</t>
  </si>
  <si>
    <t>Radio advertising/each one</t>
  </si>
  <si>
    <t>arrive</t>
  </si>
  <si>
    <t>people</t>
  </si>
  <si>
    <t>*Capex advertising: at least 10 advertisings of each one:</t>
  </si>
  <si>
    <t>*¿Cuántos anuncios de cada tipo deben utilizarse?</t>
  </si>
  <si>
    <t>Variables</t>
  </si>
  <si>
    <t>No.of Radio Ads</t>
  </si>
  <si>
    <t>No.of TV Ads</t>
  </si>
  <si>
    <t>dummie numbers</t>
  </si>
  <si>
    <t>Modelado LP (Linear Programming)</t>
  </si>
  <si>
    <t>Objetive (max):</t>
  </si>
  <si>
    <t>Constain Table:</t>
  </si>
  <si>
    <t>LHS</t>
  </si>
  <si>
    <t>Sign</t>
  </si>
  <si>
    <t>RHS</t>
  </si>
  <si>
    <t>formula (LHS)</t>
  </si>
  <si>
    <t>No of people reached:</t>
  </si>
  <si>
    <t>&gt;=</t>
  </si>
  <si>
    <t>Budget(presupuesto):</t>
  </si>
  <si>
    <t>&lt;=</t>
  </si>
  <si>
    <t>At least 10 radio</t>
  </si>
  <si>
    <t>At least TV</t>
  </si>
  <si>
    <t>R&gt;=T</t>
  </si>
  <si>
    <t>*The number of adversatings of both has to be the same:</t>
  </si>
  <si>
    <t>*Sumary senteses:</t>
  </si>
  <si>
    <t>Purchase of 175 radio ads and 10 TV ads looking maximun of number of people reached.</t>
  </si>
  <si>
    <t>1. OBJETIVES?</t>
  </si>
  <si>
    <t>2. VARIABLE?</t>
  </si>
  <si>
    <t>3.LIMITATIONS OR CONDITIONS?</t>
  </si>
  <si>
    <t>* SOLVER (PL)  *es muy úitl =SUMAPRODUCTO</t>
  </si>
  <si>
    <t>*Al utilizar =SUMAPRODUCTO las matrices deben tener el mismo tamaño, si no da error.</t>
  </si>
  <si>
    <t>X</t>
  </si>
  <si>
    <t>Y</t>
  </si>
  <si>
    <t>Profit:</t>
  </si>
  <si>
    <t>Constraint</t>
  </si>
  <si>
    <t>2X+Y&lt;=120</t>
  </si>
  <si>
    <t>2X+3Y&lt;=240</t>
  </si>
  <si>
    <t>3. LIMITATIONS or CONDITIONS or CONSTRAINTS?</t>
  </si>
  <si>
    <t>600 basic</t>
  </si>
  <si>
    <t>1200 XP</t>
  </si>
  <si>
    <t>No. XP computers</t>
  </si>
  <si>
    <t>Total</t>
  </si>
  <si>
    <t>Revenue</t>
  </si>
  <si>
    <t>Costs:</t>
  </si>
  <si>
    <t>No. BASIC computers</t>
  </si>
  <si>
    <t xml:space="preserve">     Parts/computers:</t>
  </si>
  <si>
    <t>hours os emssasmbly</t>
  </si>
  <si>
    <t>hours tests</t>
  </si>
  <si>
    <t>price hour of emssasbly.</t>
  </si>
  <si>
    <t>price hour of testing</t>
  </si>
  <si>
    <t xml:space="preserve">     Cost unit/emssasmbly:</t>
  </si>
  <si>
    <t xml:space="preserve">     Cost unit/testing:</t>
  </si>
  <si>
    <t>local bono</t>
  </si>
  <si>
    <t>Tech valor</t>
  </si>
  <si>
    <t>Acc high risk</t>
  </si>
  <si>
    <t>Elect Thomp</t>
  </si>
  <si>
    <t>Palmer 
tech</t>
  </si>
  <si>
    <t>Aerospace 
Corp.</t>
  </si>
  <si>
    <t>HDN 
high risk</t>
  </si>
  <si>
    <t>Constraints</t>
  </si>
  <si>
    <t>Budget</t>
  </si>
  <si>
    <t>Objetive (min) 
bus distance:</t>
  </si>
  <si>
    <t>AB</t>
  </si>
  <si>
    <t>AC</t>
  </si>
  <si>
    <t>AE</t>
  </si>
  <si>
    <t>BC</t>
  </si>
  <si>
    <t>BE</t>
  </si>
  <si>
    <t>CE</t>
  </si>
  <si>
    <t>DE</t>
  </si>
  <si>
    <t>BB</t>
  </si>
  <si>
    <t>CC</t>
  </si>
  <si>
    <t>EE</t>
  </si>
  <si>
    <t>CB</t>
  </si>
  <si>
    <t>DC</t>
  </si>
  <si>
    <t>DB</t>
  </si>
  <si>
    <t>EB</t>
  </si>
  <si>
    <t>EC</t>
  </si>
  <si>
    <t>Variables:</t>
  </si>
  <si>
    <t>Sector A</t>
  </si>
  <si>
    <t>Sector B</t>
  </si>
  <si>
    <t>Sector C</t>
  </si>
  <si>
    <t>Sector D</t>
  </si>
  <si>
    <t>Sector E</t>
  </si>
  <si>
    <t>capacity/school B</t>
  </si>
  <si>
    <t>capacity/school C</t>
  </si>
  <si>
    <t>capacity/school E</t>
  </si>
  <si>
    <t>contrato 1 año</t>
  </si>
  <si>
    <t>despido 1 año</t>
  </si>
  <si>
    <t>contrato 2 año</t>
  </si>
  <si>
    <t>despido 2 año</t>
  </si>
  <si>
    <t>contrato 3 año</t>
  </si>
  <si>
    <t>despido 3 año</t>
  </si>
  <si>
    <t>contrato 4 año</t>
  </si>
  <si>
    <t>despido 4 año</t>
  </si>
  <si>
    <t>contrato 5 año</t>
  </si>
  <si>
    <t>despido 5 año</t>
  </si>
  <si>
    <t>Objetive 
(min total cost):</t>
  </si>
  <si>
    <t>Año 1</t>
  </si>
  <si>
    <t>Año 2</t>
  </si>
  <si>
    <t>Año 3</t>
  </si>
  <si>
    <t>Año 4</t>
  </si>
  <si>
    <t>Año 5</t>
  </si>
  <si>
    <t>SOCCER BALLS</t>
  </si>
  <si>
    <t>BASKETBALL</t>
  </si>
  <si>
    <t>Objetive (max)
DAILY PROFIT::</t>
  </si>
  <si>
    <t>factory
machine time</t>
  </si>
  <si>
    <t>factory
worker´s time</t>
  </si>
  <si>
    <t>variables</t>
  </si>
  <si>
    <t>Objetive (max)
VPN ok projects</t>
  </si>
  <si>
    <t>Contraints</t>
  </si>
  <si>
    <t>Capex (1+2+3years)</t>
  </si>
  <si>
    <t>Proyect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</si>
  <si>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</si>
  <si>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</si>
  <si>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</si>
  <si>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</si>
  <si>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</si>
  <si>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</si>
  <si>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</si>
  <si>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</si>
  <si>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</si>
  <si>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</si>
  <si>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</si>
  <si>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PART 2</t>
  </si>
  <si>
    <t>Manager 1</t>
  </si>
  <si>
    <t>Manager 2</t>
  </si>
  <si>
    <t>Manager 3</t>
  </si>
  <si>
    <t>Manager 4</t>
  </si>
  <si>
    <t>Manager 5</t>
  </si>
  <si>
    <t>Manager 6</t>
  </si>
  <si>
    <t>Manager 7</t>
  </si>
  <si>
    <t>Manager 8</t>
  </si>
  <si>
    <t>Project 1</t>
  </si>
  <si>
    <t>Transportation example</t>
  </si>
  <si>
    <t xml:space="preserve">Shipping cost: </t>
  </si>
  <si>
    <t>Albany</t>
  </si>
  <si>
    <t>Clevelan</t>
  </si>
  <si>
    <t>Albany (A)</t>
  </si>
  <si>
    <t>Boston (B)</t>
  </si>
  <si>
    <t>Clevelan ©</t>
  </si>
  <si>
    <t>Desmonies (D) send to :</t>
  </si>
  <si>
    <t>*cost of sending one article</t>
  </si>
  <si>
    <t xml:space="preserve"> Evanston</t>
  </si>
  <si>
    <t xml:space="preserve"> Evanston (E) send to:</t>
  </si>
  <si>
    <t>Fort Lauderdale</t>
  </si>
  <si>
    <t xml:space="preserve">Fort Lauderdale (F) send: </t>
  </si>
  <si>
    <t>*Objetive: min cost</t>
  </si>
  <si>
    <r>
      <t xml:space="preserve">Factories in: </t>
    </r>
    <r>
      <rPr>
        <b/>
        <u/>
        <sz val="11"/>
        <color theme="1"/>
        <rFont val="Calibri"/>
        <family val="2"/>
        <scheme val="minor"/>
      </rPr>
      <t>Desmonies</t>
    </r>
    <r>
      <rPr>
        <b/>
        <sz val="11"/>
        <color theme="1"/>
        <rFont val="Calibri"/>
        <family val="2"/>
        <scheme val="minor"/>
      </rPr>
      <t xml:space="preserve">, </t>
    </r>
    <r>
      <rPr>
        <b/>
        <u/>
        <sz val="11"/>
        <color theme="1"/>
        <rFont val="Calibri"/>
        <family val="2"/>
        <scheme val="minor"/>
      </rPr>
      <t>Evanston</t>
    </r>
    <r>
      <rPr>
        <b/>
        <sz val="11"/>
        <color theme="1"/>
        <rFont val="Calibri"/>
        <family val="2"/>
        <scheme val="minor"/>
      </rPr>
      <t xml:space="preserve">, </t>
    </r>
    <r>
      <rPr>
        <b/>
        <u/>
        <sz val="11"/>
        <color theme="1"/>
        <rFont val="Calibri"/>
        <family val="2"/>
        <scheme val="minor"/>
      </rPr>
      <t>Fort Lauderdale</t>
    </r>
  </si>
  <si>
    <r>
      <t xml:space="preserve">Stores in : </t>
    </r>
    <r>
      <rPr>
        <b/>
        <u/>
        <sz val="11"/>
        <color theme="1"/>
        <rFont val="Calibri"/>
        <family val="2"/>
        <scheme val="minor"/>
      </rPr>
      <t>Albany</t>
    </r>
    <r>
      <rPr>
        <b/>
        <sz val="11"/>
        <color theme="1"/>
        <rFont val="Calibri"/>
        <family val="2"/>
        <scheme val="minor"/>
      </rPr>
      <t xml:space="preserve">, </t>
    </r>
    <r>
      <rPr>
        <b/>
        <u/>
        <sz val="11"/>
        <color theme="1"/>
        <rFont val="Calibri"/>
        <family val="2"/>
        <scheme val="minor"/>
      </rPr>
      <t>Boston</t>
    </r>
    <r>
      <rPr>
        <b/>
        <sz val="11"/>
        <color theme="1"/>
        <rFont val="Calibri"/>
        <family val="2"/>
        <scheme val="minor"/>
      </rPr>
      <t xml:space="preserve">, </t>
    </r>
    <r>
      <rPr>
        <b/>
        <u/>
        <sz val="11"/>
        <color theme="1"/>
        <rFont val="Calibri"/>
        <family val="2"/>
        <scheme val="minor"/>
      </rPr>
      <t>Clevelan</t>
    </r>
  </si>
  <si>
    <t>* Outputs:</t>
  </si>
  <si>
    <t>D:</t>
  </si>
  <si>
    <t>E:</t>
  </si>
  <si>
    <t>F:</t>
  </si>
  <si>
    <t>Dont produce more than:
(unites)</t>
  </si>
  <si>
    <t>A:</t>
  </si>
  <si>
    <t>B:</t>
  </si>
  <si>
    <t>C:</t>
  </si>
  <si>
    <t>* Demands 
(need number of products):</t>
  </si>
  <si>
    <t>Data Table:</t>
  </si>
  <si>
    <t xml:space="preserve"> Desmonies</t>
  </si>
  <si>
    <t xml:space="preserve"> Boston</t>
  </si>
  <si>
    <t>Destination</t>
  </si>
  <si>
    <t>Sources</t>
  </si>
  <si>
    <t>Output (limit 
production):</t>
  </si>
  <si>
    <t>Demand:</t>
  </si>
  <si>
    <t>Shipment Table:</t>
  </si>
  <si>
    <t>*dummy numbers = variables; cuantity of products (unites) for shipping.</t>
  </si>
  <si>
    <t>Objetive (min):</t>
  </si>
  <si>
    <t>Total Cost:</t>
  </si>
  <si>
    <t>Transportation example - alternative template</t>
  </si>
  <si>
    <t>Desmonies</t>
  </si>
  <si>
    <t>Evanston</t>
  </si>
  <si>
    <t>Unit cost</t>
  </si>
  <si>
    <t>Destinations/stores</t>
  </si>
  <si>
    <t>Origin/ factories</t>
  </si>
  <si>
    <t>Shipments
(variable)</t>
  </si>
  <si>
    <t>Supply contraints:</t>
  </si>
  <si>
    <t>Factories:</t>
  </si>
  <si>
    <t>*dummy numbers</t>
  </si>
  <si>
    <t>sign</t>
  </si>
  <si>
    <t>cappacity</t>
  </si>
  <si>
    <t>Outflow</t>
  </si>
  <si>
    <t>Stores:</t>
  </si>
  <si>
    <t>inflow</t>
  </si>
  <si>
    <r>
      <t xml:space="preserve">*outflow: flujo de dinero que </t>
    </r>
    <r>
      <rPr>
        <b/>
        <sz val="10"/>
        <color theme="9" tint="-0.249977111117893"/>
        <rFont val="Calibri"/>
        <family val="2"/>
        <scheme val="minor"/>
      </rPr>
      <t>entra</t>
    </r>
    <r>
      <rPr>
        <sz val="10"/>
        <color theme="9" tint="-0.249977111117893"/>
        <rFont val="Calibri"/>
        <family val="2"/>
        <scheme val="minor"/>
      </rPr>
      <t xml:space="preserve"> de un lugar específico.</t>
    </r>
  </si>
  <si>
    <r>
      <t>*outflow: flujo de dinero que</t>
    </r>
    <r>
      <rPr>
        <b/>
        <sz val="10"/>
        <color theme="9" tint="-0.249977111117893"/>
        <rFont val="Calibri"/>
        <family val="2"/>
        <scheme val="minor"/>
      </rPr>
      <t xml:space="preserve"> sale</t>
    </r>
    <r>
      <rPr>
        <sz val="10"/>
        <color theme="9" tint="-0.249977111117893"/>
        <rFont val="Calibri"/>
        <family val="2"/>
        <scheme val="minor"/>
      </rPr>
      <t xml:space="preserve"> de un lugar específico.</t>
    </r>
  </si>
  <si>
    <t>Objetive:</t>
  </si>
  <si>
    <t>Min cost:</t>
  </si>
  <si>
    <t>*no me sale, por????</t>
  </si>
  <si>
    <t>Planta 1</t>
  </si>
  <si>
    <t>Planta 2</t>
  </si>
  <si>
    <t>Planta 3</t>
  </si>
  <si>
    <t>Proyecto A</t>
  </si>
  <si>
    <t>Proyecto B</t>
  </si>
  <si>
    <t>Proyecto C</t>
  </si>
  <si>
    <t>Demand of projects:</t>
  </si>
  <si>
    <t>Capacity Limit plantas:</t>
  </si>
  <si>
    <t>*Objetive:</t>
  </si>
  <si>
    <t>Min Cost:</t>
  </si>
  <si>
    <t>A PLANTA 1</t>
  </si>
  <si>
    <t>A PLANTA 2</t>
  </si>
  <si>
    <t>A PLANTA 3</t>
  </si>
  <si>
    <t>B PLANTA 1</t>
  </si>
  <si>
    <t>B PLANTA 2</t>
  </si>
  <si>
    <t>B PLANTA 3</t>
  </si>
  <si>
    <t>COST $</t>
  </si>
  <si>
    <t>C PLANTA 1</t>
  </si>
  <si>
    <t>C PLANTA 2</t>
  </si>
  <si>
    <t>C PLANTA 3</t>
  </si>
  <si>
    <t>Units of concrete trucks</t>
  </si>
  <si>
    <t>Contraints Table:</t>
  </si>
  <si>
    <t>PLANTA 1</t>
  </si>
  <si>
    <t>capacity</t>
  </si>
  <si>
    <t>PLANTA 2</t>
  </si>
  <si>
    <t>PLANTA 3</t>
  </si>
  <si>
    <t>Demand Table:</t>
  </si>
  <si>
    <t>Demand</t>
  </si>
  <si>
    <t>*Nº de camiones que se trasladan a las PLANTAS.</t>
  </si>
  <si>
    <t>igual a  (Nº de camiones * cost of transport)</t>
  </si>
  <si>
    <t>*Nº de camiones que necesita cada proyecto.</t>
  </si>
  <si>
    <t>Project A</t>
  </si>
  <si>
    <t>Project B</t>
  </si>
  <si>
    <t>Project C</t>
  </si>
  <si>
    <t>Transport problems</t>
  </si>
  <si>
    <t>Assigment problems</t>
  </si>
  <si>
    <t>Omaha</t>
  </si>
  <si>
    <t>Jones</t>
  </si>
  <si>
    <t>Smith</t>
  </si>
  <si>
    <t>Wilson</t>
  </si>
  <si>
    <t>Miami</t>
  </si>
  <si>
    <t>Dallas</t>
  </si>
  <si>
    <t>NY</t>
  </si>
  <si>
    <t>Cost Table</t>
  </si>
  <si>
    <t>Recolocation:</t>
  </si>
  <si>
    <t>Assigment Table</t>
  </si>
  <si>
    <t>* A quién van a colocar y dónde.</t>
  </si>
  <si>
    <t>one candidate/
one office</t>
  </si>
  <si>
    <t>Objetive (min)</t>
  </si>
  <si>
    <t>Cost $</t>
  </si>
  <si>
    <t>Summary sentence:</t>
  </si>
  <si>
    <r>
      <rPr>
        <u/>
        <sz val="11"/>
        <color theme="1"/>
        <rFont val="Calibri"/>
        <family val="2"/>
        <scheme val="minor"/>
      </rPr>
      <t>Jones</t>
    </r>
    <r>
      <rPr>
        <sz val="11"/>
        <color theme="1"/>
        <rFont val="Calibri"/>
        <family val="2"/>
        <scheme val="minor"/>
      </rPr>
      <t xml:space="preserve"> will go to Miami</t>
    </r>
  </si>
  <si>
    <r>
      <rPr>
        <u/>
        <sz val="11"/>
        <color theme="1"/>
        <rFont val="Calibri"/>
        <family val="2"/>
        <scheme val="minor"/>
      </rPr>
      <t>Smith</t>
    </r>
    <r>
      <rPr>
        <sz val="11"/>
        <color theme="1"/>
        <rFont val="Calibri"/>
        <family val="2"/>
        <scheme val="minor"/>
      </rPr>
      <t xml:space="preserve"> to NY</t>
    </r>
  </si>
  <si>
    <r>
      <t xml:space="preserve">and </t>
    </r>
    <r>
      <rPr>
        <u/>
        <sz val="11"/>
        <color theme="1"/>
        <rFont val="Calibri"/>
        <family val="2"/>
        <scheme val="minor"/>
      </rPr>
      <t>Wilson</t>
    </r>
    <r>
      <rPr>
        <sz val="11"/>
        <color theme="1"/>
        <rFont val="Calibri"/>
        <family val="2"/>
        <scheme val="minor"/>
      </rPr>
      <t xml:space="preserve"> to Omaha for a total relocation of 2400$.</t>
    </r>
  </si>
  <si>
    <t>Kansas City</t>
  </si>
  <si>
    <t>Chicago</t>
  </si>
  <si>
    <t>Detroit</t>
  </si>
  <si>
    <t>Toronto</t>
  </si>
  <si>
    <t>Seattle</t>
  </si>
  <si>
    <t>Arlington</t>
  </si>
  <si>
    <t>Oakland</t>
  </si>
  <si>
    <t>Baltimore</t>
  </si>
  <si>
    <t>Min distance:</t>
  </si>
  <si>
    <t>Data Table</t>
  </si>
  <si>
    <t>one tripulation</t>
  </si>
  <si>
    <t>Summary sentence: Tripulation from Seattle will go to Detroit, Arlington tripulation to Chicago, Oakland tripulation to Kansas city and Baltimore tripulation to Toronto; doing a total milles of 4580.</t>
  </si>
  <si>
    <t>Estadística</t>
  </si>
  <si>
    <t>Gestión</t>
  </si>
  <si>
    <t>Finanzas</t>
  </si>
  <si>
    <t>Economía</t>
  </si>
  <si>
    <t>Bain</t>
  </si>
  <si>
    <t>Carey</t>
  </si>
  <si>
    <t>Dio</t>
  </si>
  <si>
    <t>Powell</t>
  </si>
  <si>
    <t>max califications:</t>
  </si>
  <si>
    <t>Nº teachers</t>
  </si>
  <si>
    <t>Fabrica 1</t>
  </si>
  <si>
    <t>Fabrica 2</t>
  </si>
  <si>
    <t>Tienda A</t>
  </si>
  <si>
    <t>Tienda B</t>
  </si>
  <si>
    <t>Tienda C</t>
  </si>
  <si>
    <t>Variant Table</t>
  </si>
  <si>
    <t>Demand/week</t>
  </si>
  <si>
    <t>max production/week</t>
  </si>
  <si>
    <t>Cost min:</t>
  </si>
  <si>
    <t>production costs/t-shirt</t>
  </si>
  <si>
    <t>Data Transport</t>
  </si>
  <si>
    <t>Data Production</t>
  </si>
  <si>
    <t>*sumo a cada tienda el coste de producción: Tienda A/fábrica 1: 22+6</t>
  </si>
  <si>
    <t>Closing Plant</t>
  </si>
  <si>
    <t>No. Of Workers to transfer</t>
  </si>
  <si>
    <t>Fabrica 3</t>
  </si>
  <si>
    <t>A</t>
  </si>
  <si>
    <t>B</t>
  </si>
  <si>
    <t>C</t>
  </si>
  <si>
    <t>No. Of Workers open positions</t>
  </si>
  <si>
    <t>SECOND PART:</t>
  </si>
  <si>
    <t>*Asignment problem</t>
  </si>
  <si>
    <t>*Transport problem</t>
  </si>
  <si>
    <t>FROM</t>
  </si>
  <si>
    <t>TO:</t>
  </si>
  <si>
    <t>Max the production:</t>
  </si>
  <si>
    <t>Open Plant 
(Demand)</t>
  </si>
  <si>
    <t>Contraints:</t>
  </si>
  <si>
    <r>
      <t xml:space="preserve">From </t>
    </r>
    <r>
      <rPr>
        <b/>
        <sz val="11"/>
        <color theme="1"/>
        <rFont val="Calibri"/>
        <family val="2"/>
        <scheme val="minor"/>
      </rPr>
      <t xml:space="preserve">Factory 1: </t>
    </r>
    <r>
      <rPr>
        <sz val="11"/>
        <color theme="1"/>
        <rFont val="Calibri"/>
        <family val="2"/>
        <scheme val="minor"/>
      </rPr>
      <t xml:space="preserve">60 workers go to plant B </t>
    </r>
  </si>
  <si>
    <r>
      <t xml:space="preserve">From </t>
    </r>
    <r>
      <rPr>
        <b/>
        <sz val="11"/>
        <color theme="1"/>
        <rFont val="Calibri"/>
        <family val="2"/>
        <scheme val="minor"/>
      </rPr>
      <t>Factory 2:</t>
    </r>
    <r>
      <rPr>
        <sz val="11"/>
        <color theme="1"/>
        <rFont val="Calibri"/>
        <family val="2"/>
        <scheme val="minor"/>
      </rPr>
      <t xml:space="preserve"> 45 workers go to plant A, 30 to plant B and 30 to plant C.</t>
    </r>
  </si>
  <si>
    <r>
      <t xml:space="preserve">From </t>
    </r>
    <r>
      <rPr>
        <b/>
        <sz val="11"/>
        <color theme="1"/>
        <rFont val="Calibri"/>
        <family val="2"/>
        <scheme val="minor"/>
      </rPr>
      <t>Factory 3</t>
    </r>
    <r>
      <rPr>
        <sz val="11"/>
        <color theme="1"/>
        <rFont val="Calibri"/>
        <family val="2"/>
        <scheme val="minor"/>
      </rPr>
      <t>: 5 workers go to plant C.</t>
    </r>
  </si>
  <si>
    <t>For getting the maximun in production.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</si>
</sst>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[$$-409]* #,##0_ ;_-[$$-409]* \-#,##0\ ;_-[$$-409]* &quot;-&quot;??_ ;_-@_ "/>
    <numFmt numFmtId="165" formatCode="_-[$$-409]* #,##0.00_ ;_-[$$-409]* \-#,##0.00\ ;_-[$$-409]* &quot;-&quot;??_ ;_-@_ "/>
    <numFmt numFmtId="166" formatCode="_(&quot;$&quot;* #,##0.00_);_(&quot;$&quot;* \(#,##0.00\);_(&quot;$&quot;* &quot;-&quot;??_);_(@_)"/>
    <numFmt numFmtId="167" formatCode="&quot;$&quot;#,##0.00"/>
    <numFmt numFmtId="168" formatCode="&quot;$&quot;#,##0.0"/>
    <numFmt numFmtId="169" formatCode="0.0%"/>
    <numFmt numFmtId="170" formatCode="_(&quot;$&quot;* #,##0_);_(&quot;$&quot;* \(#,##0\);_(&quot;$&quot;* &quot;-&quot;??_);_(@_)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595959"/>
      <name val="Calibri"/>
      <family val="2"/>
      <scheme val="minor"/>
    </font>
    <font>
      <vertAlign val="superscript"/>
      <sz val="8"/>
      <color rgb="FF595959"/>
      <name val="Calibri"/>
      <family val="2"/>
      <scheme val="minor"/>
    </font>
    <font>
      <sz val="12"/>
      <color rgb="FF1F1F1F"/>
      <name val="Arial"/>
      <family val="2"/>
    </font>
    <font>
      <b/>
      <sz val="11"/>
      <color theme="1"/>
      <name val="Calibri"/>
      <family val="2"/>
      <scheme val="minor"/>
    </font>
    <font>
      <sz val="11"/>
      <color rgb="FF1F1F1F"/>
      <name val="Var(--cds-font-family-source-sa"/>
    </font>
    <font>
      <b/>
      <sz val="14"/>
      <color theme="1"/>
      <name val="Calibri"/>
      <family val="2"/>
      <scheme val="minor"/>
    </font>
    <font>
      <b/>
      <sz val="10"/>
      <color rgb="FF0D0D0D"/>
      <name val="Segoe UI"/>
      <family val="2"/>
    </font>
    <font>
      <sz val="10"/>
      <color rgb="FF1F1F1F"/>
      <name val="Var(--cds-font-family-source-sa"/>
    </font>
    <font>
      <i/>
      <sz val="10"/>
      <color rgb="FF1F1F1F"/>
      <name val="Var(--cds-font-family-source-sa"/>
    </font>
    <font>
      <b/>
      <u/>
      <sz val="14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2"/>
      <color rgb="FF92D050"/>
      <name val="Segoe UI"/>
      <family val="2"/>
    </font>
    <font>
      <b/>
      <sz val="24"/>
      <color rgb="FF1F1F1F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5"/>
      <color rgb="FF0D0D0D"/>
      <name val="Times New Roman"/>
      <family val="1"/>
    </font>
    <font>
      <sz val="15"/>
      <color rgb="FF0D0D0D"/>
      <name val="KaTeX_Size3"/>
    </font>
    <font>
      <sz val="1"/>
      <color rgb="FF0D0D0D"/>
      <name val="Times New Roman"/>
      <family val="1"/>
    </font>
    <font>
      <b/>
      <sz val="15"/>
      <color rgb="FF0D0D0D"/>
      <name val="Times New Roman"/>
      <family val="1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Algerian"/>
      <family val="5"/>
    </font>
    <font>
      <b/>
      <sz val="12"/>
      <color rgb="FF0D0D0D"/>
      <name val="Segoe UI"/>
      <family val="2"/>
    </font>
    <font>
      <sz val="12"/>
      <color rgb="FF0D0D0D"/>
      <name val="Segoe UI"/>
      <family val="2"/>
    </font>
    <font>
      <b/>
      <sz val="10"/>
      <color rgb="FF1F1F1F"/>
      <name val="Arial"/>
      <family val="2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rgb="FF0D0D0D"/>
      <name val="Segoe UI"/>
      <family val="2"/>
    </font>
    <font>
      <sz val="11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24588D"/>
      <name val="Helvetica Neue"/>
      <family val="2"/>
    </font>
    <font>
      <sz val="1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1F1F1F"/>
      <name val="Arial"/>
      <family val="2"/>
    </font>
    <font>
      <sz val="11"/>
      <color rgb="FF1F1F1F"/>
      <name val="Arial"/>
      <family val="2"/>
    </font>
    <font>
      <sz val="11"/>
      <color theme="1"/>
      <name val="Var(--cds-font-family-source-sa"/>
    </font>
    <font>
      <sz val="11"/>
      <color rgb="FFFF000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sz val="18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B050"/>
      </right>
      <top/>
      <bottom/>
      <diagonal/>
    </border>
    <border>
      <left/>
      <right/>
      <top style="thin">
        <color rgb="FF00B050"/>
      </top>
      <bottom/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 style="thin">
        <color rgb="FF00B050"/>
      </left>
      <right style="thin">
        <color indexed="64"/>
      </right>
      <top/>
      <bottom/>
      <diagonal/>
    </border>
    <border>
      <left style="thin">
        <color rgb="FF00B050"/>
      </left>
      <right/>
      <top style="thin">
        <color rgb="FF00B050"/>
      </top>
      <bottom/>
      <diagonal/>
    </border>
    <border>
      <left/>
      <right style="thin">
        <color rgb="FF00B050"/>
      </right>
      <top style="thin">
        <color rgb="FF00B050"/>
      </top>
      <bottom/>
      <diagonal/>
    </border>
    <border>
      <left/>
      <right/>
      <top/>
      <bottom style="thin">
        <color rgb="FF00B050"/>
      </bottom>
      <diagonal/>
    </border>
    <border>
      <left style="thin">
        <color theme="3" tint="0.59999389629810485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19">
    <xf numFmtId="0" fontId="0" fillId="0" borderId="0" xfId="0"/>
    <xf numFmtId="0" fontId="0" fillId="3" borderId="1" xfId="0" applyFill="1" applyBorder="1"/>
    <xf numFmtId="0" fontId="1" fillId="2" borderId="1" xfId="1" applyBorder="1" applyAlignment="1">
      <alignment horizontal="left" vertical="top"/>
    </xf>
    <xf numFmtId="0" fontId="0" fillId="0" borderId="1" xfId="0" applyFill="1" applyBorder="1"/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2" xfId="0" applyFill="1" applyBorder="1"/>
    <xf numFmtId="0" fontId="4" fillId="0" borderId="0" xfId="0" applyFont="1"/>
    <xf numFmtId="0" fontId="0" fillId="0" borderId="3" xfId="0" applyBorder="1" applyAlignment="1"/>
    <xf numFmtId="2" fontId="0" fillId="0" borderId="1" xfId="0" applyNumberFormat="1" applyBorder="1"/>
    <xf numFmtId="9" fontId="0" fillId="0" borderId="1" xfId="2" applyFont="1" applyBorder="1"/>
    <xf numFmtId="9" fontId="0" fillId="0" borderId="0" xfId="2" applyFont="1"/>
    <xf numFmtId="164" fontId="0" fillId="0" borderId="0" xfId="0" applyNumberFormat="1"/>
    <xf numFmtId="0" fontId="0" fillId="0" borderId="0" xfId="0" applyAlignment="1">
      <alignment vertical="top" wrapText="1"/>
    </xf>
    <xf numFmtId="1" fontId="0" fillId="0" borderId="0" xfId="0" applyNumberFormat="1"/>
    <xf numFmtId="0" fontId="0" fillId="0" borderId="7" xfId="0" applyFill="1" applyBorder="1"/>
    <xf numFmtId="0" fontId="2" fillId="0" borderId="8" xfId="0" applyFont="1" applyBorder="1" applyAlignment="1">
      <alignment horizontal="center" vertical="center" readingOrder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10" xfId="0" applyNumberFormat="1" applyBorder="1"/>
    <xf numFmtId="0" fontId="0" fillId="0" borderId="11" xfId="0" applyBorder="1"/>
    <xf numFmtId="9" fontId="0" fillId="0" borderId="12" xfId="2" applyFont="1" applyBorder="1"/>
    <xf numFmtId="0" fontId="0" fillId="3" borderId="11" xfId="0" applyFill="1" applyBorder="1"/>
    <xf numFmtId="0" fontId="0" fillId="3" borderId="12" xfId="0" applyFill="1" applyBorder="1"/>
    <xf numFmtId="0" fontId="0" fillId="3" borderId="4" xfId="0" applyFill="1" applyBorder="1"/>
    <xf numFmtId="0" fontId="0" fillId="0" borderId="4" xfId="0" applyBorder="1"/>
    <xf numFmtId="0" fontId="0" fillId="0" borderId="14" xfId="0" applyBorder="1"/>
    <xf numFmtId="164" fontId="0" fillId="0" borderId="15" xfId="0" applyNumberFormat="1" applyBorder="1"/>
    <xf numFmtId="0" fontId="0" fillId="0" borderId="7" xfId="0" applyFill="1" applyBorder="1" applyAlignment="1">
      <alignment horizontal="center" vertical="center"/>
    </xf>
    <xf numFmtId="2" fontId="0" fillId="0" borderId="2" xfId="0" applyNumberFormat="1" applyFill="1" applyBorder="1"/>
    <xf numFmtId="164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6" xfId="0" applyBorder="1"/>
    <xf numFmtId="2" fontId="0" fillId="0" borderId="1" xfId="2" applyNumberFormat="1" applyFont="1" applyBorder="1"/>
    <xf numFmtId="8" fontId="0" fillId="0" borderId="0" xfId="0" applyNumberFormat="1"/>
    <xf numFmtId="2" fontId="0" fillId="0" borderId="13" xfId="0" applyNumberFormat="1" applyBorder="1"/>
    <xf numFmtId="0" fontId="0" fillId="0" borderId="0" xfId="0" applyAlignment="1"/>
    <xf numFmtId="0" fontId="9" fillId="0" borderId="17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0" fontId="0" fillId="0" borderId="0" xfId="0" applyBorder="1"/>
    <xf numFmtId="0" fontId="0" fillId="0" borderId="19" xfId="0" applyBorder="1" applyAlignment="1"/>
    <xf numFmtId="0" fontId="0" fillId="0" borderId="20" xfId="0" applyBorder="1" applyAlignment="1"/>
    <xf numFmtId="0" fontId="0" fillId="0" borderId="0" xfId="0" applyBorder="1" applyAlignment="1">
      <alignment wrapText="1"/>
    </xf>
    <xf numFmtId="0" fontId="0" fillId="0" borderId="21" xfId="0" applyBorder="1"/>
    <xf numFmtId="0" fontId="9" fillId="0" borderId="21" xfId="0" applyFont="1" applyBorder="1" applyAlignment="1">
      <alignment horizontal="center" vertical="top" wrapText="1"/>
    </xf>
    <xf numFmtId="0" fontId="11" fillId="0" borderId="0" xfId="0" applyFont="1"/>
    <xf numFmtId="0" fontId="0" fillId="4" borderId="1" xfId="0" applyFill="1" applyBorder="1"/>
    <xf numFmtId="0" fontId="0" fillId="4" borderId="0" xfId="0" applyFill="1"/>
    <xf numFmtId="0" fontId="0" fillId="4" borderId="13" xfId="0" applyFill="1" applyBorder="1"/>
    <xf numFmtId="0" fontId="0" fillId="5" borderId="14" xfId="0" applyFill="1" applyBorder="1"/>
    <xf numFmtId="8" fontId="0" fillId="5" borderId="15" xfId="0" applyNumberFormat="1" applyFill="1" applyBorder="1"/>
    <xf numFmtId="165" fontId="6" fillId="4" borderId="1" xfId="0" applyNumberFormat="1" applyFont="1" applyFill="1" applyBorder="1" applyAlignment="1">
      <alignment horizontal="center" wrapText="1"/>
    </xf>
    <xf numFmtId="165" fontId="0" fillId="4" borderId="1" xfId="0" quotePrefix="1" applyNumberFormat="1" applyFill="1" applyBorder="1" applyAlignment="1">
      <alignment horizontal="left" vertical="top" wrapText="1"/>
    </xf>
    <xf numFmtId="165" fontId="0" fillId="4" borderId="1" xfId="0" applyNumberFormat="1" applyFill="1" applyBorder="1" applyAlignment="1">
      <alignment horizontal="left" vertical="top" wrapText="1"/>
    </xf>
    <xf numFmtId="165" fontId="0" fillId="4" borderId="1" xfId="0" applyNumberFormat="1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12" fillId="0" borderId="31" xfId="0" applyFont="1" applyBorder="1"/>
    <xf numFmtId="0" fontId="0" fillId="0" borderId="32" xfId="0" applyBorder="1"/>
    <xf numFmtId="0" fontId="14" fillId="0" borderId="0" xfId="0" applyFont="1" applyAlignment="1">
      <alignment vertical="center"/>
    </xf>
    <xf numFmtId="0" fontId="0" fillId="0" borderId="0" xfId="0"/>
    <xf numFmtId="1" fontId="0" fillId="0" borderId="1" xfId="0" applyNumberFormat="1" applyBorder="1" applyAlignment="1">
      <alignment horizontal="center"/>
    </xf>
    <xf numFmtId="168" fontId="0" fillId="0" borderId="1" xfId="3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167" fontId="5" fillId="6" borderId="1" xfId="3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top" wrapText="1"/>
    </xf>
    <xf numFmtId="165" fontId="0" fillId="0" borderId="1" xfId="0" applyNumberFormat="1" applyBorder="1"/>
    <xf numFmtId="0" fontId="0" fillId="0" borderId="12" xfId="0" applyFill="1" applyBorder="1"/>
    <xf numFmtId="0" fontId="0" fillId="0" borderId="12" xfId="0" applyBorder="1"/>
    <xf numFmtId="0" fontId="0" fillId="0" borderId="34" xfId="0" applyBorder="1"/>
    <xf numFmtId="1" fontId="0" fillId="0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15" fillId="7" borderId="1" xfId="0" applyFont="1" applyFill="1" applyBorder="1" applyAlignment="1">
      <alignment horizontal="center" vertical="center" wrapText="1"/>
    </xf>
    <xf numFmtId="169" fontId="0" fillId="5" borderId="1" xfId="0" applyNumberFormat="1" applyFill="1" applyBorder="1"/>
    <xf numFmtId="0" fontId="5" fillId="7" borderId="1" xfId="0" applyFont="1" applyFill="1" applyBorder="1" applyAlignment="1">
      <alignment horizontal="left" vertical="center" wrapText="1"/>
    </xf>
    <xf numFmtId="168" fontId="0" fillId="0" borderId="0" xfId="3" applyNumberFormat="1" applyFont="1" applyBorder="1" applyAlignment="1">
      <alignment vertical="center"/>
    </xf>
    <xf numFmtId="2" fontId="0" fillId="7" borderId="4" xfId="2" applyNumberFormat="1" applyFont="1" applyFill="1" applyBorder="1" applyAlignment="1">
      <alignment vertical="center"/>
    </xf>
    <xf numFmtId="168" fontId="0" fillId="0" borderId="0" xfId="3" applyNumberFormat="1" applyFont="1" applyBorder="1" applyAlignment="1">
      <alignment horizontal="right" vertical="center"/>
    </xf>
    <xf numFmtId="0" fontId="22" fillId="0" borderId="0" xfId="0" applyFont="1"/>
    <xf numFmtId="0" fontId="5" fillId="0" borderId="0" xfId="0" applyFont="1"/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24" fillId="0" borderId="0" xfId="0" applyFont="1"/>
    <xf numFmtId="165" fontId="0" fillId="0" borderId="0" xfId="0" applyNumberFormat="1"/>
    <xf numFmtId="164" fontId="0" fillId="0" borderId="1" xfId="0" applyNumberFormat="1" applyBorder="1"/>
    <xf numFmtId="0" fontId="5" fillId="4" borderId="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 wrapText="1"/>
    </xf>
    <xf numFmtId="164" fontId="0" fillId="0" borderId="12" xfId="0" applyNumberFormat="1" applyBorder="1"/>
    <xf numFmtId="164" fontId="0" fillId="0" borderId="36" xfId="0" applyNumberFormat="1" applyBorder="1"/>
    <xf numFmtId="0" fontId="5" fillId="4" borderId="11" xfId="0" applyFont="1" applyFill="1" applyBorder="1" applyAlignment="1">
      <alignment horizontal="center" vertical="center"/>
    </xf>
    <xf numFmtId="164" fontId="0" fillId="0" borderId="11" xfId="0" applyNumberFormat="1" applyBorder="1"/>
    <xf numFmtId="164" fontId="0" fillId="0" borderId="37" xfId="0" applyNumberFormat="1" applyBorder="1"/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top"/>
    </xf>
    <xf numFmtId="0" fontId="5" fillId="5" borderId="13" xfId="0" applyFont="1" applyFill="1" applyBorder="1" applyAlignment="1">
      <alignment horizontal="left" vertical="top"/>
    </xf>
    <xf numFmtId="0" fontId="25" fillId="4" borderId="40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0" fillId="0" borderId="19" xfId="0" applyBorder="1"/>
    <xf numFmtId="0" fontId="0" fillId="0" borderId="20" xfId="0" applyBorder="1"/>
    <xf numFmtId="0" fontId="28" fillId="0" borderId="0" xfId="0" applyFont="1" applyAlignment="1">
      <alignment horizontal="left" vertical="top"/>
    </xf>
    <xf numFmtId="0" fontId="5" fillId="0" borderId="0" xfId="0" applyFont="1" applyBorder="1" applyAlignment="1">
      <alignment horizontal="center" vertical="top"/>
    </xf>
    <xf numFmtId="164" fontId="0" fillId="0" borderId="0" xfId="0" applyNumberFormat="1" applyBorder="1"/>
    <xf numFmtId="0" fontId="25" fillId="4" borderId="35" xfId="0" applyFont="1" applyFill="1" applyBorder="1" applyAlignment="1">
      <alignment horizontal="center" vertical="center"/>
    </xf>
    <xf numFmtId="8" fontId="0" fillId="0" borderId="0" xfId="0" applyNumberFormat="1" applyAlignment="1">
      <alignment horizontal="left" vertical="top"/>
    </xf>
    <xf numFmtId="6" fontId="0" fillId="0" borderId="1" xfId="0" applyNumberFormat="1" applyBorder="1"/>
    <xf numFmtId="164" fontId="0" fillId="0" borderId="13" xfId="0" applyNumberFormat="1" applyBorder="1"/>
    <xf numFmtId="0" fontId="27" fillId="9" borderId="38" xfId="0" applyFont="1" applyFill="1" applyBorder="1" applyAlignment="1">
      <alignment horizontal="left" vertical="top"/>
    </xf>
    <xf numFmtId="164" fontId="30" fillId="9" borderId="39" xfId="0" applyNumberFormat="1" applyFont="1" applyFill="1" applyBorder="1"/>
    <xf numFmtId="0" fontId="5" fillId="8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2" fontId="5" fillId="5" borderId="1" xfId="2" applyNumberFormat="1" applyFont="1" applyFill="1" applyBorder="1" applyAlignment="1">
      <alignment horizontal="right" vertical="center"/>
    </xf>
    <xf numFmtId="164" fontId="0" fillId="0" borderId="42" xfId="0" applyNumberFormat="1" applyBorder="1"/>
    <xf numFmtId="164" fontId="0" fillId="0" borderId="0" xfId="0" applyNumberFormat="1" applyFont="1" applyBorder="1"/>
    <xf numFmtId="0" fontId="0" fillId="0" borderId="0" xfId="0" applyFont="1" applyFill="1" applyBorder="1" applyAlignment="1">
      <alignment horizontal="center" vertical="center"/>
    </xf>
    <xf numFmtId="0" fontId="5" fillId="4" borderId="41" xfId="0" applyFont="1" applyFill="1" applyBorder="1" applyAlignment="1">
      <alignment horizontal="center" vertical="center"/>
    </xf>
    <xf numFmtId="164" fontId="0" fillId="0" borderId="43" xfId="0" applyNumberFormat="1" applyBorder="1"/>
    <xf numFmtId="164" fontId="0" fillId="0" borderId="4" xfId="0" applyNumberFormat="1" applyBorder="1"/>
    <xf numFmtId="6" fontId="0" fillId="0" borderId="0" xfId="0" applyNumberFormat="1"/>
    <xf numFmtId="9" fontId="31" fillId="8" borderId="1" xfId="0" applyNumberFormat="1" applyFont="1" applyFill="1" applyBorder="1" applyAlignment="1">
      <alignment horizontal="left" vertical="center" wrapText="1"/>
    </xf>
    <xf numFmtId="6" fontId="5" fillId="0" borderId="0" xfId="0" applyNumberFormat="1" applyFont="1" applyBorder="1" applyAlignment="1">
      <alignment horizontal="center" vertical="top"/>
    </xf>
    <xf numFmtId="0" fontId="32" fillId="0" borderId="0" xfId="0" applyFont="1"/>
    <xf numFmtId="0" fontId="28" fillId="0" borderId="18" xfId="0" applyFont="1" applyBorder="1" applyAlignment="1">
      <alignment horizontal="left" vertical="top"/>
    </xf>
    <xf numFmtId="165" fontId="5" fillId="0" borderId="14" xfId="0" applyNumberFormat="1" applyFont="1" applyBorder="1" applyAlignment="1">
      <alignment horizontal="center" vertical="center"/>
    </xf>
    <xf numFmtId="0" fontId="5" fillId="0" borderId="44" xfId="0" applyFont="1" applyBorder="1" applyAlignment="1">
      <alignment vertical="center"/>
    </xf>
    <xf numFmtId="0" fontId="5" fillId="0" borderId="15" xfId="0" applyFont="1" applyBorder="1"/>
    <xf numFmtId="0" fontId="5" fillId="0" borderId="0" xfId="0" applyFont="1" applyBorder="1" applyAlignment="1">
      <alignment vertical="center"/>
    </xf>
    <xf numFmtId="0" fontId="0" fillId="0" borderId="17" xfId="0" applyBorder="1"/>
    <xf numFmtId="0" fontId="34" fillId="0" borderId="0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9" fontId="0" fillId="0" borderId="1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5" xfId="0" applyBorder="1" applyAlignment="1">
      <alignment horizontal="center"/>
    </xf>
    <xf numFmtId="9" fontId="0" fillId="0" borderId="45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9" fontId="0" fillId="0" borderId="47" xfId="0" applyNumberForma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4" xfId="0" applyBorder="1" applyAlignment="1">
      <alignment horizontal="center"/>
    </xf>
    <xf numFmtId="164" fontId="0" fillId="0" borderId="1" xfId="0" applyNumberFormat="1" applyBorder="1" applyAlignment="1">
      <alignment horizontal="left" vertical="center"/>
    </xf>
    <xf numFmtId="2" fontId="0" fillId="0" borderId="1" xfId="2" applyNumberFormat="1" applyFont="1" applyBorder="1" applyAlignment="1">
      <alignment horizontal="left" vertical="center"/>
    </xf>
    <xf numFmtId="0" fontId="0" fillId="0" borderId="40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49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54" xfId="0" applyFont="1" applyBorder="1" applyAlignment="1">
      <alignment horizontal="center" vertical="center" wrapText="1"/>
    </xf>
    <xf numFmtId="0" fontId="36" fillId="0" borderId="0" xfId="0" applyFont="1"/>
    <xf numFmtId="0" fontId="5" fillId="0" borderId="50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38" fillId="0" borderId="0" xfId="0" applyFont="1"/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36" fillId="0" borderId="1" xfId="0" applyFont="1" applyBorder="1" applyAlignment="1">
      <alignment vertical="top" wrapText="1"/>
    </xf>
    <xf numFmtId="0" fontId="0" fillId="0" borderId="40" xfId="0" applyBorder="1" applyAlignment="1">
      <alignment horizontal="center" wrapText="1"/>
    </xf>
    <xf numFmtId="2" fontId="0" fillId="0" borderId="47" xfId="0" applyNumberFormat="1" applyBorder="1" applyAlignment="1">
      <alignment horizontal="center"/>
    </xf>
    <xf numFmtId="0" fontId="5" fillId="0" borderId="0" xfId="0" applyFont="1" applyBorder="1" applyAlignment="1">
      <alignment wrapText="1"/>
    </xf>
    <xf numFmtId="0" fontId="37" fillId="0" borderId="47" xfId="0" applyFont="1" applyBorder="1" applyAlignment="1">
      <alignment horizontal="center" vertical="center" wrapText="1"/>
    </xf>
    <xf numFmtId="0" fontId="36" fillId="0" borderId="47" xfId="0" applyFont="1" applyBorder="1" applyAlignment="1">
      <alignment vertical="top" wrapText="1"/>
    </xf>
    <xf numFmtId="0" fontId="0" fillId="0" borderId="0" xfId="0" applyBorder="1" applyAlignment="1">
      <alignment horizontal="center" vertical="center"/>
    </xf>
    <xf numFmtId="1" fontId="0" fillId="0" borderId="40" xfId="0" applyNumberFormat="1" applyBorder="1" applyAlignment="1">
      <alignment horizontal="center"/>
    </xf>
    <xf numFmtId="0" fontId="0" fillId="0" borderId="55" xfId="0" applyBorder="1"/>
    <xf numFmtId="0" fontId="0" fillId="0" borderId="56" xfId="0" applyBorder="1"/>
    <xf numFmtId="0" fontId="0" fillId="0" borderId="23" xfId="0" applyBorder="1" applyAlignment="1">
      <alignment horizontal="center"/>
    </xf>
    <xf numFmtId="0" fontId="0" fillId="0" borderId="57" xfId="0" applyBorder="1" applyAlignment="1">
      <alignment horizontal="center" wrapText="1"/>
    </xf>
    <xf numFmtId="0" fontId="0" fillId="0" borderId="57" xfId="0" applyBorder="1" applyAlignment="1">
      <alignment horizontal="center"/>
    </xf>
    <xf numFmtId="1" fontId="0" fillId="0" borderId="57" xfId="0" applyNumberFormat="1" applyBorder="1" applyAlignment="1">
      <alignment horizontal="center"/>
    </xf>
    <xf numFmtId="0" fontId="33" fillId="0" borderId="0" xfId="0" applyFont="1" applyFill="1" applyBorder="1" applyAlignment="1"/>
    <xf numFmtId="0" fontId="0" fillId="0" borderId="21" xfId="0" applyFill="1" applyBorder="1" applyAlignment="1">
      <alignment horizontal="center" wrapText="1"/>
    </xf>
    <xf numFmtId="0" fontId="28" fillId="0" borderId="0" xfId="0" applyFont="1" applyBorder="1" applyAlignment="1">
      <alignment wrapText="1"/>
    </xf>
    <xf numFmtId="0" fontId="36" fillId="0" borderId="53" xfId="0" applyFont="1" applyBorder="1" applyAlignment="1">
      <alignment vertical="top" wrapText="1"/>
    </xf>
    <xf numFmtId="0" fontId="0" fillId="0" borderId="16" xfId="0" applyFill="1" applyBorder="1" applyAlignment="1">
      <alignment horizontal="center" wrapText="1"/>
    </xf>
    <xf numFmtId="0" fontId="28" fillId="0" borderId="1" xfId="0" applyFont="1" applyBorder="1" applyAlignment="1">
      <alignment horizontal="left" vertical="top" wrapText="1"/>
    </xf>
    <xf numFmtId="9" fontId="0" fillId="0" borderId="40" xfId="0" applyNumberFormat="1" applyBorder="1" applyAlignment="1">
      <alignment horizontal="center" wrapText="1"/>
    </xf>
    <xf numFmtId="0" fontId="0" fillId="0" borderId="51" xfId="0" applyFont="1" applyBorder="1" applyAlignment="1">
      <alignment horizontal="center" vertical="center" wrapText="1"/>
    </xf>
    <xf numFmtId="0" fontId="5" fillId="4" borderId="5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2" fontId="33" fillId="0" borderId="7" xfId="2" applyNumberFormat="1" applyFont="1" applyBorder="1" applyAlignment="1">
      <alignment horizontal="center" vertical="center"/>
    </xf>
    <xf numFmtId="2" fontId="33" fillId="0" borderId="9" xfId="2" applyNumberFormat="1" applyFont="1" applyBorder="1" applyAlignment="1">
      <alignment horizontal="center" vertical="center"/>
    </xf>
    <xf numFmtId="2" fontId="33" fillId="0" borderId="46" xfId="2" applyNumberFormat="1" applyFont="1" applyBorder="1" applyAlignment="1">
      <alignment horizontal="center" vertical="center"/>
    </xf>
    <xf numFmtId="0" fontId="39" fillId="0" borderId="38" xfId="0" applyFont="1" applyBorder="1" applyAlignment="1">
      <alignment horizontal="center" vertical="center" wrapText="1"/>
    </xf>
    <xf numFmtId="0" fontId="39" fillId="0" borderId="39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9" fillId="0" borderId="0" xfId="0" applyFont="1" applyBorder="1" applyAlignment="1">
      <alignment horizontal="center" vertical="center" wrapText="1"/>
    </xf>
    <xf numFmtId="0" fontId="39" fillId="0" borderId="44" xfId="0" applyFont="1" applyBorder="1" applyAlignment="1">
      <alignment horizontal="center" vertical="center" wrapText="1"/>
    </xf>
    <xf numFmtId="2" fontId="33" fillId="0" borderId="58" xfId="2" applyNumberFormat="1" applyFont="1" applyBorder="1" applyAlignment="1">
      <alignment horizontal="center" vertical="center"/>
    </xf>
    <xf numFmtId="2" fontId="33" fillId="0" borderId="23" xfId="2" applyNumberFormat="1" applyFon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0" fontId="41" fillId="0" borderId="0" xfId="0" applyFont="1"/>
    <xf numFmtId="0" fontId="42" fillId="0" borderId="1" xfId="0" applyFont="1" applyBorder="1"/>
    <xf numFmtId="0" fontId="41" fillId="0" borderId="1" xfId="0" applyFont="1" applyBorder="1"/>
    <xf numFmtId="0" fontId="41" fillId="0" borderId="11" xfId="0" applyFont="1" applyBorder="1"/>
    <xf numFmtId="0" fontId="44" fillId="10" borderId="1" xfId="0" applyFont="1" applyFill="1" applyBorder="1"/>
    <xf numFmtId="0" fontId="0" fillId="10" borderId="1" xfId="0" applyFill="1" applyBorder="1"/>
    <xf numFmtId="9" fontId="0" fillId="10" borderId="1" xfId="2" applyFont="1" applyFill="1" applyBorder="1"/>
    <xf numFmtId="170" fontId="0" fillId="10" borderId="1" xfId="4" applyNumberFormat="1" applyFont="1" applyFill="1" applyBorder="1"/>
    <xf numFmtId="170" fontId="0" fillId="10" borderId="11" xfId="4" applyNumberFormat="1" applyFont="1" applyFill="1" applyBorder="1"/>
    <xf numFmtId="0" fontId="45" fillId="0" borderId="1" xfId="0" applyFont="1" applyBorder="1"/>
    <xf numFmtId="170" fontId="45" fillId="0" borderId="1" xfId="0" applyNumberFormat="1" applyFont="1" applyBorder="1"/>
    <xf numFmtId="0" fontId="46" fillId="0" borderId="0" xfId="0" applyFont="1"/>
    <xf numFmtId="9" fontId="47" fillId="8" borderId="1" xfId="0" applyNumberFormat="1" applyFont="1" applyFill="1" applyBorder="1"/>
    <xf numFmtId="0" fontId="44" fillId="11" borderId="1" xfId="0" applyFont="1" applyFill="1" applyBorder="1"/>
    <xf numFmtId="0" fontId="0" fillId="11" borderId="1" xfId="0" applyFill="1" applyBorder="1"/>
    <xf numFmtId="9" fontId="0" fillId="11" borderId="1" xfId="2" applyFont="1" applyFill="1" applyBorder="1"/>
    <xf numFmtId="170" fontId="0" fillId="11" borderId="1" xfId="4" applyNumberFormat="1" applyFont="1" applyFill="1" applyBorder="1"/>
    <xf numFmtId="170" fontId="0" fillId="11" borderId="11" xfId="4" applyNumberFormat="1" applyFont="1" applyFill="1" applyBorder="1"/>
    <xf numFmtId="0" fontId="44" fillId="12" borderId="1" xfId="0" applyFont="1" applyFill="1" applyBorder="1"/>
    <xf numFmtId="0" fontId="0" fillId="12" borderId="1" xfId="0" applyFill="1" applyBorder="1"/>
    <xf numFmtId="9" fontId="0" fillId="12" borderId="1" xfId="2" applyFont="1" applyFill="1" applyBorder="1"/>
    <xf numFmtId="170" fontId="0" fillId="12" borderId="1" xfId="4" applyNumberFormat="1" applyFont="1" applyFill="1" applyBorder="1"/>
    <xf numFmtId="170" fontId="0" fillId="12" borderId="11" xfId="4" applyNumberFormat="1" applyFont="1" applyFill="1" applyBorder="1"/>
    <xf numFmtId="0" fontId="0" fillId="0" borderId="0" xfId="0" applyAlignment="1">
      <alignment horizontal="center"/>
    </xf>
    <xf numFmtId="0" fontId="42" fillId="0" borderId="1" xfId="0" applyFont="1" applyBorder="1" applyAlignment="1">
      <alignment horizontal="center"/>
    </xf>
    <xf numFmtId="0" fontId="41" fillId="0" borderId="1" xfId="0" applyFont="1" applyBorder="1" applyAlignment="1">
      <alignment horizontal="center"/>
    </xf>
    <xf numFmtId="0" fontId="41" fillId="0" borderId="11" xfId="0" applyFont="1" applyBorder="1" applyAlignment="1">
      <alignment horizontal="center"/>
    </xf>
    <xf numFmtId="0" fontId="41" fillId="0" borderId="61" xfId="0" applyFont="1" applyBorder="1" applyAlignment="1">
      <alignment horizontal="center"/>
    </xf>
    <xf numFmtId="0" fontId="44" fillId="0" borderId="1" xfId="0" applyFont="1" applyBorder="1"/>
    <xf numFmtId="0" fontId="0" fillId="13" borderId="1" xfId="0" applyFill="1" applyBorder="1"/>
    <xf numFmtId="170" fontId="0" fillId="0" borderId="1" xfId="4" applyNumberFormat="1" applyFont="1" applyBorder="1"/>
    <xf numFmtId="170" fontId="0" fillId="0" borderId="11" xfId="4" applyNumberFormat="1" applyFont="1" applyBorder="1"/>
    <xf numFmtId="0" fontId="0" fillId="8" borderId="61" xfId="0" applyFill="1" applyBorder="1" applyAlignment="1">
      <alignment horizontal="center"/>
    </xf>
    <xf numFmtId="9" fontId="0" fillId="0" borderId="1" xfId="2" applyFont="1" applyFill="1" applyBorder="1"/>
    <xf numFmtId="9" fontId="0" fillId="0" borderId="11" xfId="2" applyFont="1" applyBorder="1"/>
    <xf numFmtId="0" fontId="41" fillId="0" borderId="0" xfId="0" applyFont="1" applyAlignment="1">
      <alignment horizontal="right"/>
    </xf>
    <xf numFmtId="170" fontId="0" fillId="0" borderId="1" xfId="4" applyNumberFormat="1" applyFont="1" applyFill="1" applyBorder="1"/>
    <xf numFmtId="0" fontId="0" fillId="14" borderId="1" xfId="0" applyFill="1" applyBorder="1"/>
    <xf numFmtId="170" fontId="0" fillId="0" borderId="1" xfId="0" applyNumberFormat="1" applyBorder="1"/>
    <xf numFmtId="0" fontId="0" fillId="15" borderId="1" xfId="0" applyFill="1" applyBorder="1"/>
    <xf numFmtId="170" fontId="0" fillId="0" borderId="62" xfId="4" applyNumberFormat="1" applyFont="1" applyBorder="1"/>
    <xf numFmtId="170" fontId="0" fillId="0" borderId="0" xfId="4" applyNumberFormat="1" applyFont="1"/>
    <xf numFmtId="0" fontId="41" fillId="0" borderId="3" xfId="0" applyFont="1" applyFill="1" applyBorder="1" applyAlignment="1">
      <alignment horizontal="center"/>
    </xf>
    <xf numFmtId="170" fontId="0" fillId="0" borderId="63" xfId="4" applyNumberFormat="1" applyFont="1" applyBorder="1"/>
    <xf numFmtId="170" fontId="0" fillId="5" borderId="0" xfId="4" applyNumberFormat="1" applyFont="1" applyFill="1"/>
    <xf numFmtId="9" fontId="0" fillId="0" borderId="1" xfId="0" applyNumberFormat="1" applyBorder="1"/>
    <xf numFmtId="9" fontId="48" fillId="0" borderId="1" xfId="0" applyNumberFormat="1" applyFont="1" applyBorder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64" fontId="52" fillId="0" borderId="0" xfId="0" applyNumberFormat="1" applyFont="1"/>
    <xf numFmtId="0" fontId="28" fillId="0" borderId="0" xfId="0" applyFont="1"/>
    <xf numFmtId="0" fontId="5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8" borderId="0" xfId="0" applyFill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5" fillId="0" borderId="14" xfId="0" applyFont="1" applyBorder="1"/>
    <xf numFmtId="1" fontId="5" fillId="5" borderId="15" xfId="0" applyNumberFormat="1" applyFont="1" applyFill="1" applyBorder="1"/>
    <xf numFmtId="0" fontId="5" fillId="0" borderId="0" xfId="0" applyFont="1" applyAlignment="1">
      <alignment horizontal="center" vertical="center"/>
    </xf>
    <xf numFmtId="1" fontId="5" fillId="5" borderId="15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1" xfId="0" applyFont="1" applyFill="1" applyBorder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0" xfId="0" applyFont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/>
    <xf numFmtId="164" fontId="5" fillId="0" borderId="0" xfId="0" applyNumberFormat="1" applyFont="1"/>
    <xf numFmtId="164" fontId="0" fillId="0" borderId="0" xfId="0" applyNumberFormat="1" applyAlignment="1">
      <alignment horizontal="center" vertical="center"/>
    </xf>
    <xf numFmtId="164" fontId="5" fillId="5" borderId="4" xfId="0" applyNumberFormat="1" applyFont="1" applyFill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9" fontId="0" fillId="0" borderId="0" xfId="2" applyFont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0" fontId="5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5" fillId="17" borderId="0" xfId="0" applyFont="1" applyFill="1" applyAlignment="1">
      <alignment horizontal="center" vertical="center" wrapText="1"/>
    </xf>
    <xf numFmtId="0" fontId="5" fillId="18" borderId="0" xfId="0" applyFont="1" applyFill="1" applyAlignment="1">
      <alignment horizontal="center" vertical="center" wrapText="1"/>
    </xf>
    <xf numFmtId="0" fontId="5" fillId="16" borderId="0" xfId="0" applyFont="1" applyFill="1" applyAlignment="1">
      <alignment horizontal="center" vertical="center" wrapText="1"/>
    </xf>
    <xf numFmtId="0" fontId="5" fillId="19" borderId="0" xfId="0" applyFont="1" applyFill="1" applyAlignment="1">
      <alignment horizontal="center" vertical="center" wrapText="1"/>
    </xf>
    <xf numFmtId="0" fontId="5" fillId="20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1" fillId="0" borderId="1" xfId="0" applyFont="1" applyBorder="1" applyAlignment="1">
      <alignment horizontal="center"/>
    </xf>
    <xf numFmtId="0" fontId="5" fillId="5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5" fillId="0" borderId="13" xfId="0" applyFont="1" applyBorder="1"/>
    <xf numFmtId="0" fontId="5" fillId="0" borderId="13" xfId="0" applyFont="1" applyBorder="1" applyAlignment="1">
      <alignment horizontal="center" vertical="center"/>
    </xf>
    <xf numFmtId="1" fontId="0" fillId="0" borderId="0" xfId="2" applyNumberFormat="1" applyFont="1" applyAlignment="1">
      <alignment horizontal="center" vertical="center"/>
    </xf>
    <xf numFmtId="1" fontId="0" fillId="0" borderId="0" xfId="2" applyNumberFormat="1" applyFont="1" applyAlignment="1">
      <alignment vertical="center"/>
    </xf>
    <xf numFmtId="1" fontId="0" fillId="0" borderId="0" xfId="0" applyNumberFormat="1" applyAlignment="1">
      <alignment vertical="center"/>
    </xf>
    <xf numFmtId="1" fontId="0" fillId="5" borderId="0" xfId="0" applyNumberForma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5" borderId="0" xfId="0" applyFill="1"/>
    <xf numFmtId="0" fontId="0" fillId="0" borderId="0" xfId="0" applyFill="1" applyBorder="1" applyAlignment="1">
      <alignment horizontal="left" vertical="top"/>
    </xf>
    <xf numFmtId="0" fontId="0" fillId="0" borderId="1" xfId="0" applyFont="1" applyBorder="1" applyAlignment="1">
      <alignment wrapText="1"/>
    </xf>
    <xf numFmtId="0" fontId="0" fillId="0" borderId="1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8" xfId="0" applyBorder="1"/>
    <xf numFmtId="0" fontId="0" fillId="16" borderId="4" xfId="0" applyFill="1" applyBorder="1" applyAlignment="1">
      <alignment horizontal="left" vertical="top" wrapText="1"/>
    </xf>
    <xf numFmtId="0" fontId="0" fillId="16" borderId="0" xfId="0" applyFill="1"/>
    <xf numFmtId="0" fontId="0" fillId="0" borderId="47" xfId="0" applyBorder="1" applyAlignment="1">
      <alignment horizontal="left" vertical="top"/>
    </xf>
    <xf numFmtId="170" fontId="0" fillId="0" borderId="0" xfId="4" applyNumberFormat="1" applyFont="1" applyFill="1" applyBorder="1"/>
    <xf numFmtId="0" fontId="41" fillId="0" borderId="13" xfId="0" applyFont="1" applyBorder="1" applyAlignment="1">
      <alignment horizontal="center"/>
    </xf>
    <xf numFmtId="0" fontId="41" fillId="0" borderId="64" xfId="0" applyFont="1" applyBorder="1" applyAlignment="1">
      <alignment horizontal="center"/>
    </xf>
    <xf numFmtId="170" fontId="0" fillId="0" borderId="0" xfId="4" applyNumberFormat="1" applyFont="1" applyBorder="1"/>
    <xf numFmtId="0" fontId="5" fillId="21" borderId="4" xfId="0" applyFont="1" applyFill="1" applyBorder="1"/>
    <xf numFmtId="0" fontId="41" fillId="0" borderId="0" xfId="0" applyFont="1" applyFill="1" applyBorder="1" applyAlignment="1">
      <alignment horizontal="center"/>
    </xf>
    <xf numFmtId="0" fontId="0" fillId="0" borderId="0" xfId="0" applyFill="1"/>
    <xf numFmtId="170" fontId="0" fillId="22" borderId="0" xfId="4" applyNumberFormat="1" applyFont="1" applyFill="1" applyBorder="1"/>
    <xf numFmtId="0" fontId="53" fillId="0" borderId="0" xfId="0" applyFont="1" applyAlignment="1">
      <alignment vertical="center"/>
    </xf>
    <xf numFmtId="0" fontId="53" fillId="0" borderId="1" xfId="0" applyFont="1" applyBorder="1" applyAlignment="1">
      <alignment vertical="center"/>
    </xf>
    <xf numFmtId="1" fontId="53" fillId="22" borderId="1" xfId="0" applyNumberFormat="1" applyFont="1" applyFill="1" applyBorder="1" applyAlignment="1">
      <alignment horizontal="center" vertical="center"/>
    </xf>
    <xf numFmtId="1" fontId="0" fillId="22" borderId="1" xfId="4" applyNumberFormat="1" applyFont="1" applyFill="1" applyBorder="1" applyAlignment="1">
      <alignment horizontal="center"/>
    </xf>
    <xf numFmtId="0" fontId="53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left" vertical="top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54" fillId="0" borderId="0" xfId="0" applyFont="1"/>
    <xf numFmtId="0" fontId="2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 wrapText="1"/>
    </xf>
    <xf numFmtId="0" fontId="36" fillId="0" borderId="0" xfId="0" applyFont="1" applyFill="1" applyBorder="1"/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24" borderId="0" xfId="0" applyFill="1"/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5" fillId="0" borderId="1" xfId="0" applyFont="1" applyBorder="1" applyAlignment="1">
      <alignment horizontal="center" vertical="center" wrapText="1"/>
    </xf>
    <xf numFmtId="0" fontId="0" fillId="8" borderId="1" xfId="0" applyFill="1" applyBorder="1"/>
    <xf numFmtId="0" fontId="55" fillId="0" borderId="0" xfId="0" applyFont="1"/>
    <xf numFmtId="0" fontId="0" fillId="24" borderId="15" xfId="0" applyFill="1" applyBorder="1"/>
    <xf numFmtId="0" fontId="57" fillId="0" borderId="0" xfId="0" applyFont="1"/>
    <xf numFmtId="0" fontId="0" fillId="0" borderId="0" xfId="0" applyFill="1" applyBorder="1"/>
    <xf numFmtId="0" fontId="0" fillId="0" borderId="13" xfId="0" applyBorder="1"/>
    <xf numFmtId="164" fontId="0" fillId="23" borderId="1" xfId="0" applyNumberFormat="1" applyFill="1" applyBorder="1" applyAlignment="1">
      <alignment horizontal="center" vertical="center"/>
    </xf>
    <xf numFmtId="164" fontId="0" fillId="23" borderId="13" xfId="0" applyNumberFormat="1" applyFill="1" applyBorder="1" applyAlignment="1">
      <alignment horizontal="center" vertical="center"/>
    </xf>
    <xf numFmtId="0" fontId="54" fillId="0" borderId="0" xfId="0" applyFont="1" applyFill="1" applyBorder="1"/>
    <xf numFmtId="164" fontId="0" fillId="22" borderId="1" xfId="0" applyNumberForma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54" fillId="0" borderId="14" xfId="0" applyFont="1" applyFill="1" applyBorder="1"/>
    <xf numFmtId="0" fontId="0" fillId="0" borderId="1" xfId="0" applyBorder="1" applyAlignment="1">
      <alignment horizontal="center" vertical="center" wrapText="1"/>
    </xf>
    <xf numFmtId="1" fontId="0" fillId="23" borderId="1" xfId="0" applyNumberFormat="1" applyFill="1" applyBorder="1" applyAlignment="1">
      <alignment horizontal="right"/>
    </xf>
    <xf numFmtId="0" fontId="5" fillId="0" borderId="4" xfId="0" applyFont="1" applyBorder="1" applyAlignment="1">
      <alignment horizontal="left" vertical="top" wrapText="1"/>
    </xf>
    <xf numFmtId="164" fontId="0" fillId="24" borderId="15" xfId="0" applyNumberFormat="1" applyFill="1" applyBorder="1" applyAlignment="1">
      <alignment horizontal="center" vertical="center"/>
    </xf>
    <xf numFmtId="0" fontId="5" fillId="0" borderId="14" xfId="0" applyFont="1" applyBorder="1" applyAlignment="1">
      <alignment horizontal="left" vertical="top" wrapText="1"/>
    </xf>
    <xf numFmtId="0" fontId="54" fillId="0" borderId="0" xfId="0" applyFont="1" applyBorder="1"/>
    <xf numFmtId="164" fontId="0" fillId="0" borderId="1" xfId="4" applyNumberFormat="1" applyFont="1" applyBorder="1" applyAlignment="1">
      <alignment horizontal="center" vertical="center"/>
    </xf>
    <xf numFmtId="1" fontId="0" fillId="0" borderId="2" xfId="4" applyNumberFormat="1" applyFont="1" applyFill="1" applyBorder="1" applyAlignment="1">
      <alignment horizontal="center" vertical="center"/>
    </xf>
    <xf numFmtId="1" fontId="0" fillId="0" borderId="0" xfId="4" applyNumberFormat="1" applyFont="1" applyFill="1" applyBorder="1" applyAlignment="1">
      <alignment horizontal="center" vertical="center"/>
    </xf>
    <xf numFmtId="0" fontId="5" fillId="0" borderId="4" xfId="0" applyFont="1" applyBorder="1"/>
    <xf numFmtId="0" fontId="0" fillId="0" borderId="0" xfId="0" applyBorder="1" applyAlignment="1">
      <alignment horizontal="left" vertical="top"/>
    </xf>
    <xf numFmtId="164" fontId="0" fillId="0" borderId="0" xfId="4" applyNumberFormat="1" applyFont="1" applyBorder="1" applyAlignment="1">
      <alignment horizontal="center" vertical="center"/>
    </xf>
    <xf numFmtId="0" fontId="36" fillId="0" borderId="2" xfId="0" applyFont="1" applyFill="1" applyBorder="1" applyAlignment="1">
      <alignment horizontal="left" vertical="top"/>
    </xf>
    <xf numFmtId="1" fontId="0" fillId="23" borderId="1" xfId="4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16" borderId="0" xfId="0" applyNumberFormat="1" applyFill="1"/>
    <xf numFmtId="0" fontId="5" fillId="24" borderId="18" xfId="0" applyFont="1" applyFill="1" applyBorder="1"/>
    <xf numFmtId="0" fontId="0" fillId="24" borderId="19" xfId="0" applyFill="1" applyBorder="1"/>
    <xf numFmtId="0" fontId="5" fillId="24" borderId="20" xfId="0" applyFont="1" applyFill="1" applyBorder="1"/>
    <xf numFmtId="0" fontId="0" fillId="24" borderId="17" xfId="0" applyFill="1" applyBorder="1"/>
    <xf numFmtId="0" fontId="0" fillId="24" borderId="0" xfId="0" applyFill="1" applyBorder="1"/>
    <xf numFmtId="0" fontId="0" fillId="24" borderId="21" xfId="0" applyFill="1" applyBorder="1" applyAlignment="1">
      <alignment horizontal="center" vertical="center"/>
    </xf>
    <xf numFmtId="0" fontId="0" fillId="24" borderId="21" xfId="0" applyFill="1" applyBorder="1" applyAlignment="1">
      <alignment horizontal="left" vertical="top"/>
    </xf>
    <xf numFmtId="0" fontId="0" fillId="24" borderId="22" xfId="0" applyFill="1" applyBorder="1"/>
    <xf numFmtId="0" fontId="0" fillId="24" borderId="23" xfId="0" applyFill="1" applyBorder="1"/>
    <xf numFmtId="0" fontId="0" fillId="24" borderId="24" xfId="0" applyFill="1" applyBorder="1" applyAlignment="1">
      <alignment horizontal="left" vertical="top"/>
    </xf>
    <xf numFmtId="0" fontId="5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0" borderId="1" xfId="0" applyFont="1" applyBorder="1"/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wrapText="1"/>
    </xf>
    <xf numFmtId="164" fontId="0" fillId="0" borderId="0" xfId="0" applyNumberFormat="1" applyBorder="1" applyAlignment="1">
      <alignment horizontal="center" vertical="center"/>
    </xf>
    <xf numFmtId="1" fontId="0" fillId="23" borderId="1" xfId="0" applyNumberFormat="1" applyFill="1" applyBorder="1" applyAlignment="1">
      <alignment horizontal="center" vertical="center"/>
    </xf>
    <xf numFmtId="0" fontId="36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/>
    </xf>
    <xf numFmtId="1" fontId="0" fillId="0" borderId="0" xfId="0" applyNumberFormat="1" applyFill="1" applyBorder="1"/>
    <xf numFmtId="164" fontId="54" fillId="0" borderId="0" xfId="0" applyNumberFormat="1" applyFont="1" applyBorder="1" applyAlignment="1">
      <alignment horizontal="left" vertical="top"/>
    </xf>
    <xf numFmtId="1" fontId="0" fillId="0" borderId="1" xfId="0" applyNumberFormat="1" applyFill="1" applyBorder="1" applyAlignment="1">
      <alignment horizontal="center" vertical="center"/>
    </xf>
    <xf numFmtId="0" fontId="21" fillId="0" borderId="4" xfId="0" applyFont="1" applyBorder="1"/>
    <xf numFmtId="0" fontId="5" fillId="0" borderId="1" xfId="0" applyFont="1" applyFill="1" applyBorder="1"/>
    <xf numFmtId="1" fontId="0" fillId="22" borderId="1" xfId="0" applyNumberForma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top"/>
    </xf>
    <xf numFmtId="0" fontId="32" fillId="0" borderId="14" xfId="0" applyFont="1" applyBorder="1" applyAlignment="1">
      <alignment horizontal="center"/>
    </xf>
    <xf numFmtId="0" fontId="32" fillId="0" borderId="44" xfId="0" applyFont="1" applyBorder="1" applyAlignment="1">
      <alignment horizontal="center"/>
    </xf>
    <xf numFmtId="0" fontId="32" fillId="0" borderId="15" xfId="0" applyFont="1" applyBorder="1" applyAlignment="1">
      <alignment horizontal="center"/>
    </xf>
    <xf numFmtId="0" fontId="33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 wrapText="1"/>
    </xf>
    <xf numFmtId="0" fontId="5" fillId="0" borderId="14" xfId="0" applyFont="1" applyBorder="1" applyAlignment="1">
      <alignment horizontal="left" vertical="top"/>
    </xf>
    <xf numFmtId="0" fontId="5" fillId="0" borderId="44" xfId="0" applyFont="1" applyBorder="1" applyAlignment="1">
      <alignment horizontal="left" vertical="top"/>
    </xf>
    <xf numFmtId="0" fontId="5" fillId="0" borderId="15" xfId="0" applyFont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3" fillId="0" borderId="29" xfId="0" applyFont="1" applyBorder="1" applyAlignment="1">
      <alignment horizontal="left" vertical="top"/>
    </xf>
    <xf numFmtId="0" fontId="13" fillId="0" borderId="30" xfId="0" applyFont="1" applyBorder="1" applyAlignment="1">
      <alignment horizontal="left" vertical="top"/>
    </xf>
    <xf numFmtId="0" fontId="5" fillId="0" borderId="18" xfId="0" applyFont="1" applyBorder="1" applyAlignment="1">
      <alignment horizontal="left" vertical="top"/>
    </xf>
    <xf numFmtId="0" fontId="5" fillId="0" borderId="19" xfId="0" applyFont="1" applyBorder="1" applyAlignment="1">
      <alignment horizontal="left" vertical="top"/>
    </xf>
    <xf numFmtId="0" fontId="8" fillId="0" borderId="17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21" xfId="0" applyFont="1" applyBorder="1" applyAlignment="1">
      <alignment horizontal="left" vertical="top" wrapText="1"/>
    </xf>
    <xf numFmtId="0" fontId="9" fillId="5" borderId="17" xfId="0" applyFont="1" applyFill="1" applyBorder="1" applyAlignment="1">
      <alignment horizontal="left" vertical="top" wrapText="1"/>
    </xf>
    <xf numFmtId="0" fontId="9" fillId="5" borderId="0" xfId="0" applyFont="1" applyFill="1" applyBorder="1" applyAlignment="1">
      <alignment horizontal="left" vertical="top" wrapText="1"/>
    </xf>
    <xf numFmtId="0" fontId="9" fillId="5" borderId="21" xfId="0" applyFont="1" applyFill="1" applyBorder="1" applyAlignment="1">
      <alignment horizontal="left" vertical="top" wrapText="1"/>
    </xf>
    <xf numFmtId="0" fontId="9" fillId="0" borderId="22" xfId="0" applyFont="1" applyBorder="1" applyAlignment="1">
      <alignment horizontal="left" vertical="top" wrapText="1"/>
    </xf>
    <xf numFmtId="0" fontId="9" fillId="0" borderId="23" xfId="0" applyFont="1" applyBorder="1" applyAlignment="1">
      <alignment horizontal="left" vertical="top" wrapText="1"/>
    </xf>
    <xf numFmtId="0" fontId="9" fillId="0" borderId="24" xfId="0" applyFont="1" applyBorder="1" applyAlignment="1">
      <alignment horizontal="left" vertical="top" wrapText="1"/>
    </xf>
    <xf numFmtId="0" fontId="0" fillId="0" borderId="33" xfId="0" applyBorder="1" applyAlignment="1">
      <alignment horizontal="center"/>
    </xf>
    <xf numFmtId="0" fontId="16" fillId="7" borderId="1" xfId="0" applyFont="1" applyFill="1" applyBorder="1" applyAlignment="1">
      <alignment horizontal="center" vertical="center"/>
    </xf>
    <xf numFmtId="0" fontId="23" fillId="0" borderId="14" xfId="0" applyFont="1" applyBorder="1" applyAlignment="1">
      <alignment horizontal="center" vertical="top"/>
    </xf>
    <xf numFmtId="0" fontId="23" fillId="0" borderId="15" xfId="0" applyFont="1" applyBorder="1" applyAlignment="1">
      <alignment horizontal="center" vertical="top"/>
    </xf>
    <xf numFmtId="0" fontId="28" fillId="0" borderId="22" xfId="0" applyFont="1" applyBorder="1" applyAlignment="1">
      <alignment horizontal="center" vertical="top"/>
    </xf>
    <xf numFmtId="0" fontId="5" fillId="0" borderId="23" xfId="0" applyFont="1" applyBorder="1" applyAlignment="1">
      <alignment horizontal="center" vertical="top"/>
    </xf>
    <xf numFmtId="0" fontId="5" fillId="0" borderId="24" xfId="0" applyFont="1" applyBorder="1" applyAlignment="1">
      <alignment horizontal="center" vertical="top"/>
    </xf>
    <xf numFmtId="0" fontId="5" fillId="0" borderId="17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3" fillId="0" borderId="14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35" fillId="0" borderId="1" xfId="0" applyFont="1" applyBorder="1" applyAlignment="1">
      <alignment horizontal="left" vertical="top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1" fillId="0" borderId="1" xfId="0" applyFont="1" applyBorder="1" applyAlignment="1">
      <alignment horizontal="center"/>
    </xf>
    <xf numFmtId="0" fontId="40" fillId="0" borderId="3" xfId="0" applyFont="1" applyBorder="1" applyAlignment="1">
      <alignment horizontal="center"/>
    </xf>
    <xf numFmtId="0" fontId="40" fillId="0" borderId="0" xfId="0" applyFont="1" applyAlignment="1">
      <alignment horizontal="center"/>
    </xf>
    <xf numFmtId="0" fontId="43" fillId="0" borderId="1" xfId="0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0" fontId="41" fillId="0" borderId="58" xfId="0" applyFont="1" applyBorder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5" fillId="5" borderId="14" xfId="0" applyFont="1" applyFill="1" applyBorder="1" applyAlignment="1">
      <alignment horizontal="left" vertical="top"/>
    </xf>
    <xf numFmtId="0" fontId="5" fillId="5" borderId="44" xfId="0" applyFont="1" applyFill="1" applyBorder="1" applyAlignment="1">
      <alignment horizontal="left" vertical="top"/>
    </xf>
    <xf numFmtId="0" fontId="5" fillId="5" borderId="15" xfId="0" applyFont="1" applyFill="1" applyBorder="1" applyAlignment="1">
      <alignment horizontal="left" vertical="top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65" xfId="0" applyFont="1" applyBorder="1" applyAlignment="1">
      <alignment horizontal="center" textRotation="45"/>
    </xf>
    <xf numFmtId="0" fontId="0" fillId="0" borderId="65" xfId="0" applyBorder="1" applyAlignment="1">
      <alignment horizontal="center" textRotation="45"/>
    </xf>
    <xf numFmtId="0" fontId="54" fillId="0" borderId="0" xfId="0" applyFont="1" applyAlignment="1">
      <alignment horizontal="left" vertical="top"/>
    </xf>
    <xf numFmtId="0" fontId="36" fillId="0" borderId="1" xfId="0" applyFont="1" applyBorder="1" applyAlignment="1">
      <alignment horizontal="left" vertical="center" wrapText="1"/>
    </xf>
    <xf numFmtId="0" fontId="36" fillId="0" borderId="1" xfId="0" applyFont="1" applyBorder="1" applyAlignment="1">
      <alignment horizontal="left" vertical="top" wrapText="1"/>
    </xf>
    <xf numFmtId="0" fontId="0" fillId="5" borderId="0" xfId="0" applyFill="1" applyAlignment="1">
      <alignment horizontal="left" vertical="top"/>
    </xf>
    <xf numFmtId="0" fontId="54" fillId="0" borderId="14" xfId="0" applyFont="1" applyBorder="1" applyAlignment="1">
      <alignment horizontal="center"/>
    </xf>
    <xf numFmtId="0" fontId="54" fillId="0" borderId="44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5" fillId="5" borderId="18" xfId="0" applyFont="1" applyFill="1" applyBorder="1"/>
    <xf numFmtId="0" fontId="0" fillId="5" borderId="17" xfId="0" applyFont="1" applyFill="1" applyBorder="1"/>
    <xf numFmtId="0" fontId="0" fillId="5" borderId="22" xfId="0" applyFill="1" applyBorder="1"/>
    <xf numFmtId="0" fontId="0" fillId="5" borderId="19" xfId="0" applyFill="1" applyBorder="1"/>
    <xf numFmtId="0" fontId="0" fillId="5" borderId="20" xfId="0" applyFill="1" applyBorder="1"/>
    <xf numFmtId="0" fontId="0" fillId="5" borderId="0" xfId="0" applyFill="1" applyBorder="1"/>
    <xf numFmtId="0" fontId="0" fillId="5" borderId="21" xfId="0" applyFill="1" applyBorder="1"/>
    <xf numFmtId="0" fontId="0" fillId="5" borderId="23" xfId="0" applyFill="1" applyBorder="1"/>
    <xf numFmtId="0" fontId="0" fillId="5" borderId="24" xfId="0" applyFill="1" applyBorder="1"/>
    <xf numFmtId="0" fontId="5" fillId="5" borderId="22" xfId="0" applyFont="1" applyFill="1" applyBorder="1"/>
  </cellXfs>
  <cellStyles count="5">
    <cellStyle name="60% - Énfasis5 2" xfId="1"/>
    <cellStyle name="Moneda" xfId="4" builtinId="4"/>
    <cellStyle name="Moneda 2" xfId="3"/>
    <cellStyle name="Normal" xfId="0" builtinId="0"/>
    <cellStyle name="Porcentaje" xfId="2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CC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BYCICLES</a:t>
            </a:r>
          </a:p>
        </c:rich>
      </c:tx>
      <c:layout>
        <c:manualLayout>
          <c:xMode val="edge"/>
          <c:yMode val="edge"/>
          <c:x val="0.18100678040244972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980358705161859"/>
          <c:y val="0.16912037037037039"/>
          <c:w val="0.77775196850393702"/>
          <c:h val="0.7013192621755614"/>
        </c:manualLayout>
      </c:layout>
      <c:scatterChart>
        <c:scatterStyle val="lineMarker"/>
        <c:varyColors val="0"/>
        <c:ser>
          <c:idx val="2"/>
          <c:order val="0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618-48A3-A6F4-0793942D1178}"/>
            </c:ext>
          </c:extLst>
        </c:ser>
        <c:ser>
          <c:idx val="3"/>
          <c:order val="1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618-48A3-A6F4-0793942D1178}"/>
            </c:ext>
          </c:extLst>
        </c:ser>
        <c:ser>
          <c:idx val="1"/>
          <c:order val="2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18-48A3-A6F4-0793942D1178}"/>
            </c:ext>
          </c:extLst>
        </c:ser>
        <c:ser>
          <c:idx val="0"/>
          <c:order val="3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8.1222003499562559E-2"/>
                  <c:y val="-0.343701151939340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2662532808398949"/>
                  <c:y val="-0.181408938466025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18-48A3-A6F4-0793942D11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53817904"/>
        <c:axId val="1253823312"/>
      </c:scatterChart>
      <c:valAx>
        <c:axId val="125381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code</a:t>
                </a:r>
              </a:p>
            </c:rich>
          </c:tx>
          <c:layout>
            <c:manualLayout>
              <c:xMode val="edge"/>
              <c:yMode val="edge"/>
              <c:x val="0.4643740157480315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823312"/>
        <c:crosses val="autoZero"/>
        <c:crossBetween val="midCat"/>
      </c:valAx>
      <c:valAx>
        <c:axId val="12538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(millions of USD)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9935586176727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81790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 Expenditure for FA 3 Approved</a:t>
            </a:r>
            <a:r>
              <a:rPr lang="en-US" baseline="0"/>
              <a:t> Projects</a:t>
            </a:r>
            <a:r>
              <a:rPr lang="en-US"/>
              <a:t> Y1 - Y3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'[1]Project Model'!$N$28</c:f>
              <c:strCache>
                <c:ptCount val="1"/>
                <c:pt idx="0">
                  <c:v>FA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Model'!$O$28:$Q$28</c:f>
              <c:numCache>
                <c:formatCode>General</c:formatCode>
                <c:ptCount val="3"/>
                <c:pt idx="0">
                  <c:v>1850</c:v>
                </c:pt>
                <c:pt idx="1">
                  <c:v>650</c:v>
                </c:pt>
                <c:pt idx="2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E-4EBF-B71E-2E7FB1D9B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630639"/>
        <c:axId val="721475935"/>
      </c:lineChart>
      <c:catAx>
        <c:axId val="72163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Years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475935"/>
        <c:crosses val="autoZero"/>
        <c:auto val="1"/>
        <c:lblAlgn val="ctr"/>
        <c:lblOffset val="100"/>
        <c:noMultiLvlLbl val="0"/>
      </c:catAx>
      <c:valAx>
        <c:axId val="72147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</a:t>
                </a:r>
                <a:r>
                  <a:rPr lang="en-US" baseline="0"/>
                  <a:t> Expenditure ($ - in millions)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3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INVESTMENT %</a:t>
            </a:r>
          </a:p>
        </c:rich>
      </c:tx>
      <c:layout>
        <c:manualLayout>
          <c:xMode val="edge"/>
          <c:yMode val="edge"/>
          <c:x val="2.5111111111111088E-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83A-4407-ACBA-8DE3BA61A3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83A-4407-ACBA-8DE3BA61A3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83A-4407-ACBA-8DE3BA61A3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83A-4407-ACBA-8DE3BA61A3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83A-4407-ACBA-8DE3BA61A32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'more variants LP'!$B$1:$F$1</c:f>
              <c:strCache>
                <c:ptCount val="5"/>
                <c:pt idx="0">
                  <c:v>local bono</c:v>
                </c:pt>
                <c:pt idx="1">
                  <c:v>Elect Thomp</c:v>
                </c:pt>
                <c:pt idx="2">
                  <c:v>Aerospace 
Corp.</c:v>
                </c:pt>
                <c:pt idx="3">
                  <c:v>Palmer 
tech</c:v>
                </c:pt>
                <c:pt idx="4">
                  <c:v>HDN 
high risk</c:v>
                </c:pt>
              </c:strCache>
            </c:strRef>
          </c:cat>
          <c:val>
            <c:numRef>
              <c:f>'more variants LP'!$B$2:$F$2</c:f>
              <c:numCache>
                <c:formatCode>General</c:formatCode>
                <c:ptCount val="5"/>
                <c:pt idx="0">
                  <c:v>50000</c:v>
                </c:pt>
                <c:pt idx="1">
                  <c:v>0</c:v>
                </c:pt>
                <c:pt idx="2">
                  <c:v>0</c:v>
                </c:pt>
                <c:pt idx="3">
                  <c:v>100000</c:v>
                </c:pt>
                <c:pt idx="4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0-45A0-B008-D0B5380C417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Nº</a:t>
            </a:r>
            <a:r>
              <a:rPr lang="en-US" b="1" baseline="0"/>
              <a:t> students/ school</a:t>
            </a:r>
            <a:endParaRPr lang="en-US" b="1"/>
          </a:p>
        </c:rich>
      </c:tx>
      <c:layout>
        <c:manualLayout>
          <c:xMode val="edge"/>
          <c:yMode val="edge"/>
          <c:x val="4.6534558180227455E-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0C0-4430-96BD-0C70ED2209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0C0-4430-96BD-0C70ED2209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0C0-4430-96BD-0C70ED2209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0C0-4430-96BD-0C70ED2209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0C0-4430-96BD-0C70ED2209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0C0-4430-96BD-0C70ED22091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0C0-4430-96BD-0C70ED22091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0C0-4430-96BD-0C70ED22091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0C0-4430-96BD-0C70ED22091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0C0-4430-96BD-0C70ED22091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B0C0-4430-96BD-0C70ED22091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B0C0-4430-96BD-0C70ED22091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B0C0-4430-96BD-0C70ED22091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B0C0-4430-96BD-0C70ED22091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B0C0-4430-96BD-0C70ED22091D}"/>
              </c:ext>
            </c:extLst>
          </c:dPt>
          <c:cat>
            <c:strRef>
              <c:f>'example 2 LP'!$B$1:$P$1</c:f>
              <c:strCache>
                <c:ptCount val="15"/>
                <c:pt idx="0">
                  <c:v>AB</c:v>
                </c:pt>
                <c:pt idx="1">
                  <c:v>AC</c:v>
                </c:pt>
                <c:pt idx="2">
                  <c:v>AE</c:v>
                </c:pt>
                <c:pt idx="3">
                  <c:v>BB</c:v>
                </c:pt>
                <c:pt idx="4">
                  <c:v>BC</c:v>
                </c:pt>
                <c:pt idx="5">
                  <c:v>BE</c:v>
                </c:pt>
                <c:pt idx="6">
                  <c:v>CC</c:v>
                </c:pt>
                <c:pt idx="7">
                  <c:v>CB</c:v>
                </c:pt>
                <c:pt idx="8">
                  <c:v>CE</c:v>
                </c:pt>
                <c:pt idx="9">
                  <c:v>DC</c:v>
                </c:pt>
                <c:pt idx="10">
                  <c:v>DB</c:v>
                </c:pt>
                <c:pt idx="11">
                  <c:v>DE</c:v>
                </c:pt>
                <c:pt idx="12">
                  <c:v>EE</c:v>
                </c:pt>
                <c:pt idx="13">
                  <c:v>EB</c:v>
                </c:pt>
                <c:pt idx="14">
                  <c:v>EC</c:v>
                </c:pt>
              </c:strCache>
            </c:strRef>
          </c:cat>
          <c:val>
            <c:numRef>
              <c:f>'example 2 LP'!$B$2:$P$2</c:f>
              <c:numCache>
                <c:formatCode>General</c:formatCode>
                <c:ptCount val="15"/>
                <c:pt idx="0">
                  <c:v>400</c:v>
                </c:pt>
                <c:pt idx="1">
                  <c:v>0</c:v>
                </c:pt>
                <c:pt idx="2">
                  <c:v>300</c:v>
                </c:pt>
                <c:pt idx="3">
                  <c:v>500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800</c:v>
                </c:pt>
                <c:pt idx="10">
                  <c:v>0</c:v>
                </c:pt>
                <c:pt idx="11">
                  <c:v>0</c:v>
                </c:pt>
                <c:pt idx="12">
                  <c:v>400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1-4B9A-A25E-4A2780E1F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Anual Sales Microsoft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'% average growing'!$C$1</c:f>
              <c:strCache>
                <c:ptCount val="1"/>
                <c:pt idx="0">
                  <c:v>Average of Seasonally Adjusted Sales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6111701662292213"/>
                  <c:y val="-0.150601851851851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3879566728075301"/>
                  <c:y val="-0.154572254285186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'% average growing'!$B$2:$B$21</c:f>
              <c:numCache>
                <c:formatCode>General</c:formatCode>
                <c:ptCount val="20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'% average growing'!$C$2:$C$21</c:f>
              <c:numCache>
                <c:formatCode>"$"#,##0.0</c:formatCode>
                <c:ptCount val="20"/>
                <c:pt idx="0">
                  <c:v>150781.16666666666</c:v>
                </c:pt>
                <c:pt idx="1">
                  <c:v>161696.25</c:v>
                </c:pt>
                <c:pt idx="2">
                  <c:v>175688.83333333334</c:v>
                </c:pt>
                <c:pt idx="3">
                  <c:v>185437.25</c:v>
                </c:pt>
                <c:pt idx="4">
                  <c:v>196728.16666666666</c:v>
                </c:pt>
                <c:pt idx="5">
                  <c:v>206334.08333333334</c:v>
                </c:pt>
                <c:pt idx="6">
                  <c:v>215657.66666666666</c:v>
                </c:pt>
                <c:pt idx="7">
                  <c:v>233872</c:v>
                </c:pt>
                <c:pt idx="8">
                  <c:v>248748.25</c:v>
                </c:pt>
                <c:pt idx="9">
                  <c:v>255663.75</c:v>
                </c:pt>
                <c:pt idx="10">
                  <c:v>261272.41666666666</c:v>
                </c:pt>
                <c:pt idx="11">
                  <c:v>272232.5</c:v>
                </c:pt>
                <c:pt idx="12">
                  <c:v>288987.5</c:v>
                </c:pt>
                <c:pt idx="13">
                  <c:v>307826.08333333331</c:v>
                </c:pt>
                <c:pt idx="14">
                  <c:v>323823.08333333331</c:v>
                </c:pt>
                <c:pt idx="15">
                  <c:v>334008</c:v>
                </c:pt>
                <c:pt idx="16">
                  <c:v>328780.33333333331</c:v>
                </c:pt>
                <c:pt idx="17">
                  <c:v>303288.91666666669</c:v>
                </c:pt>
                <c:pt idx="18">
                  <c:v>323964.16666666669</c:v>
                </c:pt>
                <c:pt idx="19">
                  <c:v>323964.16666666669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E7-4535-87F5-C85963C6D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503600"/>
        <c:axId val="1532501936"/>
      </c:scatterChart>
      <c:valAx>
        <c:axId val="153250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Code</a:t>
                </a:r>
              </a:p>
            </c:rich>
          </c:tx>
          <c:layout>
            <c:manualLayout>
              <c:xMode val="edge"/>
              <c:yMode val="edge"/>
              <c:x val="0.49772112860892387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01936"/>
        <c:crosses val="autoZero"/>
        <c:crossBetween val="midCat"/>
      </c:valAx>
      <c:valAx>
        <c:axId val="15325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Sales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9775845727617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0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345095738367086E-2"/>
          <c:y val="0.14709219717791849"/>
          <c:w val="0.86447141790762994"/>
          <c:h val="0.56451815072927003"/>
        </c:manualLayout>
      </c:layout>
      <c:lineChart>
        <c:grouping val="standard"/>
        <c:varyColors val="0"/>
        <c:ser>
          <c:idx val="0"/>
          <c:order val="0"/>
          <c:tx>
            <c:strRef>
              <c:f>'table final proyect'!$K$2</c:f>
              <c:strCache>
                <c:ptCount val="1"/>
                <c:pt idx="0">
                  <c:v>Capex Year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'table final proyect'!$K$3:$K$14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100</c:v>
                </c:pt>
                <c:pt idx="3">
                  <c:v>750</c:v>
                </c:pt>
                <c:pt idx="4">
                  <c:v>200</c:v>
                </c:pt>
                <c:pt idx="5">
                  <c:v>1000</c:v>
                </c:pt>
                <c:pt idx="6">
                  <c:v>750</c:v>
                </c:pt>
                <c:pt idx="7">
                  <c:v>800</c:v>
                </c:pt>
                <c:pt idx="8">
                  <c:v>400</c:v>
                </c:pt>
                <c:pt idx="9">
                  <c:v>100</c:v>
                </c:pt>
                <c:pt idx="10">
                  <c:v>700</c:v>
                </c:pt>
                <c:pt idx="11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F-4DD8-8CA5-02AA015388D8}"/>
            </c:ext>
          </c:extLst>
        </c:ser>
        <c:ser>
          <c:idx val="1"/>
          <c:order val="1"/>
          <c:tx>
            <c:strRef>
              <c:f>'table final proyect'!$L$2</c:f>
              <c:strCache>
                <c:ptCount val="1"/>
                <c:pt idx="0">
                  <c:v>Capex Year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'table final proyect'!$L$3:$L$14</c:f>
              <c:numCache>
                <c:formatCode>General</c:formatCode>
                <c:ptCount val="12"/>
                <c:pt idx="0" formatCode="0.00">
                  <c:v>100</c:v>
                </c:pt>
                <c:pt idx="1">
                  <c:v>300</c:v>
                </c:pt>
                <c:pt idx="2">
                  <c:v>200</c:v>
                </c:pt>
                <c:pt idx="3">
                  <c:v>500</c:v>
                </c:pt>
                <c:pt idx="4">
                  <c:v>400</c:v>
                </c:pt>
                <c:pt idx="5">
                  <c:v>300</c:v>
                </c:pt>
                <c:pt idx="6">
                  <c:v>750</c:v>
                </c:pt>
                <c:pt idx="7">
                  <c:v>700</c:v>
                </c:pt>
                <c:pt idx="8">
                  <c:v>600</c:v>
                </c:pt>
                <c:pt idx="9">
                  <c:v>200</c:v>
                </c:pt>
                <c:pt idx="10">
                  <c:v>500</c:v>
                </c:pt>
                <c:pt idx="11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F-4DD8-8CA5-02AA015388D8}"/>
            </c:ext>
          </c:extLst>
        </c:ser>
        <c:ser>
          <c:idx val="2"/>
          <c:order val="2"/>
          <c:tx>
            <c:strRef>
              <c:f>'table final proyect'!$M$2</c:f>
              <c:strCache>
                <c:ptCount val="1"/>
                <c:pt idx="0">
                  <c:v>Capex Year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'table final proyect'!$M$3:$M$14</c:f>
              <c:numCache>
                <c:formatCode>General</c:formatCode>
                <c:ptCount val="12"/>
                <c:pt idx="0" formatCode="0.00">
                  <c:v>100</c:v>
                </c:pt>
                <c:pt idx="1">
                  <c:v>300</c:v>
                </c:pt>
                <c:pt idx="2">
                  <c:v>400</c:v>
                </c:pt>
                <c:pt idx="3">
                  <c:v>300</c:v>
                </c:pt>
                <c:pt idx="4">
                  <c:v>800</c:v>
                </c:pt>
                <c:pt idx="5">
                  <c:v>300</c:v>
                </c:pt>
                <c:pt idx="6">
                  <c:v>300</c:v>
                </c:pt>
                <c:pt idx="7">
                  <c:v>600</c:v>
                </c:pt>
                <c:pt idx="8">
                  <c:v>800</c:v>
                </c:pt>
                <c:pt idx="9">
                  <c:v>400</c:v>
                </c:pt>
                <c:pt idx="10">
                  <c:v>300</c:v>
                </c:pt>
                <c:pt idx="11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0F-4DD8-8CA5-02AA01538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053647"/>
        <c:axId val="245057807"/>
      </c:lineChart>
      <c:catAx>
        <c:axId val="245053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57807"/>
        <c:crosses val="autoZero"/>
        <c:auto val="1"/>
        <c:lblAlgn val="ctr"/>
        <c:lblOffset val="100"/>
        <c:noMultiLvlLbl val="0"/>
      </c:catAx>
      <c:valAx>
        <c:axId val="24505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5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92710942192654"/>
          <c:y val="0.17571438536727485"/>
          <c:w val="0.87707289057807347"/>
          <c:h val="0.71438350211192392"/>
        </c:manualLayout>
      </c:layout>
      <c:lineChart>
        <c:grouping val="standard"/>
        <c:varyColors val="0"/>
        <c:ser>
          <c:idx val="0"/>
          <c:order val="0"/>
          <c:tx>
            <c:strRef>
              <c:f>'table final proyect'!$Q$2</c:f>
              <c:strCache>
                <c:ptCount val="1"/>
                <c:pt idx="0">
                  <c:v>Capex FA1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'table final proyect'!$Q$3:$Q$14</c:f>
              <c:numCache>
                <c:formatCode>General</c:formatCode>
                <c:ptCount val="12"/>
                <c:pt idx="0">
                  <c:v>450</c:v>
                </c:pt>
                <c:pt idx="1">
                  <c:v>1100</c:v>
                </c:pt>
                <c:pt idx="2">
                  <c:v>0</c:v>
                </c:pt>
                <c:pt idx="3">
                  <c:v>1550</c:v>
                </c:pt>
                <c:pt idx="4">
                  <c:v>1400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1-435E-B8A9-60041923F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909471"/>
        <c:axId val="244915295"/>
      </c:lineChart>
      <c:catAx>
        <c:axId val="244909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15295"/>
        <c:crosses val="autoZero"/>
        <c:auto val="1"/>
        <c:lblAlgn val="ctr"/>
        <c:lblOffset val="100"/>
        <c:noMultiLvlLbl val="0"/>
      </c:catAx>
      <c:valAx>
        <c:axId val="24491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0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9486111111111112"/>
          <c:w val="0.87753018372703417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'table final proyect'!$S$2</c:f>
              <c:strCache>
                <c:ptCount val="1"/>
                <c:pt idx="0">
                  <c:v>Capex FA2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'table final proyect'!$S$3:$S$14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1800</c:v>
                </c:pt>
                <c:pt idx="7">
                  <c:v>0</c:v>
                </c:pt>
                <c:pt idx="8">
                  <c:v>1800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5-456F-8EF3-65E5869E0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908639"/>
        <c:axId val="244913631"/>
      </c:lineChart>
      <c:catAx>
        <c:axId val="24490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13631"/>
        <c:crosses val="autoZero"/>
        <c:auto val="1"/>
        <c:lblAlgn val="ctr"/>
        <c:lblOffset val="100"/>
        <c:noMultiLvlLbl val="0"/>
      </c:catAx>
      <c:valAx>
        <c:axId val="24491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0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46981627296588"/>
          <c:y val="0.18097222222222226"/>
          <c:w val="0.87753018372703417"/>
          <c:h val="0.72088764946048411"/>
        </c:manualLayout>
      </c:layout>
      <c:lineChart>
        <c:grouping val="stacked"/>
        <c:varyColors val="0"/>
        <c:ser>
          <c:idx val="0"/>
          <c:order val="0"/>
          <c:tx>
            <c:strRef>
              <c:f>'table final proyect'!$U$2</c:f>
              <c:strCache>
                <c:ptCount val="1"/>
                <c:pt idx="0">
                  <c:v>Capex FA3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'table final proyect'!$U$3:$U$14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1500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0-42A7-914A-F20742CFE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911551"/>
        <c:axId val="244921119"/>
      </c:lineChart>
      <c:catAx>
        <c:axId val="244911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21119"/>
        <c:crosses val="autoZero"/>
        <c:auto val="1"/>
        <c:lblAlgn val="ctr"/>
        <c:lblOffset val="100"/>
        <c:noMultiLvlLbl val="0"/>
      </c:catAx>
      <c:valAx>
        <c:axId val="24492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1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 Expenditure for all</a:t>
            </a:r>
            <a:r>
              <a:rPr lang="en-US" baseline="0"/>
              <a:t> Functional Area Approved Projects Y1-Y3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'[1]Project Model'!$N$26</c:f>
              <c:strCache>
                <c:ptCount val="1"/>
                <c:pt idx="0">
                  <c:v>FA 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Model'!$O$26:$Q$26</c:f>
              <c:numCache>
                <c:formatCode>General</c:formatCode>
                <c:ptCount val="3"/>
                <c:pt idx="0">
                  <c:v>1115</c:v>
                </c:pt>
                <c:pt idx="1">
                  <c:v>999</c:v>
                </c:pt>
                <c:pt idx="2">
                  <c:v>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6-4F50-B4B8-B18C11BBEF8D}"/>
            </c:ext>
          </c:extLst>
        </c:ser>
        <c:ser>
          <c:idx val="1"/>
          <c:order val="1"/>
          <c:tx>
            <c:strRef>
              <c:f>'[1]Project Model'!$N$27</c:f>
              <c:strCache>
                <c:ptCount val="1"/>
                <c:pt idx="0">
                  <c:v>FA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Model'!$O$27:$Q$27</c:f>
              <c:numCache>
                <c:formatCode>General</c:formatCode>
                <c:ptCount val="3"/>
                <c:pt idx="0">
                  <c:v>1518</c:v>
                </c:pt>
                <c:pt idx="1">
                  <c:v>1302</c:v>
                </c:pt>
                <c:pt idx="2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6-4F50-B4B8-B18C11BBEF8D}"/>
            </c:ext>
          </c:extLst>
        </c:ser>
        <c:ser>
          <c:idx val="2"/>
          <c:order val="2"/>
          <c:tx>
            <c:strRef>
              <c:f>'[1]Project Model'!$N$28</c:f>
              <c:strCache>
                <c:ptCount val="1"/>
                <c:pt idx="0">
                  <c:v>FA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Model'!$O$28:$Q$28</c:f>
              <c:numCache>
                <c:formatCode>General</c:formatCode>
                <c:ptCount val="3"/>
                <c:pt idx="0">
                  <c:v>1850</c:v>
                </c:pt>
                <c:pt idx="1">
                  <c:v>650</c:v>
                </c:pt>
                <c:pt idx="2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66-4F50-B4B8-B18C11BB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905663"/>
        <c:axId val="385340159"/>
      </c:lineChart>
      <c:catAx>
        <c:axId val="77790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Years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40159"/>
        <c:crosses val="autoZero"/>
        <c:auto val="1"/>
        <c:lblAlgn val="ctr"/>
        <c:lblOffset val="100"/>
        <c:noMultiLvlLbl val="0"/>
      </c:catAx>
      <c:valAx>
        <c:axId val="38534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 Expenditure ($ - in 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0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effectLst/>
              </a:rPr>
              <a:t>Capital</a:t>
            </a:r>
            <a:r>
              <a:rPr lang="en-US" baseline="0">
                <a:effectLst/>
              </a:rPr>
              <a:t> Expenditure for FA 1 Approved Projects Y1-Y3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'[1]Project Model'!$N$26</c:f>
              <c:strCache>
                <c:ptCount val="1"/>
                <c:pt idx="0">
                  <c:v>FA 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Model'!$O$26:$Q$26</c:f>
              <c:numCache>
                <c:formatCode>General</c:formatCode>
                <c:ptCount val="3"/>
                <c:pt idx="0">
                  <c:v>1115</c:v>
                </c:pt>
                <c:pt idx="1">
                  <c:v>999</c:v>
                </c:pt>
                <c:pt idx="2">
                  <c:v>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D-44B7-A173-77E106701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943071"/>
        <c:axId val="398807599"/>
      </c:lineChart>
      <c:catAx>
        <c:axId val="391943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Years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07599"/>
        <c:crosses val="autoZero"/>
        <c:auto val="1"/>
        <c:lblAlgn val="ctr"/>
        <c:lblOffset val="100"/>
        <c:noMultiLvlLbl val="0"/>
      </c:catAx>
      <c:valAx>
        <c:axId val="39880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 Expenditure ($ - millions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 Expenditure for FA 2 Approved Projects Y1</a:t>
            </a:r>
            <a:r>
              <a:rPr lang="en-US" baseline="0"/>
              <a:t>-Y3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'[1]Project Model'!$N$27</c:f>
              <c:strCache>
                <c:ptCount val="1"/>
                <c:pt idx="0">
                  <c:v>FA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Model'!$O$27:$Q$27</c:f>
              <c:numCache>
                <c:formatCode>General</c:formatCode>
                <c:ptCount val="3"/>
                <c:pt idx="0">
                  <c:v>1518</c:v>
                </c:pt>
                <c:pt idx="1">
                  <c:v>1302</c:v>
                </c:pt>
                <c:pt idx="2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7-431D-9F7B-D6A8F7CD6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866735"/>
        <c:axId val="783865295"/>
      </c:lineChart>
      <c:catAx>
        <c:axId val="783866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65295"/>
        <c:crosses val="autoZero"/>
        <c:auto val="1"/>
        <c:lblAlgn val="ctr"/>
        <c:lblOffset val="100"/>
        <c:noMultiLvlLbl val="0"/>
      </c:catAx>
      <c:valAx>
        <c:axId val="78386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 Expenditure ($ - in 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6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18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png"/><Relationship Id="rId2" Type="http://schemas.openxmlformats.org/officeDocument/2006/relationships/image" Target="../media/image27.png"/><Relationship Id="rId1" Type="http://schemas.openxmlformats.org/officeDocument/2006/relationships/image" Target="../media/image26.png"/><Relationship Id="rId4" Type="http://schemas.openxmlformats.org/officeDocument/2006/relationships/image" Target="../media/image2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6</xdr:row>
      <xdr:rowOff>95250</xdr:rowOff>
    </xdr:from>
    <xdr:to>
      <xdr:col>3</xdr:col>
      <xdr:colOff>752475</xdr:colOff>
      <xdr:row>6</xdr:row>
      <xdr:rowOff>152400</xdr:rowOff>
    </xdr:to>
    <xdr:cxnSp macro="">
      <xdr:nvCxnSpPr>
        <xdr:cNvPr id="3" name="Conector recto de flecha 2"/>
        <xdr:cNvCxnSpPr/>
      </xdr:nvCxnSpPr>
      <xdr:spPr>
        <a:xfrm>
          <a:off x="2524125" y="1238250"/>
          <a:ext cx="514350" cy="57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219075</xdr:colOff>
      <xdr:row>6</xdr:row>
      <xdr:rowOff>152400</xdr:rowOff>
    </xdr:from>
    <xdr:to>
      <xdr:col>4</xdr:col>
      <xdr:colOff>0</xdr:colOff>
      <xdr:row>7</xdr:row>
      <xdr:rowOff>171450</xdr:rowOff>
    </xdr:to>
    <xdr:cxnSp macro="">
      <xdr:nvCxnSpPr>
        <xdr:cNvPr id="9" name="Conector recto de flecha 8"/>
        <xdr:cNvCxnSpPr/>
      </xdr:nvCxnSpPr>
      <xdr:spPr>
        <a:xfrm>
          <a:off x="2505075" y="1295400"/>
          <a:ext cx="542925" cy="238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428625</xdr:colOff>
      <xdr:row>6</xdr:row>
      <xdr:rowOff>152400</xdr:rowOff>
    </xdr:from>
    <xdr:to>
      <xdr:col>5</xdr:col>
      <xdr:colOff>733425</xdr:colOff>
      <xdr:row>6</xdr:row>
      <xdr:rowOff>152402</xdr:rowOff>
    </xdr:to>
    <xdr:cxnSp macro="">
      <xdr:nvCxnSpPr>
        <xdr:cNvPr id="11" name="Conector recto de flecha 10"/>
        <xdr:cNvCxnSpPr/>
      </xdr:nvCxnSpPr>
      <xdr:spPr>
        <a:xfrm flipV="1">
          <a:off x="4238625" y="1295400"/>
          <a:ext cx="304800" cy="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246966</xdr:colOff>
      <xdr:row>0</xdr:row>
      <xdr:rowOff>196167</xdr:rowOff>
    </xdr:from>
    <xdr:to>
      <xdr:col>19</xdr:col>
      <xdr:colOff>418204</xdr:colOff>
      <xdr:row>21</xdr:row>
      <xdr:rowOff>20179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95227" y="196167"/>
          <a:ext cx="7943086" cy="4144773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</xdr:row>
      <xdr:rowOff>153778</xdr:rowOff>
    </xdr:from>
    <xdr:to>
      <xdr:col>3</xdr:col>
      <xdr:colOff>900043</xdr:colOff>
      <xdr:row>30</xdr:row>
      <xdr:rowOff>191326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407023</xdr:colOff>
      <xdr:row>20</xdr:row>
      <xdr:rowOff>162623</xdr:rowOff>
    </xdr:from>
    <xdr:to>
      <xdr:col>7</xdr:col>
      <xdr:colOff>685803</xdr:colOff>
      <xdr:row>38</xdr:row>
      <xdr:rowOff>70849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7023" y="4286251"/>
          <a:ext cx="6133170" cy="32535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34183</xdr:rowOff>
    </xdr:from>
    <xdr:to>
      <xdr:col>0</xdr:col>
      <xdr:colOff>1057275</xdr:colOff>
      <xdr:row>6</xdr:row>
      <xdr:rowOff>143060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5183"/>
          <a:ext cx="1057275" cy="1080427"/>
        </a:xfrm>
        <a:prstGeom prst="rect">
          <a:avLst/>
        </a:prstGeom>
      </xdr:spPr>
    </xdr:pic>
    <xdr:clientData/>
  </xdr:twoCellAnchor>
  <xdr:twoCellAnchor>
    <xdr:from>
      <xdr:col>8</xdr:col>
      <xdr:colOff>246256</xdr:colOff>
      <xdr:row>21</xdr:row>
      <xdr:rowOff>4878</xdr:rowOff>
    </xdr:from>
    <xdr:to>
      <xdr:col>14</xdr:col>
      <xdr:colOff>218378</xdr:colOff>
      <xdr:row>35</xdr:row>
      <xdr:rowOff>146127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133351</xdr:colOff>
      <xdr:row>14</xdr:row>
      <xdr:rowOff>171450</xdr:rowOff>
    </xdr:from>
    <xdr:to>
      <xdr:col>12</xdr:col>
      <xdr:colOff>295638</xdr:colOff>
      <xdr:row>25</xdr:row>
      <xdr:rowOff>95604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1" y="3409950"/>
          <a:ext cx="9430112" cy="201965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57151</xdr:rowOff>
    </xdr:from>
    <xdr:to>
      <xdr:col>12</xdr:col>
      <xdr:colOff>733425</xdr:colOff>
      <xdr:row>6</xdr:row>
      <xdr:rowOff>173275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57151"/>
          <a:ext cx="10334625" cy="125912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19050</xdr:rowOff>
    </xdr:from>
    <xdr:to>
      <xdr:col>19</xdr:col>
      <xdr:colOff>201116</xdr:colOff>
      <xdr:row>12</xdr:row>
      <xdr:rowOff>181314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29450" y="209550"/>
          <a:ext cx="7821116" cy="242921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142876</xdr:colOff>
      <xdr:row>3</xdr:row>
      <xdr:rowOff>123825</xdr:rowOff>
    </xdr:from>
    <xdr:to>
      <xdr:col>15</xdr:col>
      <xdr:colOff>609902</xdr:colOff>
      <xdr:row>19</xdr:row>
      <xdr:rowOff>142875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1" y="695325"/>
          <a:ext cx="5801026" cy="30670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9779</xdr:colOff>
      <xdr:row>0</xdr:row>
      <xdr:rowOff>23165</xdr:rowOff>
    </xdr:from>
    <xdr:to>
      <xdr:col>18</xdr:col>
      <xdr:colOff>695325</xdr:colOff>
      <xdr:row>16</xdr:row>
      <xdr:rowOff>66674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5779" y="23165"/>
          <a:ext cx="8305546" cy="309150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723900</xdr:colOff>
      <xdr:row>1</xdr:row>
      <xdr:rowOff>28575</xdr:rowOff>
    </xdr:from>
    <xdr:to>
      <xdr:col>15</xdr:col>
      <xdr:colOff>38749</xdr:colOff>
      <xdr:row>15</xdr:row>
      <xdr:rowOff>133831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0450" y="219075"/>
          <a:ext cx="4648849" cy="3448531"/>
        </a:xfrm>
        <a:prstGeom prst="rect">
          <a:avLst/>
        </a:prstGeom>
      </xdr:spPr>
    </xdr:pic>
    <xdr:clientData/>
  </xdr:twoCellAnchor>
  <xdr:twoCellAnchor editAs="oneCell">
    <xdr:from>
      <xdr:col>4</xdr:col>
      <xdr:colOff>180976</xdr:colOff>
      <xdr:row>19</xdr:row>
      <xdr:rowOff>116062</xdr:rowOff>
    </xdr:from>
    <xdr:to>
      <xdr:col>9</xdr:col>
      <xdr:colOff>485776</xdr:colOff>
      <xdr:row>22</xdr:row>
      <xdr:rowOff>257288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71901" y="4411837"/>
          <a:ext cx="4476750" cy="731776"/>
        </a:xfrm>
        <a:prstGeom prst="rect">
          <a:avLst/>
        </a:prstGeom>
      </xdr:spPr>
    </xdr:pic>
    <xdr:clientData/>
  </xdr:twoCellAnchor>
  <xdr:twoCellAnchor editAs="oneCell">
    <xdr:from>
      <xdr:col>4</xdr:col>
      <xdr:colOff>257175</xdr:colOff>
      <xdr:row>29</xdr:row>
      <xdr:rowOff>185117</xdr:rowOff>
    </xdr:from>
    <xdr:to>
      <xdr:col>8</xdr:col>
      <xdr:colOff>438150</xdr:colOff>
      <xdr:row>34</xdr:row>
      <xdr:rowOff>47778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48100" y="6738317"/>
          <a:ext cx="3590925" cy="815161"/>
        </a:xfrm>
        <a:prstGeom prst="rect">
          <a:avLst/>
        </a:prstGeom>
      </xdr:spPr>
    </xdr:pic>
    <xdr:clientData/>
  </xdr:twoCellAnchor>
  <xdr:twoCellAnchor editAs="oneCell">
    <xdr:from>
      <xdr:col>4</xdr:col>
      <xdr:colOff>180976</xdr:colOff>
      <xdr:row>22</xdr:row>
      <xdr:rowOff>320011</xdr:rowOff>
    </xdr:from>
    <xdr:to>
      <xdr:col>8</xdr:col>
      <xdr:colOff>581026</xdr:colOff>
      <xdr:row>27</xdr:row>
      <xdr:rowOff>19231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71901" y="5206336"/>
          <a:ext cx="3810000" cy="985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299995</xdr:colOff>
      <xdr:row>10</xdr:row>
      <xdr:rowOff>120739</xdr:rowOff>
    </xdr:from>
    <xdr:to>
      <xdr:col>3</xdr:col>
      <xdr:colOff>442712</xdr:colOff>
      <xdr:row>17</xdr:row>
      <xdr:rowOff>6677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9995" y="2079401"/>
          <a:ext cx="2436766" cy="12006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151533</xdr:rowOff>
    </xdr:from>
    <xdr:to>
      <xdr:col>2</xdr:col>
      <xdr:colOff>691800</xdr:colOff>
      <xdr:row>23</xdr:row>
      <xdr:rowOff>1075405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24374"/>
          <a:ext cx="2207141" cy="1313531"/>
        </a:xfrm>
        <a:prstGeom prst="rect">
          <a:avLst/>
        </a:prstGeom>
      </xdr:spPr>
    </xdr:pic>
    <xdr:clientData/>
  </xdr:twoCellAnchor>
  <xdr:twoCellAnchor editAs="oneCell">
    <xdr:from>
      <xdr:col>3</xdr:col>
      <xdr:colOff>650103</xdr:colOff>
      <xdr:row>23</xdr:row>
      <xdr:rowOff>324716</xdr:rowOff>
    </xdr:from>
    <xdr:to>
      <xdr:col>7</xdr:col>
      <xdr:colOff>458760</xdr:colOff>
      <xdr:row>23</xdr:row>
      <xdr:rowOff>1006720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23114" y="5087216"/>
          <a:ext cx="2839339" cy="682004"/>
        </a:xfrm>
        <a:prstGeom prst="rect">
          <a:avLst/>
        </a:prstGeom>
      </xdr:spPr>
    </xdr:pic>
    <xdr:clientData/>
  </xdr:twoCellAnchor>
  <xdr:twoCellAnchor editAs="oneCell">
    <xdr:from>
      <xdr:col>1</xdr:col>
      <xdr:colOff>413492</xdr:colOff>
      <xdr:row>26</xdr:row>
      <xdr:rowOff>108239</xdr:rowOff>
    </xdr:from>
    <xdr:to>
      <xdr:col>4</xdr:col>
      <xdr:colOff>718889</xdr:colOff>
      <xdr:row>36</xdr:row>
      <xdr:rowOff>125808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71162" y="6429375"/>
          <a:ext cx="2578409" cy="1965865"/>
        </a:xfrm>
        <a:prstGeom prst="rect">
          <a:avLst/>
        </a:prstGeom>
      </xdr:spPr>
    </xdr:pic>
    <xdr:clientData/>
  </xdr:twoCellAnchor>
  <xdr:twoCellAnchor editAs="oneCell">
    <xdr:from>
      <xdr:col>6</xdr:col>
      <xdr:colOff>55786</xdr:colOff>
      <xdr:row>29</xdr:row>
      <xdr:rowOff>21648</xdr:rowOff>
    </xdr:from>
    <xdr:to>
      <xdr:col>10</xdr:col>
      <xdr:colOff>161139</xdr:colOff>
      <xdr:row>35</xdr:row>
      <xdr:rowOff>142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01809" y="6927273"/>
          <a:ext cx="3136035" cy="1147471"/>
        </a:xfrm>
        <a:prstGeom prst="rect">
          <a:avLst/>
        </a:prstGeom>
      </xdr:spPr>
    </xdr:pic>
    <xdr:clientData/>
  </xdr:twoCellAnchor>
  <xdr:twoCellAnchor>
    <xdr:from>
      <xdr:col>3</xdr:col>
      <xdr:colOff>158751</xdr:colOff>
      <xdr:row>24</xdr:row>
      <xdr:rowOff>22678</xdr:rowOff>
    </xdr:from>
    <xdr:to>
      <xdr:col>3</xdr:col>
      <xdr:colOff>473076</xdr:colOff>
      <xdr:row>25</xdr:row>
      <xdr:rowOff>141429</xdr:rowOff>
    </xdr:to>
    <xdr:sp macro="" textlink="">
      <xdr:nvSpPr>
        <xdr:cNvPr id="7" name="Flecha abajo 6"/>
        <xdr:cNvSpPr/>
      </xdr:nvSpPr>
      <xdr:spPr>
        <a:xfrm>
          <a:off x="2471965" y="5533571"/>
          <a:ext cx="314325" cy="30017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441773</xdr:colOff>
      <xdr:row>31</xdr:row>
      <xdr:rowOff>47529</xdr:rowOff>
    </xdr:from>
    <xdr:to>
      <xdr:col>5</xdr:col>
      <xdr:colOff>765623</xdr:colOff>
      <xdr:row>32</xdr:row>
      <xdr:rowOff>99247</xdr:rowOff>
    </xdr:to>
    <xdr:sp macro="" textlink="">
      <xdr:nvSpPr>
        <xdr:cNvPr id="8" name="Flecha abajo 7"/>
        <xdr:cNvSpPr/>
      </xdr:nvSpPr>
      <xdr:spPr>
        <a:xfrm rot="16200000">
          <a:off x="4342482" y="6783070"/>
          <a:ext cx="233146" cy="323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639387</xdr:colOff>
      <xdr:row>3</xdr:row>
      <xdr:rowOff>51487</xdr:rowOff>
    </xdr:from>
    <xdr:to>
      <xdr:col>18</xdr:col>
      <xdr:colOff>682848</xdr:colOff>
      <xdr:row>10</xdr:row>
      <xdr:rowOff>14146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679252" y="901014"/>
          <a:ext cx="3904947" cy="1275564"/>
        </a:xfrm>
        <a:prstGeom prst="rect">
          <a:avLst/>
        </a:prstGeom>
      </xdr:spPr>
    </xdr:pic>
    <xdr:clientData/>
  </xdr:twoCellAnchor>
  <xdr:twoCellAnchor editAs="oneCell">
    <xdr:from>
      <xdr:col>13</xdr:col>
      <xdr:colOff>540608</xdr:colOff>
      <xdr:row>13</xdr:row>
      <xdr:rowOff>0</xdr:rowOff>
    </xdr:from>
    <xdr:to>
      <xdr:col>19</xdr:col>
      <xdr:colOff>77229</xdr:colOff>
      <xdr:row>15</xdr:row>
      <xdr:rowOff>79473</xdr:rowOff>
    </xdr:to>
    <xdr:pic>
      <xdr:nvPicPr>
        <xdr:cNvPr id="10" name="Imagen 9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80473" y="2703041"/>
          <a:ext cx="4170405" cy="439878"/>
        </a:xfrm>
        <a:prstGeom prst="rect">
          <a:avLst/>
        </a:prstGeom>
      </xdr:spPr>
    </xdr:pic>
    <xdr:clientData/>
  </xdr:twoCellAnchor>
  <xdr:twoCellAnchor>
    <xdr:from>
      <xdr:col>16</xdr:col>
      <xdr:colOff>189595</xdr:colOff>
      <xdr:row>10</xdr:row>
      <xdr:rowOff>94078</xdr:rowOff>
    </xdr:from>
    <xdr:to>
      <xdr:col>16</xdr:col>
      <xdr:colOff>515755</xdr:colOff>
      <xdr:row>12</xdr:row>
      <xdr:rowOff>29470</xdr:rowOff>
    </xdr:to>
    <xdr:sp macro="" textlink="">
      <xdr:nvSpPr>
        <xdr:cNvPr id="11" name="Flecha abajo 10"/>
        <xdr:cNvSpPr/>
      </xdr:nvSpPr>
      <xdr:spPr>
        <a:xfrm>
          <a:off x="12546352" y="2256510"/>
          <a:ext cx="326160" cy="29579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98691</xdr:colOff>
      <xdr:row>22</xdr:row>
      <xdr:rowOff>0</xdr:rowOff>
    </xdr:from>
    <xdr:to>
      <xdr:col>19</xdr:col>
      <xdr:colOff>571192</xdr:colOff>
      <xdr:row>28</xdr:row>
      <xdr:rowOff>110916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138556" y="4376351"/>
          <a:ext cx="5106285" cy="2196119"/>
        </a:xfrm>
        <a:prstGeom prst="rect">
          <a:avLst/>
        </a:prstGeom>
      </xdr:spPr>
    </xdr:pic>
    <xdr:clientData/>
  </xdr:twoCellAnchor>
  <xdr:twoCellAnchor>
    <xdr:from>
      <xdr:col>16</xdr:col>
      <xdr:colOff>186743</xdr:colOff>
      <xdr:row>15</xdr:row>
      <xdr:rowOff>173920</xdr:rowOff>
    </xdr:from>
    <xdr:to>
      <xdr:col>16</xdr:col>
      <xdr:colOff>501068</xdr:colOff>
      <xdr:row>21</xdr:row>
      <xdr:rowOff>0</xdr:rowOff>
    </xdr:to>
    <xdr:sp macro="" textlink="">
      <xdr:nvSpPr>
        <xdr:cNvPr id="13" name="Flecha abajo 12"/>
        <xdr:cNvSpPr/>
      </xdr:nvSpPr>
      <xdr:spPr>
        <a:xfrm>
          <a:off x="12412238" y="3314030"/>
          <a:ext cx="314325" cy="97745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21</xdr:col>
      <xdr:colOff>566899</xdr:colOff>
      <xdr:row>23</xdr:row>
      <xdr:rowOff>617837</xdr:rowOff>
    </xdr:from>
    <xdr:to>
      <xdr:col>28</xdr:col>
      <xdr:colOff>180923</xdr:colOff>
      <xdr:row>40</xdr:row>
      <xdr:rowOff>128119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785142" y="5174391"/>
          <a:ext cx="5020105" cy="3706431"/>
        </a:xfrm>
        <a:prstGeom prst="rect">
          <a:avLst/>
        </a:prstGeom>
      </xdr:spPr>
    </xdr:pic>
    <xdr:clientData/>
  </xdr:twoCellAnchor>
  <xdr:twoCellAnchor editAs="oneCell">
    <xdr:from>
      <xdr:col>21</xdr:col>
      <xdr:colOff>423103</xdr:colOff>
      <xdr:row>2</xdr:row>
      <xdr:rowOff>102973</xdr:rowOff>
    </xdr:from>
    <xdr:to>
      <xdr:col>27</xdr:col>
      <xdr:colOff>688389</xdr:colOff>
      <xdr:row>23</xdr:row>
      <xdr:rowOff>168167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641346" y="772297"/>
          <a:ext cx="4899070" cy="3952424"/>
        </a:xfrm>
        <a:prstGeom prst="rect">
          <a:avLst/>
        </a:prstGeom>
      </xdr:spPr>
    </xdr:pic>
    <xdr:clientData/>
  </xdr:twoCellAnchor>
  <xdr:twoCellAnchor>
    <xdr:from>
      <xdr:col>24</xdr:col>
      <xdr:colOff>525958</xdr:colOff>
      <xdr:row>23</xdr:row>
      <xdr:rowOff>177399</xdr:rowOff>
    </xdr:from>
    <xdr:to>
      <xdr:col>25</xdr:col>
      <xdr:colOff>79821</xdr:colOff>
      <xdr:row>23</xdr:row>
      <xdr:rowOff>486704</xdr:rowOff>
    </xdr:to>
    <xdr:sp macro="" textlink="">
      <xdr:nvSpPr>
        <xdr:cNvPr id="16" name="Flecha abajo 15"/>
        <xdr:cNvSpPr/>
      </xdr:nvSpPr>
      <xdr:spPr>
        <a:xfrm>
          <a:off x="19061093" y="4733953"/>
          <a:ext cx="326160" cy="30930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185737</xdr:rowOff>
    </xdr:from>
    <xdr:to>
      <xdr:col>11</xdr:col>
      <xdr:colOff>0</xdr:colOff>
      <xdr:row>25</xdr:row>
      <xdr:rowOff>71437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523874</xdr:colOff>
      <xdr:row>7</xdr:row>
      <xdr:rowOff>57150</xdr:rowOff>
    </xdr:from>
    <xdr:to>
      <xdr:col>4</xdr:col>
      <xdr:colOff>638175</xdr:colOff>
      <xdr:row>8</xdr:row>
      <xdr:rowOff>133351</xdr:rowOff>
    </xdr:to>
    <xdr:sp macro="" textlink="">
      <xdr:nvSpPr>
        <xdr:cNvPr id="5" name="Flecha arriba 4"/>
        <xdr:cNvSpPr/>
      </xdr:nvSpPr>
      <xdr:spPr>
        <a:xfrm>
          <a:off x="5095874" y="1419225"/>
          <a:ext cx="114301" cy="266701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58222</xdr:colOff>
      <xdr:row>11</xdr:row>
      <xdr:rowOff>171740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0050"/>
          <a:ext cx="7678222" cy="20767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10</xdr:col>
      <xdr:colOff>86801</xdr:colOff>
      <xdr:row>23</xdr:row>
      <xdr:rowOff>124108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86050"/>
          <a:ext cx="7706801" cy="202910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10</xdr:col>
      <xdr:colOff>124906</xdr:colOff>
      <xdr:row>40</xdr:row>
      <xdr:rowOff>162373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781550"/>
          <a:ext cx="7744906" cy="3210373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40</xdr:row>
      <xdr:rowOff>161925</xdr:rowOff>
    </xdr:from>
    <xdr:to>
      <xdr:col>10</xdr:col>
      <xdr:colOff>267799</xdr:colOff>
      <xdr:row>52</xdr:row>
      <xdr:rowOff>38402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7991475"/>
          <a:ext cx="7878274" cy="216247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89492</xdr:colOff>
      <xdr:row>9</xdr:row>
      <xdr:rowOff>611</xdr:rowOff>
    </xdr:from>
    <xdr:to>
      <xdr:col>13</xdr:col>
      <xdr:colOff>441918</xdr:colOff>
      <xdr:row>24</xdr:row>
      <xdr:rowOff>110479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83343</xdr:colOff>
      <xdr:row>14</xdr:row>
      <xdr:rowOff>-1</xdr:rowOff>
    </xdr:from>
    <xdr:to>
      <xdr:col>5</xdr:col>
      <xdr:colOff>83343</xdr:colOff>
      <xdr:row>20</xdr:row>
      <xdr:rowOff>127395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49481</xdr:colOff>
      <xdr:row>20</xdr:row>
      <xdr:rowOff>272142</xdr:rowOff>
    </xdr:from>
    <xdr:to>
      <xdr:col>5</xdr:col>
      <xdr:colOff>37111</xdr:colOff>
      <xdr:row>30</xdr:row>
      <xdr:rowOff>123701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64324</xdr:colOff>
      <xdr:row>31</xdr:row>
      <xdr:rowOff>173182</xdr:rowOff>
    </xdr:from>
    <xdr:to>
      <xdr:col>5</xdr:col>
      <xdr:colOff>12370</xdr:colOff>
      <xdr:row>45</xdr:row>
      <xdr:rowOff>24741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101434</xdr:colOff>
      <xdr:row>45</xdr:row>
      <xdr:rowOff>136071</xdr:rowOff>
    </xdr:from>
    <xdr:to>
      <xdr:col>5</xdr:col>
      <xdr:colOff>0</xdr:colOff>
      <xdr:row>57</xdr:row>
      <xdr:rowOff>173182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317500</xdr:colOff>
      <xdr:row>11</xdr:row>
      <xdr:rowOff>50800</xdr:rowOff>
    </xdr:from>
    <xdr:to>
      <xdr:col>11</xdr:col>
      <xdr:colOff>457200</xdr:colOff>
      <xdr:row>14</xdr:row>
      <xdr:rowOff>76200</xdr:rowOff>
    </xdr:to>
    <xdr:sp macro="" textlink="">
      <xdr:nvSpPr>
        <xdr:cNvPr id="2" name="Alternate Process 1">
          <a:extLst>
            <a:ext uri="{FF2B5EF4-FFF2-40B4-BE49-F238E27FC236}">
              <a16:creationId xmlns:a16="http://schemas.microsoft.com/office/drawing/2014/main" id="{AA8629F9-E3A4-6366-F5BC-8BCB975CFC37}"/>
            </a:ext>
          </a:extLst>
        </xdr:cNvPr>
        <xdr:cNvSpPr/>
      </xdr:nvSpPr>
      <xdr:spPr>
        <a:xfrm>
          <a:off x="8489950" y="2374900"/>
          <a:ext cx="1797050" cy="6254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Insert 0 or 1 here:</a:t>
          </a:r>
        </a:p>
        <a:p>
          <a:pPr algn="l"/>
          <a:endParaRPr lang="en-US" sz="1100"/>
        </a:p>
      </xdr:txBody>
    </xdr:sp>
    <xdr:clientData/>
  </xdr:twoCellAnchor>
  <xdr:twoCellAnchor>
    <xdr:from>
      <xdr:col>14</xdr:col>
      <xdr:colOff>757766</xdr:colOff>
      <xdr:row>4</xdr:row>
      <xdr:rowOff>84667</xdr:rowOff>
    </xdr:from>
    <xdr:to>
      <xdr:col>16</xdr:col>
      <xdr:colOff>275167</xdr:colOff>
      <xdr:row>8</xdr:row>
      <xdr:rowOff>169334</xdr:rowOff>
    </xdr:to>
    <xdr:sp macro="" textlink="">
      <xdr:nvSpPr>
        <xdr:cNvPr id="3" name="Alternate Process 5">
          <a:extLst>
            <a:ext uri="{FF2B5EF4-FFF2-40B4-BE49-F238E27FC236}">
              <a16:creationId xmlns:a16="http://schemas.microsoft.com/office/drawing/2014/main" id="{AF0FFE27-93F2-354A-A68E-10C26669C9A4}"/>
            </a:ext>
          </a:extLst>
        </xdr:cNvPr>
        <xdr:cNvSpPr/>
      </xdr:nvSpPr>
      <xdr:spPr>
        <a:xfrm>
          <a:off x="15321491" y="1008592"/>
          <a:ext cx="1689101" cy="884767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Insert</a:t>
          </a:r>
          <a:r>
            <a:rPr lang="en-US" sz="1400" baseline="0"/>
            <a:t>  Discount Rate Reduction </a:t>
          </a:r>
        </a:p>
        <a:p>
          <a:pPr algn="ctr"/>
          <a:r>
            <a:rPr lang="en-US" sz="1400" baseline="0"/>
            <a:t>Here:</a:t>
          </a:r>
          <a:endParaRPr lang="en-US" sz="1400"/>
        </a:p>
        <a:p>
          <a:pPr algn="l"/>
          <a:endParaRPr lang="en-US" sz="1100"/>
        </a:p>
      </xdr:txBody>
    </xdr:sp>
    <xdr:clientData/>
  </xdr:twoCellAnchor>
  <xdr:twoCellAnchor>
    <xdr:from>
      <xdr:col>14</xdr:col>
      <xdr:colOff>203200</xdr:colOff>
      <xdr:row>5</xdr:row>
      <xdr:rowOff>177800</xdr:rowOff>
    </xdr:from>
    <xdr:to>
      <xdr:col>14</xdr:col>
      <xdr:colOff>711200</xdr:colOff>
      <xdr:row>7</xdr:row>
      <xdr:rowOff>50800</xdr:rowOff>
    </xdr:to>
    <xdr:sp macro="" textlink="">
      <xdr:nvSpPr>
        <xdr:cNvPr id="4" name="Left Arrow 6">
          <a:extLst>
            <a:ext uri="{FF2B5EF4-FFF2-40B4-BE49-F238E27FC236}">
              <a16:creationId xmlns:a16="http://schemas.microsoft.com/office/drawing/2014/main" id="{303C219D-1F4D-857E-6BC4-F10DCBB6801E}"/>
            </a:ext>
          </a:extLst>
        </xdr:cNvPr>
        <xdr:cNvSpPr/>
      </xdr:nvSpPr>
      <xdr:spPr>
        <a:xfrm>
          <a:off x="14766925" y="1301750"/>
          <a:ext cx="508000" cy="273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444500</xdr:colOff>
      <xdr:row>14</xdr:row>
      <xdr:rowOff>127000</xdr:rowOff>
    </xdr:from>
    <xdr:to>
      <xdr:col>10</xdr:col>
      <xdr:colOff>787400</xdr:colOff>
      <xdr:row>16</xdr:row>
      <xdr:rowOff>127000</xdr:rowOff>
    </xdr:to>
    <xdr:sp macro="" textlink="">
      <xdr:nvSpPr>
        <xdr:cNvPr id="5" name="Down Arrow 7">
          <a:extLst>
            <a:ext uri="{FF2B5EF4-FFF2-40B4-BE49-F238E27FC236}">
              <a16:creationId xmlns:a16="http://schemas.microsoft.com/office/drawing/2014/main" id="{3E8519AB-3B9F-78AD-7A85-3B8ABBD57DD4}"/>
            </a:ext>
          </a:extLst>
        </xdr:cNvPr>
        <xdr:cNvSpPr/>
      </xdr:nvSpPr>
      <xdr:spPr>
        <a:xfrm>
          <a:off x="9159875" y="3051175"/>
          <a:ext cx="342900" cy="4095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86322</xdr:colOff>
      <xdr:row>31</xdr:row>
      <xdr:rowOff>20481</xdr:rowOff>
    </xdr:from>
    <xdr:to>
      <xdr:col>17</xdr:col>
      <xdr:colOff>476251</xdr:colOff>
      <xdr:row>42</xdr:row>
      <xdr:rowOff>190499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16947" y="6243481"/>
          <a:ext cx="7327304" cy="2360768"/>
        </a:xfrm>
        <a:prstGeom prst="rect">
          <a:avLst/>
        </a:prstGeom>
      </xdr:spPr>
    </xdr:pic>
    <xdr:clientData/>
  </xdr:twoCellAnchor>
  <xdr:twoCellAnchor editAs="oneCell">
    <xdr:from>
      <xdr:col>20</xdr:col>
      <xdr:colOff>285749</xdr:colOff>
      <xdr:row>58</xdr:row>
      <xdr:rowOff>56087</xdr:rowOff>
    </xdr:from>
    <xdr:to>
      <xdr:col>31</xdr:col>
      <xdr:colOff>79375</xdr:colOff>
      <xdr:row>94</xdr:row>
      <xdr:rowOff>13205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209749" y="11819462"/>
          <a:ext cx="9080501" cy="687861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0</xdr:row>
      <xdr:rowOff>0</xdr:rowOff>
    </xdr:from>
    <xdr:to>
      <xdr:col>9</xdr:col>
      <xdr:colOff>577273</xdr:colOff>
      <xdr:row>22</xdr:row>
      <xdr:rowOff>1155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BD978-03AD-342E-16D4-2B4AD9A38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161636</xdr:colOff>
      <xdr:row>0</xdr:row>
      <xdr:rowOff>12700</xdr:rowOff>
    </xdr:from>
    <xdr:to>
      <xdr:col>20</xdr:col>
      <xdr:colOff>577273</xdr:colOff>
      <xdr:row>22</xdr:row>
      <xdr:rowOff>13855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611E9E-7C0A-77E7-E171-BD10978F6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165100</xdr:rowOff>
    </xdr:from>
    <xdr:to>
      <xdr:col>9</xdr:col>
      <xdr:colOff>577273</xdr:colOff>
      <xdr:row>46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64F4FC-11F5-13F2-40E2-0C83110E7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174336</xdr:colOff>
      <xdr:row>24</xdr:row>
      <xdr:rowOff>24245</xdr:rowOff>
    </xdr:from>
    <xdr:to>
      <xdr:col>20</xdr:col>
      <xdr:colOff>653473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997628-D3FC-CA76-516E-DA1ECE10D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0</xdr:row>
      <xdr:rowOff>38100</xdr:rowOff>
    </xdr:from>
    <xdr:to>
      <xdr:col>19</xdr:col>
      <xdr:colOff>410694</xdr:colOff>
      <xdr:row>13</xdr:row>
      <xdr:rowOff>105163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"/>
          <a:ext cx="8021169" cy="278168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ownloads/_2UQ1mxISpC86J3nGgfhpQ_424af4dc4ea142459d497a63d341fff1_Bluejay_Natural_Gas_Solution_Midterm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Model"/>
      <sheetName val="Approved Line Charts"/>
    </sheetNames>
    <sheetDataSet>
      <sheetData sheetId="0">
        <row r="25">
          <cell r="O25" t="str">
            <v>Year 1</v>
          </cell>
          <cell r="P25" t="str">
            <v xml:space="preserve">Year 2 </v>
          </cell>
          <cell r="Q25" t="str">
            <v xml:space="preserve">Year 3 </v>
          </cell>
        </row>
        <row r="26">
          <cell r="N26" t="str">
            <v xml:space="preserve">FA 1 </v>
          </cell>
          <cell r="O26">
            <v>1115</v>
          </cell>
          <cell r="P26">
            <v>999</v>
          </cell>
          <cell r="Q26">
            <v>1199</v>
          </cell>
        </row>
        <row r="27">
          <cell r="N27" t="str">
            <v>FA 2</v>
          </cell>
          <cell r="O27">
            <v>1518</v>
          </cell>
          <cell r="P27">
            <v>1302</v>
          </cell>
          <cell r="Q27">
            <v>986</v>
          </cell>
        </row>
        <row r="28">
          <cell r="N28" t="str">
            <v>FA 3</v>
          </cell>
          <cell r="O28">
            <v>1850</v>
          </cell>
          <cell r="P28">
            <v>650</v>
          </cell>
          <cell r="Q28">
            <v>550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"/>
  <sheetViews>
    <sheetView workbookViewId="0">
      <selection activeCell="G12" sqref="G12"/>
    </sheetView>
  </sheetViews>
  <sheetFormatPr baseColWidth="10" defaultRowHeight="15"/>
  <sheetData>
    <row r="3" spans="1:7">
      <c r="A3" t="s">
        <v>184</v>
      </c>
    </row>
    <row r="5" spans="1:7">
      <c r="A5" t="s">
        <v>128</v>
      </c>
    </row>
    <row r="7" spans="1:7" ht="17.25">
      <c r="A7" s="89" t="s">
        <v>196</v>
      </c>
      <c r="E7" t="s">
        <v>410</v>
      </c>
      <c r="G7" s="161" t="s">
        <v>411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opLeftCell="A4" zoomScale="77" zoomScaleNormal="77" workbookViewId="0">
      <selection activeCell="I16" sqref="I16"/>
    </sheetView>
  </sheetViews>
  <sheetFormatPr baseColWidth="10" defaultRowHeight="15"/>
  <cols>
    <col min="1" max="6" width="11.42578125" style="65"/>
    <col min="7" max="7" width="13.28515625" customWidth="1"/>
    <col min="8" max="8" width="12.5703125" style="65" customWidth="1"/>
    <col min="9" max="9" width="8.85546875" style="65" customWidth="1"/>
    <col min="10" max="10" width="16" customWidth="1"/>
    <col min="11" max="11" width="13.140625" customWidth="1"/>
    <col min="12" max="12" width="12.28515625" bestFit="1" customWidth="1"/>
    <col min="13" max="13" width="13.85546875" customWidth="1"/>
    <col min="14" max="14" width="16.5703125" style="65" customWidth="1"/>
    <col min="15" max="15" width="17.85546875" style="65" customWidth="1"/>
    <col min="16" max="16" width="8.85546875" style="65" customWidth="1"/>
    <col min="17" max="17" width="11.28515625" style="65" customWidth="1"/>
    <col min="18" max="18" width="9.42578125" style="65" customWidth="1"/>
    <col min="19" max="19" width="10.140625" style="65" customWidth="1"/>
    <col min="20" max="20" width="8.85546875" style="65" customWidth="1"/>
    <col min="21" max="21" width="10.28515625" style="65" customWidth="1"/>
    <col min="22" max="22" width="12.140625" style="65" customWidth="1"/>
    <col min="23" max="23" width="12.42578125" customWidth="1"/>
    <col min="24" max="24" width="12.42578125" style="65" customWidth="1"/>
    <col min="25" max="25" width="53.42578125" customWidth="1"/>
    <col min="30" max="30" width="13.85546875" customWidth="1"/>
    <col min="32" max="32" width="19.28515625" customWidth="1"/>
    <col min="33" max="33" width="13.5703125" customWidth="1"/>
  </cols>
  <sheetData>
    <row r="1" spans="1:24" s="161" customFormat="1" ht="49.5" customHeight="1" thickBot="1">
      <c r="A1" s="198" t="s">
        <v>126</v>
      </c>
      <c r="B1" s="202" t="s">
        <v>127</v>
      </c>
      <c r="C1" s="199" t="s">
        <v>128</v>
      </c>
      <c r="D1" s="201"/>
      <c r="E1" s="201"/>
      <c r="G1" s="477" t="s">
        <v>100</v>
      </c>
      <c r="H1" s="478"/>
      <c r="I1" s="478"/>
      <c r="J1" s="478"/>
      <c r="K1" s="478"/>
      <c r="L1" s="478"/>
      <c r="M1" s="478"/>
      <c r="N1" s="478"/>
      <c r="O1" s="478"/>
      <c r="P1" s="478"/>
      <c r="Q1" s="478"/>
      <c r="R1" s="478"/>
      <c r="S1" s="478"/>
      <c r="T1" s="478"/>
      <c r="U1" s="478"/>
      <c r="V1" s="478"/>
      <c r="W1" s="479"/>
      <c r="X1" s="194"/>
    </row>
    <row r="2" spans="1:24" s="161" customFormat="1" ht="46.5" customHeight="1" thickBot="1">
      <c r="A2" s="197">
        <v>0</v>
      </c>
      <c r="B2" s="203">
        <f>W3 * A2</f>
        <v>0</v>
      </c>
      <c r="C2" s="207">
        <f xml:space="preserve"> A2 / (1 - B2) - A2</f>
        <v>0</v>
      </c>
      <c r="D2" s="42"/>
      <c r="E2" s="42"/>
      <c r="G2" s="158" t="s">
        <v>101</v>
      </c>
      <c r="H2" s="165" t="s">
        <v>120</v>
      </c>
      <c r="I2" s="164" t="s">
        <v>102</v>
      </c>
      <c r="J2" s="164" t="s">
        <v>102</v>
      </c>
      <c r="K2" s="159" t="s">
        <v>103</v>
      </c>
      <c r="L2" s="159" t="s">
        <v>104</v>
      </c>
      <c r="M2" s="159" t="s">
        <v>105</v>
      </c>
      <c r="N2" s="162" t="s">
        <v>122</v>
      </c>
      <c r="O2" s="193" t="s">
        <v>125</v>
      </c>
      <c r="P2" s="160" t="s">
        <v>106</v>
      </c>
      <c r="Q2" s="160" t="s">
        <v>116</v>
      </c>
      <c r="R2" s="160" t="s">
        <v>107</v>
      </c>
      <c r="S2" s="160" t="s">
        <v>117</v>
      </c>
      <c r="T2" s="160" t="s">
        <v>108</v>
      </c>
      <c r="U2" s="160" t="s">
        <v>118</v>
      </c>
      <c r="V2" s="193" t="s">
        <v>114</v>
      </c>
      <c r="W2" s="192" t="s">
        <v>113</v>
      </c>
      <c r="X2" s="166"/>
    </row>
    <row r="3" spans="1:24" ht="15.75" thickTop="1">
      <c r="A3" s="195">
        <v>0.05</v>
      </c>
      <c r="B3" s="203">
        <f t="shared" ref="B3:B8" si="0">W4 * A3</f>
        <v>9</v>
      </c>
      <c r="C3" s="205">
        <f t="shared" ref="C3:C8" si="1" xml:space="preserve"> A3 / (1 - B3) - A3</f>
        <v>-5.6250000000000001E-2</v>
      </c>
      <c r="D3" s="42"/>
      <c r="E3" s="42"/>
      <c r="G3" s="147">
        <v>1</v>
      </c>
      <c r="H3" s="151">
        <v>1</v>
      </c>
      <c r="I3" s="148" t="s">
        <v>106</v>
      </c>
      <c r="J3" s="149">
        <v>1</v>
      </c>
      <c r="K3" s="148">
        <v>250</v>
      </c>
      <c r="L3" s="173">
        <v>100</v>
      </c>
      <c r="M3" s="173">
        <v>100</v>
      </c>
      <c r="N3" s="172">
        <f>IF(H3=1,SUM(K3:M3),0)</f>
        <v>450</v>
      </c>
      <c r="O3" s="191">
        <f>IF(N3=0, 0,(V3/N3)*100)</f>
        <v>11.733333333333333</v>
      </c>
      <c r="P3" s="156">
        <f>IF(AND(H3&gt;0,I3="FA1"),1/1,0/1)</f>
        <v>1</v>
      </c>
      <c r="Q3" s="156">
        <f>IF(AND(H3&gt;0, I3="FA1"), SUM(K3:M3), 0)</f>
        <v>450</v>
      </c>
      <c r="R3" s="156">
        <f>IF(AND(H3&gt;0,I3="FA2"),1/1,0/1)</f>
        <v>0</v>
      </c>
      <c r="S3" s="156">
        <f>IF(AND(H3&gt;0, I3="FA2"), SUM(K3:M3), 0)</f>
        <v>0</v>
      </c>
      <c r="T3" s="156">
        <f>IF(AND(H3&gt;0,I3="FA3"),1,0)</f>
        <v>0</v>
      </c>
      <c r="U3" s="156">
        <f>IF(AND(H3&gt;0, I3="FA3"), SUM(K3:M3), 0)</f>
        <v>0</v>
      </c>
      <c r="V3" s="178">
        <f>W3 * 0.88</f>
        <v>52.8</v>
      </c>
      <c r="W3" s="150">
        <v>60</v>
      </c>
      <c r="X3" s="157"/>
    </row>
    <row r="4" spans="1:24">
      <c r="A4" s="195">
        <v>0.1</v>
      </c>
      <c r="B4" s="203">
        <f t="shared" si="0"/>
        <v>8</v>
      </c>
      <c r="C4" s="205">
        <f t="shared" si="1"/>
        <v>-0.1142857142857143</v>
      </c>
      <c r="D4" s="42"/>
      <c r="E4" s="42"/>
      <c r="G4" s="141">
        <v>2</v>
      </c>
      <c r="H4" s="152">
        <v>1</v>
      </c>
      <c r="I4" s="169" t="s">
        <v>106</v>
      </c>
      <c r="J4" s="140">
        <v>0.33</v>
      </c>
      <c r="K4" s="169">
        <v>500</v>
      </c>
      <c r="L4" s="169">
        <v>300</v>
      </c>
      <c r="M4" s="169">
        <v>300</v>
      </c>
      <c r="N4" s="172">
        <f t="shared" ref="N4:N14" si="2">IF(H4=1,SUM(K4:M4),0)</f>
        <v>1100</v>
      </c>
      <c r="O4" s="191">
        <f t="shared" ref="O4:O14" si="3">IF(N4=0, 0,(V4/N4)*100)</f>
        <v>14.400000000000002</v>
      </c>
      <c r="P4" s="156">
        <f t="shared" ref="P4:P14" si="4">IF(AND(H4&gt;0,I4="FA1"),1/1,0/1)</f>
        <v>1</v>
      </c>
      <c r="Q4" s="156">
        <f t="shared" ref="Q4:Q14" si="5">IF(AND(H4&gt;0, I4="FA1"), SUM(K4:M4), 0)</f>
        <v>1100</v>
      </c>
      <c r="R4" s="156">
        <f t="shared" ref="R4:R14" si="6">IF(AND(H4&gt;0,I4="FA2"),1/1,0/1)</f>
        <v>0</v>
      </c>
      <c r="S4" s="156">
        <f t="shared" ref="S4:S14" si="7">IF(AND(H4&gt;0, I4="FA2"), SUM(K4:M4), 0)</f>
        <v>0</v>
      </c>
      <c r="T4" s="156">
        <f t="shared" ref="T4:T14" si="8">IF(AND(H4&gt;0,I4="FA3"),1,0)</f>
        <v>0</v>
      </c>
      <c r="U4" s="156">
        <f t="shared" ref="U4:U14" si="9">IF(AND(H4&gt;0, I4="FA3"), SUM(K4:M4), 0)</f>
        <v>0</v>
      </c>
      <c r="V4" s="178">
        <f t="shared" ref="V4:V14" si="10">W4 * 0.88</f>
        <v>158.4</v>
      </c>
      <c r="W4" s="142">
        <v>180</v>
      </c>
      <c r="X4" s="157"/>
    </row>
    <row r="5" spans="1:24">
      <c r="A5" s="195">
        <v>0.15</v>
      </c>
      <c r="B5" s="203">
        <f t="shared" si="0"/>
        <v>46.5</v>
      </c>
      <c r="C5" s="205">
        <f t="shared" si="1"/>
        <v>-0.15329670329670328</v>
      </c>
      <c r="D5" s="42"/>
      <c r="E5" s="42"/>
      <c r="G5" s="141">
        <v>3</v>
      </c>
      <c r="H5" s="152">
        <v>0</v>
      </c>
      <c r="I5" s="169" t="s">
        <v>106</v>
      </c>
      <c r="J5" s="140">
        <v>0.5</v>
      </c>
      <c r="K5" s="169">
        <v>100</v>
      </c>
      <c r="L5" s="169">
        <v>200</v>
      </c>
      <c r="M5" s="169">
        <v>400</v>
      </c>
      <c r="N5" s="172">
        <f t="shared" si="2"/>
        <v>0</v>
      </c>
      <c r="O5" s="191">
        <f t="shared" si="3"/>
        <v>0</v>
      </c>
      <c r="P5" s="156">
        <f t="shared" si="4"/>
        <v>0</v>
      </c>
      <c r="Q5" s="156">
        <f t="shared" si="5"/>
        <v>0</v>
      </c>
      <c r="R5" s="156">
        <f t="shared" si="6"/>
        <v>0</v>
      </c>
      <c r="S5" s="156">
        <f t="shared" si="7"/>
        <v>0</v>
      </c>
      <c r="T5" s="156">
        <f t="shared" si="8"/>
        <v>0</v>
      </c>
      <c r="U5" s="156">
        <f t="shared" si="9"/>
        <v>0</v>
      </c>
      <c r="V5" s="178">
        <f t="shared" si="10"/>
        <v>70.400000000000006</v>
      </c>
      <c r="W5" s="142">
        <v>80</v>
      </c>
      <c r="X5" s="157"/>
    </row>
    <row r="6" spans="1:24">
      <c r="A6" s="195">
        <v>0.2</v>
      </c>
      <c r="B6" s="203">
        <f t="shared" si="0"/>
        <v>44</v>
      </c>
      <c r="C6" s="205">
        <f t="shared" si="1"/>
        <v>-0.20465116279069767</v>
      </c>
      <c r="D6" s="42"/>
      <c r="E6" s="42"/>
      <c r="G6" s="141">
        <v>4</v>
      </c>
      <c r="H6" s="152">
        <v>1</v>
      </c>
      <c r="I6" s="169" t="s">
        <v>106</v>
      </c>
      <c r="J6" s="140">
        <v>1</v>
      </c>
      <c r="K6" s="169">
        <v>750</v>
      </c>
      <c r="L6" s="169">
        <v>500</v>
      </c>
      <c r="M6" s="169">
        <v>300</v>
      </c>
      <c r="N6" s="172">
        <f t="shared" si="2"/>
        <v>1550</v>
      </c>
      <c r="O6" s="191">
        <f t="shared" si="3"/>
        <v>17.600000000000001</v>
      </c>
      <c r="P6" s="156">
        <f t="shared" si="4"/>
        <v>1</v>
      </c>
      <c r="Q6" s="156">
        <f t="shared" si="5"/>
        <v>1550</v>
      </c>
      <c r="R6" s="156">
        <f t="shared" si="6"/>
        <v>0</v>
      </c>
      <c r="S6" s="156">
        <f t="shared" si="7"/>
        <v>0</v>
      </c>
      <c r="T6" s="156">
        <f t="shared" si="8"/>
        <v>0</v>
      </c>
      <c r="U6" s="156">
        <f t="shared" si="9"/>
        <v>0</v>
      </c>
      <c r="V6" s="178">
        <f t="shared" si="10"/>
        <v>272.8</v>
      </c>
      <c r="W6" s="142">
        <v>310</v>
      </c>
      <c r="X6" s="157"/>
    </row>
    <row r="7" spans="1:24">
      <c r="A7" s="195">
        <v>0.25</v>
      </c>
      <c r="B7" s="203">
        <f t="shared" si="0"/>
        <v>45</v>
      </c>
      <c r="C7" s="205">
        <f t="shared" si="1"/>
        <v>-0.25568181818181818</v>
      </c>
      <c r="D7" s="42"/>
      <c r="E7" s="42"/>
      <c r="G7" s="141">
        <v>5</v>
      </c>
      <c r="H7" s="152">
        <v>1</v>
      </c>
      <c r="I7" s="169" t="s">
        <v>106</v>
      </c>
      <c r="J7" s="140">
        <v>0.75</v>
      </c>
      <c r="K7" s="169">
        <v>200</v>
      </c>
      <c r="L7" s="169">
        <v>400</v>
      </c>
      <c r="M7" s="169">
        <v>800</v>
      </c>
      <c r="N7" s="172">
        <f t="shared" si="2"/>
        <v>1400</v>
      </c>
      <c r="O7" s="191">
        <f t="shared" si="3"/>
        <v>13.828571428571429</v>
      </c>
      <c r="P7" s="156">
        <f t="shared" si="4"/>
        <v>1</v>
      </c>
      <c r="Q7" s="156">
        <f t="shared" si="5"/>
        <v>1400</v>
      </c>
      <c r="R7" s="156">
        <f t="shared" si="6"/>
        <v>0</v>
      </c>
      <c r="S7" s="156">
        <f t="shared" si="7"/>
        <v>0</v>
      </c>
      <c r="T7" s="156">
        <f t="shared" si="8"/>
        <v>0</v>
      </c>
      <c r="U7" s="156">
        <f t="shared" si="9"/>
        <v>0</v>
      </c>
      <c r="V7" s="178">
        <f t="shared" si="10"/>
        <v>193.6</v>
      </c>
      <c r="W7" s="142">
        <v>220</v>
      </c>
      <c r="X7" s="157"/>
    </row>
    <row r="8" spans="1:24" ht="15.75" thickBot="1">
      <c r="A8" s="196">
        <v>0.3</v>
      </c>
      <c r="B8" s="204">
        <f t="shared" si="0"/>
        <v>123</v>
      </c>
      <c r="C8" s="206">
        <f t="shared" si="1"/>
        <v>-0.30245901639344264</v>
      </c>
      <c r="D8" s="42"/>
      <c r="E8" s="42"/>
      <c r="G8" s="141">
        <v>6</v>
      </c>
      <c r="H8" s="152">
        <v>0</v>
      </c>
      <c r="I8" s="169" t="s">
        <v>107</v>
      </c>
      <c r="J8" s="140">
        <v>0.5</v>
      </c>
      <c r="K8" s="169">
        <v>1000</v>
      </c>
      <c r="L8" s="169">
        <v>300</v>
      </c>
      <c r="M8" s="169">
        <v>300</v>
      </c>
      <c r="N8" s="172">
        <f t="shared" si="2"/>
        <v>0</v>
      </c>
      <c r="O8" s="191">
        <f t="shared" si="3"/>
        <v>0</v>
      </c>
      <c r="P8" s="156">
        <f t="shared" si="4"/>
        <v>0</v>
      </c>
      <c r="Q8" s="156">
        <f t="shared" si="5"/>
        <v>0</v>
      </c>
      <c r="R8" s="156">
        <f t="shared" si="6"/>
        <v>0</v>
      </c>
      <c r="S8" s="156">
        <f t="shared" si="7"/>
        <v>0</v>
      </c>
      <c r="T8" s="156">
        <f t="shared" si="8"/>
        <v>0</v>
      </c>
      <c r="U8" s="156">
        <f t="shared" si="9"/>
        <v>0</v>
      </c>
      <c r="V8" s="178">
        <f t="shared" si="10"/>
        <v>158.4</v>
      </c>
      <c r="W8" s="142">
        <v>180</v>
      </c>
      <c r="X8" s="157"/>
    </row>
    <row r="9" spans="1:24">
      <c r="G9" s="141">
        <v>7</v>
      </c>
      <c r="H9" s="152">
        <v>1</v>
      </c>
      <c r="I9" s="169" t="s">
        <v>107</v>
      </c>
      <c r="J9" s="140">
        <v>1</v>
      </c>
      <c r="K9" s="169">
        <v>750</v>
      </c>
      <c r="L9" s="169">
        <v>750</v>
      </c>
      <c r="M9" s="169">
        <v>300</v>
      </c>
      <c r="N9" s="172">
        <f t="shared" si="2"/>
        <v>1800</v>
      </c>
      <c r="O9" s="191">
        <f t="shared" si="3"/>
        <v>20.044444444444444</v>
      </c>
      <c r="P9" s="156">
        <f t="shared" si="4"/>
        <v>0</v>
      </c>
      <c r="Q9" s="156">
        <f t="shared" si="5"/>
        <v>0</v>
      </c>
      <c r="R9" s="156">
        <f t="shared" si="6"/>
        <v>1</v>
      </c>
      <c r="S9" s="156">
        <f t="shared" si="7"/>
        <v>1800</v>
      </c>
      <c r="T9" s="156">
        <f t="shared" si="8"/>
        <v>0</v>
      </c>
      <c r="U9" s="156">
        <f t="shared" si="9"/>
        <v>0</v>
      </c>
      <c r="V9" s="178">
        <f t="shared" si="10"/>
        <v>360.8</v>
      </c>
      <c r="W9" s="142">
        <v>410</v>
      </c>
      <c r="X9" s="157"/>
    </row>
    <row r="10" spans="1:24">
      <c r="G10" s="141">
        <v>8</v>
      </c>
      <c r="H10" s="152">
        <v>0</v>
      </c>
      <c r="I10" s="169" t="s">
        <v>107</v>
      </c>
      <c r="J10" s="140">
        <v>1</v>
      </c>
      <c r="K10" s="169">
        <v>800</v>
      </c>
      <c r="L10" s="169">
        <v>700</v>
      </c>
      <c r="M10" s="169">
        <v>600</v>
      </c>
      <c r="N10" s="172">
        <f t="shared" si="2"/>
        <v>0</v>
      </c>
      <c r="O10" s="191">
        <f t="shared" si="3"/>
        <v>0</v>
      </c>
      <c r="P10" s="156">
        <f t="shared" si="4"/>
        <v>0</v>
      </c>
      <c r="Q10" s="156">
        <f t="shared" si="5"/>
        <v>0</v>
      </c>
      <c r="R10" s="156">
        <f t="shared" si="6"/>
        <v>0</v>
      </c>
      <c r="S10" s="156">
        <f t="shared" si="7"/>
        <v>0</v>
      </c>
      <c r="T10" s="156">
        <f t="shared" si="8"/>
        <v>0</v>
      </c>
      <c r="U10" s="156">
        <f t="shared" si="9"/>
        <v>0</v>
      </c>
      <c r="V10" s="178">
        <f t="shared" si="10"/>
        <v>246.4</v>
      </c>
      <c r="W10" s="142">
        <v>280</v>
      </c>
      <c r="X10" s="157"/>
    </row>
    <row r="11" spans="1:24">
      <c r="A11" s="65" t="s">
        <v>129</v>
      </c>
      <c r="C11" s="209">
        <f xml:space="preserve"> AVERAGE(C2:C8)</f>
        <v>-0.15523205927833941</v>
      </c>
      <c r="G11" s="141">
        <v>9</v>
      </c>
      <c r="H11" s="152">
        <v>1</v>
      </c>
      <c r="I11" s="169" t="s">
        <v>107</v>
      </c>
      <c r="J11" s="140">
        <v>0.67</v>
      </c>
      <c r="K11" s="169">
        <v>400</v>
      </c>
      <c r="L11" s="169">
        <v>600</v>
      </c>
      <c r="M11" s="169">
        <v>800</v>
      </c>
      <c r="N11" s="172">
        <f t="shared" si="2"/>
        <v>1800</v>
      </c>
      <c r="O11" s="191">
        <f t="shared" si="3"/>
        <v>18.577777777777776</v>
      </c>
      <c r="P11" s="156">
        <f t="shared" si="4"/>
        <v>0</v>
      </c>
      <c r="Q11" s="156">
        <f t="shared" si="5"/>
        <v>0</v>
      </c>
      <c r="R11" s="156">
        <f t="shared" si="6"/>
        <v>1</v>
      </c>
      <c r="S11" s="156">
        <f t="shared" si="7"/>
        <v>1800</v>
      </c>
      <c r="T11" s="156">
        <f t="shared" si="8"/>
        <v>0</v>
      </c>
      <c r="U11" s="156">
        <f t="shared" si="9"/>
        <v>0</v>
      </c>
      <c r="V11" s="178">
        <f t="shared" si="10"/>
        <v>334.4</v>
      </c>
      <c r="W11" s="142">
        <v>380</v>
      </c>
      <c r="X11" s="157"/>
    </row>
    <row r="12" spans="1:24">
      <c r="A12" s="65" t="s">
        <v>130</v>
      </c>
      <c r="B12" s="208">
        <f xml:space="preserve"> MAX(C2:C8)</f>
        <v>0</v>
      </c>
      <c r="G12" s="141">
        <v>10</v>
      </c>
      <c r="H12" s="152">
        <v>0</v>
      </c>
      <c r="I12" s="169" t="s">
        <v>108</v>
      </c>
      <c r="J12" s="140">
        <v>1</v>
      </c>
      <c r="K12" s="169">
        <v>100</v>
      </c>
      <c r="L12" s="169">
        <v>200</v>
      </c>
      <c r="M12" s="169">
        <v>400</v>
      </c>
      <c r="N12" s="172">
        <f t="shared" si="2"/>
        <v>0</v>
      </c>
      <c r="O12" s="191">
        <f t="shared" si="3"/>
        <v>0</v>
      </c>
      <c r="P12" s="156">
        <f t="shared" si="4"/>
        <v>0</v>
      </c>
      <c r="Q12" s="156">
        <f t="shared" si="5"/>
        <v>0</v>
      </c>
      <c r="R12" s="156">
        <f t="shared" si="6"/>
        <v>0</v>
      </c>
      <c r="S12" s="156">
        <f t="shared" si="7"/>
        <v>0</v>
      </c>
      <c r="T12" s="156">
        <f t="shared" si="8"/>
        <v>0</v>
      </c>
      <c r="U12" s="156">
        <f t="shared" si="9"/>
        <v>0</v>
      </c>
      <c r="V12" s="178">
        <f t="shared" si="10"/>
        <v>88</v>
      </c>
      <c r="W12" s="142">
        <v>100</v>
      </c>
      <c r="X12" s="157"/>
    </row>
    <row r="13" spans="1:24">
      <c r="A13" s="65" t="s">
        <v>131</v>
      </c>
      <c r="B13" s="208">
        <f xml:space="preserve"> MIN(C2:C8)</f>
        <v>-0.30245901639344264</v>
      </c>
      <c r="G13" s="141">
        <v>11</v>
      </c>
      <c r="H13" s="152">
        <v>1</v>
      </c>
      <c r="I13" s="169" t="s">
        <v>108</v>
      </c>
      <c r="J13" s="140">
        <v>0.5</v>
      </c>
      <c r="K13" s="169">
        <v>700</v>
      </c>
      <c r="L13" s="169">
        <v>500</v>
      </c>
      <c r="M13" s="169">
        <v>300</v>
      </c>
      <c r="N13" s="172">
        <f t="shared" si="2"/>
        <v>1500</v>
      </c>
      <c r="O13" s="191">
        <f t="shared" si="3"/>
        <v>15.253333333333336</v>
      </c>
      <c r="P13" s="156">
        <f t="shared" si="4"/>
        <v>0</v>
      </c>
      <c r="Q13" s="156">
        <f t="shared" si="5"/>
        <v>0</v>
      </c>
      <c r="R13" s="156">
        <f t="shared" si="6"/>
        <v>0</v>
      </c>
      <c r="S13" s="156">
        <f t="shared" si="7"/>
        <v>0</v>
      </c>
      <c r="T13" s="156">
        <f t="shared" si="8"/>
        <v>1</v>
      </c>
      <c r="U13" s="156">
        <f t="shared" si="9"/>
        <v>1500</v>
      </c>
      <c r="V13" s="178">
        <f t="shared" si="10"/>
        <v>228.8</v>
      </c>
      <c r="W13" s="142">
        <v>260</v>
      </c>
      <c r="X13" s="157"/>
    </row>
    <row r="14" spans="1:24" ht="15.75" thickBot="1">
      <c r="G14" s="143">
        <v>12</v>
      </c>
      <c r="H14" s="153">
        <v>0</v>
      </c>
      <c r="I14" s="144" t="s">
        <v>108</v>
      </c>
      <c r="J14" s="145">
        <v>1</v>
      </c>
      <c r="K14" s="144">
        <v>1500</v>
      </c>
      <c r="L14" s="144">
        <v>400</v>
      </c>
      <c r="M14" s="144">
        <v>400</v>
      </c>
      <c r="N14" s="182">
        <f t="shared" si="2"/>
        <v>0</v>
      </c>
      <c r="O14" s="191">
        <f t="shared" si="3"/>
        <v>0</v>
      </c>
      <c r="P14" s="183">
        <f t="shared" si="4"/>
        <v>0</v>
      </c>
      <c r="Q14" s="183">
        <f t="shared" si="5"/>
        <v>0</v>
      </c>
      <c r="R14" s="183">
        <f t="shared" si="6"/>
        <v>0</v>
      </c>
      <c r="S14" s="183">
        <f t="shared" si="7"/>
        <v>0</v>
      </c>
      <c r="T14" s="183">
        <f t="shared" si="8"/>
        <v>0</v>
      </c>
      <c r="U14" s="183">
        <f t="shared" si="9"/>
        <v>0</v>
      </c>
      <c r="V14" s="184">
        <f t="shared" si="10"/>
        <v>299.2</v>
      </c>
      <c r="W14" s="146">
        <v>340</v>
      </c>
      <c r="X14" s="157"/>
    </row>
    <row r="15" spans="1:24" ht="15.75" thickBot="1">
      <c r="K15" s="179">
        <f>SUMIFS(K3:K14,H3:H14,"&gt;0")</f>
        <v>3550</v>
      </c>
      <c r="L15" s="179">
        <f>SUMIFS(L3:L14,H3:H14,"&gt;0")</f>
        <v>3150</v>
      </c>
      <c r="M15" s="179">
        <f>SUMIFS(M3:M14,H3:H14,"&gt;0")</f>
        <v>2900</v>
      </c>
      <c r="N15" s="189">
        <f>SUM(N3:N14)</f>
        <v>9600</v>
      </c>
      <c r="O15" s="186"/>
      <c r="P15" s="46">
        <f t="shared" ref="P15:U15" si="11">SUM(P3:P14)</f>
        <v>4</v>
      </c>
      <c r="Q15" s="139">
        <f t="shared" si="11"/>
        <v>4500</v>
      </c>
      <c r="R15" s="180">
        <f t="shared" si="11"/>
        <v>2</v>
      </c>
      <c r="S15" s="181">
        <f t="shared" si="11"/>
        <v>3600</v>
      </c>
      <c r="T15" s="179">
        <f t="shared" si="11"/>
        <v>1</v>
      </c>
      <c r="U15" s="179">
        <f t="shared" si="11"/>
        <v>1500</v>
      </c>
      <c r="V15" s="42"/>
    </row>
    <row r="16" spans="1:24" s="65" customFormat="1" ht="31.5" customHeight="1" thickBot="1">
      <c r="J16" s="174"/>
      <c r="K16" s="480"/>
      <c r="L16" s="480"/>
      <c r="M16" s="480"/>
      <c r="N16" s="190" t="s">
        <v>121</v>
      </c>
      <c r="O16" s="187"/>
      <c r="P16" s="167">
        <f>IF(P15&gt;0,1,0)</f>
        <v>1</v>
      </c>
      <c r="Q16" s="188" t="s">
        <v>112</v>
      </c>
      <c r="R16" s="175">
        <f>IF(R15&gt;0,1,0)</f>
        <v>1</v>
      </c>
      <c r="S16" s="176" t="s">
        <v>112</v>
      </c>
      <c r="T16" s="175">
        <f>IF(R15&gt;0,1,0)</f>
        <v>1</v>
      </c>
      <c r="U16" s="176" t="s">
        <v>112</v>
      </c>
      <c r="V16" s="42"/>
    </row>
    <row r="17" spans="7:26" s="65" customFormat="1" ht="42.75" customHeight="1" thickBot="1">
      <c r="J17" s="42"/>
      <c r="K17" s="480"/>
      <c r="L17" s="480"/>
      <c r="M17" s="480"/>
      <c r="N17" s="177"/>
      <c r="O17" s="177"/>
      <c r="P17" s="176" t="s">
        <v>119</v>
      </c>
      <c r="Q17" s="170"/>
      <c r="R17" s="171" t="s">
        <v>119</v>
      </c>
      <c r="S17" s="170"/>
      <c r="T17" s="171" t="s">
        <v>119</v>
      </c>
      <c r="U17" s="170"/>
      <c r="V17" s="157"/>
      <c r="Y17" s="474" t="s">
        <v>91</v>
      </c>
      <c r="Z17" s="475"/>
    </row>
    <row r="18" spans="7:26" ht="16.5" customHeight="1">
      <c r="G18" s="39" t="s">
        <v>123</v>
      </c>
      <c r="K18" s="163"/>
      <c r="Q18" s="168"/>
      <c r="T18" s="163"/>
      <c r="W18" s="134"/>
      <c r="X18" s="134"/>
    </row>
    <row r="19" spans="7:26" ht="45">
      <c r="G19" s="185" t="s">
        <v>124</v>
      </c>
      <c r="Y19" s="13" t="s">
        <v>132</v>
      </c>
    </row>
    <row r="20" spans="7:26" ht="20.25" customHeight="1">
      <c r="G20" s="65" t="s">
        <v>115</v>
      </c>
      <c r="Y20" s="210" t="s">
        <v>92</v>
      </c>
    </row>
    <row r="21" spans="7:26" ht="45">
      <c r="G21" t="s">
        <v>109</v>
      </c>
      <c r="Y21" s="13" t="s">
        <v>133</v>
      </c>
    </row>
    <row r="23" spans="7:26">
      <c r="G23" s="473" t="s">
        <v>90</v>
      </c>
      <c r="H23" s="473"/>
      <c r="I23" s="473"/>
      <c r="J23" s="154">
        <v>50000000</v>
      </c>
      <c r="K23" s="5"/>
      <c r="Y23" s="210"/>
    </row>
    <row r="24" spans="7:26" ht="16.5">
      <c r="G24" s="476" t="s">
        <v>111</v>
      </c>
      <c r="H24" s="476"/>
      <c r="I24" s="476"/>
      <c r="J24" s="155">
        <v>0.12</v>
      </c>
      <c r="K24" s="5"/>
      <c r="Y24" s="210"/>
    </row>
    <row r="25" spans="7:26">
      <c r="G25" s="5" t="s">
        <v>93</v>
      </c>
      <c r="H25" s="5"/>
      <c r="I25" s="5"/>
      <c r="J25" s="5"/>
      <c r="K25" s="91">
        <v>10000000</v>
      </c>
      <c r="Y25" s="210"/>
    </row>
    <row r="26" spans="7:26">
      <c r="G26" s="5" t="s">
        <v>94</v>
      </c>
      <c r="H26" s="5"/>
      <c r="I26" s="5"/>
      <c r="J26" s="5"/>
      <c r="K26" s="91">
        <v>4000000</v>
      </c>
    </row>
    <row r="27" spans="7:26">
      <c r="G27" s="5" t="s">
        <v>95</v>
      </c>
      <c r="H27" s="5"/>
      <c r="I27" s="5"/>
      <c r="J27" s="5"/>
      <c r="K27" s="91">
        <v>10000000</v>
      </c>
      <c r="L27" t="s">
        <v>110</v>
      </c>
    </row>
  </sheetData>
  <mergeCells count="6">
    <mergeCell ref="G23:I23"/>
    <mergeCell ref="Y17:Z17"/>
    <mergeCell ref="G24:I24"/>
    <mergeCell ref="G1:W1"/>
    <mergeCell ref="K16:M16"/>
    <mergeCell ref="K17:M17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77"/>
  <sheetViews>
    <sheetView topLeftCell="O61" zoomScale="60" zoomScaleNormal="60" workbookViewId="0">
      <selection activeCell="P88" sqref="P88"/>
    </sheetView>
  </sheetViews>
  <sheetFormatPr baseColWidth="10" defaultRowHeight="15"/>
  <cols>
    <col min="1" max="1" width="18.28515625" bestFit="1" customWidth="1"/>
    <col min="2" max="2" width="22" bestFit="1" customWidth="1"/>
    <col min="3" max="3" width="49.7109375" bestFit="1" customWidth="1"/>
    <col min="4" max="4" width="19" bestFit="1" customWidth="1"/>
    <col min="5" max="5" width="17.5703125" bestFit="1" customWidth="1"/>
    <col min="6" max="7" width="18" bestFit="1" customWidth="1"/>
    <col min="8" max="8" width="8.140625" customWidth="1"/>
    <col min="9" max="9" width="28.7109375" bestFit="1" customWidth="1"/>
    <col min="10" max="10" width="6.7109375" bestFit="1" customWidth="1"/>
    <col min="11" max="11" width="22.85546875" bestFit="1" customWidth="1"/>
    <col min="12" max="12" width="22.5703125" customWidth="1"/>
    <col min="13" max="13" width="36.28515625" customWidth="1"/>
    <col min="14" max="14" width="17.7109375" customWidth="1"/>
    <col min="15" max="15" width="18.28515625" customWidth="1"/>
    <col min="16" max="20" width="15.85546875" bestFit="1" customWidth="1"/>
    <col min="21" max="21" width="14" bestFit="1" customWidth="1"/>
    <col min="22" max="22" width="15.140625" bestFit="1" customWidth="1"/>
    <col min="23" max="23" width="14.7109375" bestFit="1" customWidth="1"/>
    <col min="24" max="24" width="15.140625" bestFit="1" customWidth="1"/>
  </cols>
  <sheetData>
    <row r="1" spans="1:18" ht="21">
      <c r="A1" s="483" t="s">
        <v>134</v>
      </c>
      <c r="B1" s="484"/>
      <c r="C1" s="484"/>
      <c r="D1" s="484"/>
      <c r="E1" s="484"/>
      <c r="F1" s="484"/>
      <c r="G1" s="484"/>
      <c r="H1" s="484"/>
      <c r="I1" s="484"/>
      <c r="J1" s="484"/>
      <c r="K1" s="484"/>
      <c r="L1" s="484"/>
      <c r="M1" s="65"/>
      <c r="N1" s="65"/>
      <c r="O1" s="65"/>
      <c r="P1" s="65"/>
      <c r="Q1" s="65"/>
      <c r="R1" s="65"/>
    </row>
    <row r="2" spans="1:18" ht="15.75">
      <c r="A2" s="211" t="s">
        <v>135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</row>
    <row r="3" spans="1:18" ht="15.75">
      <c r="A3" s="65"/>
      <c r="B3" s="212" t="s">
        <v>101</v>
      </c>
      <c r="C3" s="213" t="s">
        <v>136</v>
      </c>
      <c r="D3" s="213" t="s">
        <v>137</v>
      </c>
      <c r="E3" s="213" t="s">
        <v>103</v>
      </c>
      <c r="F3" s="213" t="s">
        <v>104</v>
      </c>
      <c r="G3" s="214" t="s">
        <v>105</v>
      </c>
      <c r="H3" s="213" t="s">
        <v>138</v>
      </c>
      <c r="I3" s="211"/>
      <c r="J3" s="211"/>
      <c r="K3" s="65"/>
      <c r="L3" s="65"/>
      <c r="M3" s="485" t="s">
        <v>139</v>
      </c>
      <c r="N3" s="485"/>
      <c r="O3" s="65"/>
      <c r="P3" s="65"/>
      <c r="Q3" s="65"/>
      <c r="R3" s="65"/>
    </row>
    <row r="4" spans="1:18" ht="20.25">
      <c r="A4" s="65"/>
      <c r="B4" s="215">
        <v>1</v>
      </c>
      <c r="C4" s="216" t="s">
        <v>140</v>
      </c>
      <c r="D4" s="217">
        <v>1</v>
      </c>
      <c r="E4" s="218">
        <v>250</v>
      </c>
      <c r="F4" s="218">
        <v>100</v>
      </c>
      <c r="G4" s="219">
        <v>100</v>
      </c>
      <c r="H4" s="216">
        <v>60</v>
      </c>
      <c r="I4" s="65"/>
      <c r="J4" s="65"/>
      <c r="K4" s="65"/>
      <c r="L4" s="65"/>
      <c r="M4" s="220" t="s">
        <v>141</v>
      </c>
      <c r="N4" s="221">
        <v>50000</v>
      </c>
      <c r="O4" s="65"/>
      <c r="P4" s="222"/>
      <c r="Q4" s="65"/>
      <c r="R4" s="65"/>
    </row>
    <row r="5" spans="1:18" ht="15.75">
      <c r="A5" s="65"/>
      <c r="B5" s="215">
        <v>2</v>
      </c>
      <c r="C5" s="216" t="s">
        <v>140</v>
      </c>
      <c r="D5" s="217">
        <v>0.33</v>
      </c>
      <c r="E5" s="218">
        <v>500</v>
      </c>
      <c r="F5" s="218">
        <v>300</v>
      </c>
      <c r="G5" s="219">
        <v>300</v>
      </c>
      <c r="H5" s="216">
        <v>180</v>
      </c>
      <c r="I5" s="65"/>
      <c r="J5" s="65"/>
      <c r="K5" s="65"/>
      <c r="L5" s="65"/>
      <c r="M5" s="220" t="s">
        <v>142</v>
      </c>
      <c r="N5" s="221">
        <v>10000</v>
      </c>
      <c r="O5" s="65"/>
      <c r="P5" s="65"/>
      <c r="Q5" s="65"/>
      <c r="R5" s="65"/>
    </row>
    <row r="6" spans="1:18" ht="15.75">
      <c r="A6" s="65"/>
      <c r="B6" s="215">
        <v>3</v>
      </c>
      <c r="C6" s="216" t="s">
        <v>140</v>
      </c>
      <c r="D6" s="217">
        <v>0.5</v>
      </c>
      <c r="E6" s="218">
        <v>100</v>
      </c>
      <c r="F6" s="218">
        <v>200</v>
      </c>
      <c r="G6" s="219">
        <v>400</v>
      </c>
      <c r="H6" s="216">
        <v>80</v>
      </c>
      <c r="I6" s="65"/>
      <c r="J6" s="65"/>
      <c r="K6" s="65"/>
      <c r="L6" s="65"/>
      <c r="M6" s="220" t="s">
        <v>143</v>
      </c>
      <c r="N6" s="221">
        <v>4000</v>
      </c>
      <c r="O6" s="65"/>
      <c r="P6" s="65"/>
      <c r="Q6" s="65"/>
      <c r="R6" s="65"/>
    </row>
    <row r="7" spans="1:18" ht="15.75">
      <c r="A7" s="65"/>
      <c r="B7" s="215">
        <v>4</v>
      </c>
      <c r="C7" s="216" t="s">
        <v>140</v>
      </c>
      <c r="D7" s="217">
        <v>1</v>
      </c>
      <c r="E7" s="218">
        <v>750</v>
      </c>
      <c r="F7" s="218">
        <v>500</v>
      </c>
      <c r="G7" s="219">
        <v>300</v>
      </c>
      <c r="H7" s="216">
        <v>310</v>
      </c>
      <c r="I7" s="65"/>
      <c r="J7" s="65"/>
      <c r="K7" s="65"/>
      <c r="L7" s="65"/>
      <c r="M7" s="220" t="s">
        <v>144</v>
      </c>
      <c r="N7" s="223">
        <v>0.12</v>
      </c>
      <c r="O7" s="65"/>
      <c r="P7" s="65"/>
      <c r="Q7" s="65"/>
      <c r="R7" s="65"/>
    </row>
    <row r="8" spans="1:18">
      <c r="A8" s="65"/>
      <c r="B8" s="215">
        <v>5</v>
      </c>
      <c r="C8" s="216" t="s">
        <v>140</v>
      </c>
      <c r="D8" s="217">
        <v>0.75</v>
      </c>
      <c r="E8" s="218">
        <v>200</v>
      </c>
      <c r="F8" s="218">
        <v>400</v>
      </c>
      <c r="G8" s="219">
        <v>800</v>
      </c>
      <c r="H8" s="216">
        <v>220</v>
      </c>
      <c r="I8" s="65"/>
      <c r="J8" s="65"/>
      <c r="K8" s="65"/>
      <c r="L8" s="65"/>
      <c r="M8" s="65"/>
      <c r="N8" s="65"/>
      <c r="O8" s="65"/>
      <c r="P8" s="65"/>
      <c r="Q8" s="65"/>
      <c r="R8" s="65"/>
    </row>
    <row r="9" spans="1:18" ht="15.75">
      <c r="A9" s="65"/>
      <c r="B9" s="224">
        <v>6</v>
      </c>
      <c r="C9" s="225" t="s">
        <v>145</v>
      </c>
      <c r="D9" s="226">
        <v>0.5</v>
      </c>
      <c r="E9" s="227">
        <v>1000</v>
      </c>
      <c r="F9" s="227">
        <v>300</v>
      </c>
      <c r="G9" s="228">
        <v>300</v>
      </c>
      <c r="H9" s="225">
        <v>180</v>
      </c>
      <c r="I9" s="65"/>
      <c r="J9" s="65"/>
      <c r="K9" s="65"/>
      <c r="L9" s="65"/>
      <c r="M9" s="486" t="s">
        <v>146</v>
      </c>
      <c r="N9" s="487"/>
      <c r="O9" s="65"/>
      <c r="P9" s="65"/>
      <c r="Q9" s="65"/>
      <c r="R9" s="65"/>
    </row>
    <row r="10" spans="1:18">
      <c r="A10" s="65"/>
      <c r="B10" s="224">
        <v>7</v>
      </c>
      <c r="C10" s="225" t="s">
        <v>145</v>
      </c>
      <c r="D10" s="226">
        <v>1</v>
      </c>
      <c r="E10" s="227">
        <v>750</v>
      </c>
      <c r="F10" s="227">
        <v>750</v>
      </c>
      <c r="G10" s="228">
        <v>300</v>
      </c>
      <c r="H10" s="225">
        <v>410</v>
      </c>
      <c r="I10" s="65"/>
      <c r="J10" s="65"/>
      <c r="K10" s="65"/>
      <c r="L10" s="65"/>
      <c r="M10" s="5" t="s">
        <v>147</v>
      </c>
      <c r="N10" s="5">
        <f>IF(D38&lt;4000,1,0)</f>
        <v>0</v>
      </c>
      <c r="O10" s="65"/>
      <c r="P10" s="65"/>
      <c r="Q10" s="65"/>
      <c r="R10" s="65"/>
    </row>
    <row r="11" spans="1:18">
      <c r="A11" s="65"/>
      <c r="B11" s="224">
        <v>8</v>
      </c>
      <c r="C11" s="225" t="s">
        <v>145</v>
      </c>
      <c r="D11" s="226">
        <v>1</v>
      </c>
      <c r="E11" s="227">
        <v>800</v>
      </c>
      <c r="F11" s="227">
        <v>700</v>
      </c>
      <c r="G11" s="228">
        <v>600</v>
      </c>
      <c r="H11" s="225">
        <v>280</v>
      </c>
      <c r="I11" s="65"/>
      <c r="J11" s="65"/>
      <c r="K11" s="65"/>
      <c r="L11" s="65"/>
      <c r="M11" s="5" t="s">
        <v>148</v>
      </c>
      <c r="N11" s="5">
        <f>IF(E38&lt;4000,1,0)</f>
        <v>1</v>
      </c>
      <c r="O11" s="65"/>
      <c r="P11" s="65"/>
      <c r="Q11" s="65"/>
      <c r="R11" s="65"/>
    </row>
    <row r="12" spans="1:18">
      <c r="A12" s="65"/>
      <c r="B12" s="224">
        <v>9</v>
      </c>
      <c r="C12" s="225" t="s">
        <v>145</v>
      </c>
      <c r="D12" s="226">
        <v>0.67</v>
      </c>
      <c r="E12" s="227">
        <v>400</v>
      </c>
      <c r="F12" s="227">
        <v>600</v>
      </c>
      <c r="G12" s="228">
        <v>800</v>
      </c>
      <c r="H12" s="225">
        <v>380</v>
      </c>
      <c r="I12" s="65"/>
      <c r="J12" s="65"/>
      <c r="K12" s="65"/>
      <c r="L12" s="65"/>
      <c r="M12" s="5" t="s">
        <v>149</v>
      </c>
      <c r="N12" s="5">
        <f>IF(F38&lt;4000,1,0)</f>
        <v>1</v>
      </c>
      <c r="O12" s="65"/>
      <c r="P12" s="65"/>
      <c r="Q12" s="65"/>
      <c r="R12" s="65"/>
    </row>
    <row r="13" spans="1:18">
      <c r="A13" s="65"/>
      <c r="B13" s="229">
        <v>10</v>
      </c>
      <c r="C13" s="230" t="s">
        <v>150</v>
      </c>
      <c r="D13" s="231">
        <v>1</v>
      </c>
      <c r="E13" s="232">
        <v>100</v>
      </c>
      <c r="F13" s="232">
        <v>200</v>
      </c>
      <c r="G13" s="233">
        <v>400</v>
      </c>
      <c r="H13" s="230">
        <v>100</v>
      </c>
      <c r="I13" s="65"/>
      <c r="J13" s="65"/>
      <c r="K13" s="65"/>
      <c r="L13" s="65"/>
      <c r="M13" s="5" t="s">
        <v>151</v>
      </c>
      <c r="N13" s="5">
        <f>IF(G38&lt;10000,1,0)</f>
        <v>0</v>
      </c>
      <c r="O13" s="65"/>
      <c r="P13" s="65"/>
      <c r="Q13" s="65"/>
      <c r="R13" s="65"/>
    </row>
    <row r="14" spans="1:18">
      <c r="A14" s="65"/>
      <c r="B14" s="229">
        <v>11</v>
      </c>
      <c r="C14" s="230" t="s">
        <v>150</v>
      </c>
      <c r="D14" s="231">
        <v>0.5</v>
      </c>
      <c r="E14" s="232">
        <v>700</v>
      </c>
      <c r="F14" s="232">
        <v>500</v>
      </c>
      <c r="G14" s="233">
        <v>300</v>
      </c>
      <c r="H14" s="230">
        <v>260</v>
      </c>
      <c r="I14" s="65"/>
      <c r="J14" s="65"/>
      <c r="K14" s="65"/>
      <c r="L14" s="65"/>
      <c r="M14" s="5" t="s">
        <v>152</v>
      </c>
      <c r="N14" s="5">
        <f>IF(AND(N15&gt;=1,N16&gt;=1,N17&gt;=1),1,0)</f>
        <v>1</v>
      </c>
      <c r="O14" s="5"/>
      <c r="P14" s="65"/>
      <c r="Q14" s="65"/>
      <c r="R14" s="65"/>
    </row>
    <row r="15" spans="1:18">
      <c r="A15" s="65"/>
      <c r="B15" s="229">
        <v>12</v>
      </c>
      <c r="C15" s="230" t="s">
        <v>150</v>
      </c>
      <c r="D15" s="231">
        <v>1</v>
      </c>
      <c r="E15" s="232">
        <v>1500</v>
      </c>
      <c r="F15" s="232">
        <v>400</v>
      </c>
      <c r="G15" s="233">
        <v>400</v>
      </c>
      <c r="H15" s="230">
        <v>340</v>
      </c>
      <c r="I15" s="65"/>
      <c r="J15" s="65"/>
      <c r="K15" s="65"/>
      <c r="L15" s="65"/>
      <c r="M15" s="5" t="s">
        <v>153</v>
      </c>
      <c r="N15" s="5">
        <f>SUM(K19:K23)</f>
        <v>4</v>
      </c>
      <c r="O15" s="234"/>
      <c r="P15" s="65"/>
      <c r="Q15" s="65"/>
      <c r="R15" s="65"/>
    </row>
    <row r="16" spans="1:18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5" t="s">
        <v>154</v>
      </c>
      <c r="N16" s="5">
        <f>SUM(K26:K29)</f>
        <v>3</v>
      </c>
      <c r="O16" s="234"/>
      <c r="P16" s="65"/>
      <c r="Q16" s="65"/>
      <c r="R16" s="65"/>
    </row>
    <row r="17" spans="1:19" ht="15.75">
      <c r="A17" s="65"/>
      <c r="B17" s="65"/>
      <c r="C17" s="65"/>
      <c r="D17" s="488" t="s">
        <v>155</v>
      </c>
      <c r="E17" s="488"/>
      <c r="F17" s="488"/>
      <c r="G17" s="488"/>
      <c r="H17" s="65"/>
      <c r="I17" s="65"/>
      <c r="J17" s="65"/>
      <c r="K17" s="65"/>
      <c r="L17" s="65"/>
      <c r="M17" s="5" t="s">
        <v>156</v>
      </c>
      <c r="N17" s="5">
        <f>SUM(K32:K34)</f>
        <v>2</v>
      </c>
      <c r="O17" s="234"/>
      <c r="P17" s="65"/>
      <c r="Q17" s="65"/>
      <c r="R17" s="65"/>
    </row>
    <row r="18" spans="1:19" ht="15.75">
      <c r="A18" s="235" t="s">
        <v>101</v>
      </c>
      <c r="B18" s="236" t="s">
        <v>136</v>
      </c>
      <c r="C18" s="236" t="s">
        <v>137</v>
      </c>
      <c r="D18" s="236" t="s">
        <v>157</v>
      </c>
      <c r="E18" s="236" t="s">
        <v>158</v>
      </c>
      <c r="F18" s="237" t="s">
        <v>159</v>
      </c>
      <c r="G18" s="236" t="s">
        <v>160</v>
      </c>
      <c r="H18" s="237" t="s">
        <v>138</v>
      </c>
      <c r="I18" s="236" t="s">
        <v>161</v>
      </c>
      <c r="J18" s="236" t="s">
        <v>128</v>
      </c>
      <c r="K18" s="238" t="s">
        <v>162</v>
      </c>
      <c r="L18" s="65"/>
      <c r="M18" s="5" t="s">
        <v>163</v>
      </c>
      <c r="N18" s="5">
        <f>SUM(N15:N17)</f>
        <v>9</v>
      </c>
      <c r="O18" s="65"/>
      <c r="P18" s="65"/>
      <c r="Q18" s="65"/>
      <c r="R18" s="65"/>
    </row>
    <row r="19" spans="1:19">
      <c r="A19" s="239">
        <v>1</v>
      </c>
      <c r="B19" s="240" t="s">
        <v>140</v>
      </c>
      <c r="C19" s="10">
        <v>1</v>
      </c>
      <c r="D19" s="241">
        <f>E4*C19</f>
        <v>250</v>
      </c>
      <c r="E19" s="241">
        <f>F4*C19</f>
        <v>100</v>
      </c>
      <c r="F19" s="242">
        <f>G4*C19</f>
        <v>100</v>
      </c>
      <c r="G19" s="242">
        <f>SUM(D19,E19,F19)</f>
        <v>450</v>
      </c>
      <c r="H19" s="242">
        <f>H4</f>
        <v>60</v>
      </c>
      <c r="I19" s="241">
        <f>H19*(1-$N$7)</f>
        <v>52.8</v>
      </c>
      <c r="J19" s="10" t="str">
        <f>IF(K19=0,"",I19/SUM(E4:G4))</f>
        <v/>
      </c>
      <c r="K19" s="243">
        <v>0</v>
      </c>
      <c r="L19" s="65"/>
      <c r="M19" s="65"/>
      <c r="N19" s="65"/>
      <c r="O19" s="65"/>
      <c r="P19" s="65"/>
      <c r="Q19" s="65"/>
      <c r="R19" s="65"/>
    </row>
    <row r="20" spans="1:19" ht="15.75">
      <c r="A20" s="239">
        <v>2</v>
      </c>
      <c r="B20" s="240" t="s">
        <v>140</v>
      </c>
      <c r="C20" s="10">
        <v>0.33</v>
      </c>
      <c r="D20" s="241">
        <f>E5*C20</f>
        <v>165</v>
      </c>
      <c r="E20" s="241">
        <f t="shared" ref="E20:E23" si="0">F5*C20</f>
        <v>99</v>
      </c>
      <c r="F20" s="242">
        <f t="shared" ref="F20:F23" si="1">G5*C20</f>
        <v>99</v>
      </c>
      <c r="G20" s="242">
        <f>SUM(D20,E20,F20)</f>
        <v>363</v>
      </c>
      <c r="H20" s="242">
        <f t="shared" ref="H20:H23" si="2">H5</f>
        <v>180</v>
      </c>
      <c r="I20" s="241">
        <f t="shared" ref="I20:I23" si="3">H20*(1-$N$7)</f>
        <v>158.4</v>
      </c>
      <c r="J20" s="10">
        <f t="shared" ref="J20:J23" si="4">IF(K20=0,"",I20/SUM(E5:G5))</f>
        <v>0.14400000000000002</v>
      </c>
      <c r="K20" s="243">
        <v>1</v>
      </c>
      <c r="L20" s="65"/>
      <c r="M20" s="236" t="s">
        <v>164</v>
      </c>
      <c r="N20" s="213">
        <f>IF(SUM(N10:N14)=5,1,0)</f>
        <v>0</v>
      </c>
      <c r="O20" s="65"/>
      <c r="P20" s="65"/>
      <c r="Q20" s="65"/>
      <c r="R20" s="65"/>
    </row>
    <row r="21" spans="1:19">
      <c r="A21" s="239">
        <v>3</v>
      </c>
      <c r="B21" s="240" t="s">
        <v>140</v>
      </c>
      <c r="C21" s="10">
        <v>0.5</v>
      </c>
      <c r="D21" s="241">
        <f t="shared" ref="D21:D23" si="5">E6*C21</f>
        <v>50</v>
      </c>
      <c r="E21" s="241">
        <f t="shared" si="0"/>
        <v>100</v>
      </c>
      <c r="F21" s="242">
        <f t="shared" si="1"/>
        <v>200</v>
      </c>
      <c r="G21" s="242">
        <f t="shared" ref="G21:G34" si="6">SUM(D21,E21,F21)</f>
        <v>350</v>
      </c>
      <c r="H21" s="242">
        <f t="shared" si="2"/>
        <v>80</v>
      </c>
      <c r="I21" s="241">
        <f t="shared" si="3"/>
        <v>70.400000000000006</v>
      </c>
      <c r="J21" s="10">
        <f t="shared" si="4"/>
        <v>0.10057142857142858</v>
      </c>
      <c r="K21" s="243">
        <v>1</v>
      </c>
      <c r="L21" s="65"/>
      <c r="M21" s="65"/>
      <c r="N21" s="65"/>
      <c r="O21" s="65"/>
      <c r="P21" s="65"/>
      <c r="Q21" s="65"/>
      <c r="R21" s="65"/>
    </row>
    <row r="22" spans="1:19">
      <c r="A22" s="239">
        <v>4</v>
      </c>
      <c r="B22" s="240" t="s">
        <v>140</v>
      </c>
      <c r="C22" s="244">
        <v>1</v>
      </c>
      <c r="D22" s="241">
        <f t="shared" si="5"/>
        <v>750</v>
      </c>
      <c r="E22" s="241">
        <f t="shared" si="0"/>
        <v>500</v>
      </c>
      <c r="F22" s="242">
        <f t="shared" si="1"/>
        <v>300</v>
      </c>
      <c r="G22" s="242">
        <f t="shared" si="6"/>
        <v>1550</v>
      </c>
      <c r="H22" s="242">
        <f t="shared" si="2"/>
        <v>310</v>
      </c>
      <c r="I22" s="241">
        <f t="shared" si="3"/>
        <v>272.8</v>
      </c>
      <c r="J22" s="10">
        <f t="shared" si="4"/>
        <v>0.17600000000000002</v>
      </c>
      <c r="K22" s="243">
        <v>1</v>
      </c>
      <c r="L22" s="65"/>
      <c r="M22" s="65"/>
      <c r="N22" s="65"/>
      <c r="O22" s="65"/>
      <c r="P22" s="65"/>
      <c r="Q22" s="65"/>
      <c r="R22" s="65"/>
    </row>
    <row r="23" spans="1:19">
      <c r="A23" s="239">
        <v>5</v>
      </c>
      <c r="B23" s="240" t="s">
        <v>140</v>
      </c>
      <c r="C23" s="245">
        <v>0.75</v>
      </c>
      <c r="D23" s="241">
        <f t="shared" si="5"/>
        <v>150</v>
      </c>
      <c r="E23" s="241">
        <f t="shared" si="0"/>
        <v>300</v>
      </c>
      <c r="F23" s="242">
        <f t="shared" si="1"/>
        <v>600</v>
      </c>
      <c r="G23" s="241">
        <f t="shared" si="6"/>
        <v>1050</v>
      </c>
      <c r="H23" s="242">
        <f t="shared" si="2"/>
        <v>220</v>
      </c>
      <c r="I23" s="241">
        <f t="shared" si="3"/>
        <v>193.6</v>
      </c>
      <c r="J23" s="10">
        <f t="shared" si="4"/>
        <v>0.13828571428571429</v>
      </c>
      <c r="K23" s="243">
        <v>1</v>
      </c>
      <c r="L23" s="65"/>
      <c r="M23" s="42"/>
      <c r="N23" s="65"/>
      <c r="O23" s="65"/>
      <c r="P23" s="65"/>
      <c r="Q23" s="65"/>
      <c r="R23" s="65"/>
    </row>
    <row r="24" spans="1:19" ht="15.75">
      <c r="A24" s="65"/>
      <c r="B24" s="65"/>
      <c r="C24" s="246" t="s">
        <v>165</v>
      </c>
      <c r="D24" s="247">
        <f>SUMPRODUCT(D19:D23,K19:K23)</f>
        <v>1115</v>
      </c>
      <c r="E24" s="247">
        <f>SUMPRODUCT(E19:E23,K19:K23)</f>
        <v>999</v>
      </c>
      <c r="F24" s="247">
        <f>SUMPRODUCT(F19:F23,K19:K23)</f>
        <v>1199</v>
      </c>
      <c r="G24" s="247">
        <f t="shared" si="6"/>
        <v>3313</v>
      </c>
      <c r="H24" s="65"/>
      <c r="I24" s="65"/>
      <c r="J24" s="65"/>
      <c r="K24" s="234"/>
      <c r="L24" s="65"/>
      <c r="M24" s="42"/>
      <c r="N24" s="42"/>
      <c r="O24" s="444" t="s">
        <v>166</v>
      </c>
      <c r="P24" s="444"/>
      <c r="Q24" s="444"/>
      <c r="R24" s="65"/>
    </row>
    <row r="25" spans="1:19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234"/>
      <c r="L25" s="65"/>
      <c r="M25" s="42"/>
      <c r="N25" s="5"/>
      <c r="O25" s="200" t="s">
        <v>167</v>
      </c>
      <c r="P25" s="200" t="s">
        <v>168</v>
      </c>
      <c r="Q25" s="200" t="s">
        <v>169</v>
      </c>
      <c r="R25" s="65"/>
    </row>
    <row r="26" spans="1:19">
      <c r="A26" s="239">
        <v>6</v>
      </c>
      <c r="B26" s="248" t="s">
        <v>145</v>
      </c>
      <c r="C26" s="10">
        <v>0.5</v>
      </c>
      <c r="D26" s="241">
        <f>E9*C26</f>
        <v>500</v>
      </c>
      <c r="E26" s="241">
        <f>F9*C26</f>
        <v>150</v>
      </c>
      <c r="F26" s="242">
        <f>G9*C26</f>
        <v>150</v>
      </c>
      <c r="G26" s="242">
        <f t="shared" si="6"/>
        <v>800</v>
      </c>
      <c r="H26" s="242">
        <f>H9</f>
        <v>180</v>
      </c>
      <c r="I26" s="241">
        <f>H26*(1-$N$7)</f>
        <v>158.4</v>
      </c>
      <c r="J26" s="10">
        <f>IF(K26=0,"",I26/SUM(E9:G9))</f>
        <v>9.9000000000000005E-2</v>
      </c>
      <c r="K26" s="243">
        <v>1</v>
      </c>
      <c r="L26" s="65"/>
      <c r="M26" s="481" t="s">
        <v>170</v>
      </c>
      <c r="N26" s="200" t="s">
        <v>171</v>
      </c>
      <c r="O26" s="249">
        <f>D24</f>
        <v>1115</v>
      </c>
      <c r="P26" s="249">
        <f>E24</f>
        <v>999</v>
      </c>
      <c r="Q26" s="249">
        <f>F24</f>
        <v>1199</v>
      </c>
      <c r="R26" s="65"/>
    </row>
    <row r="27" spans="1:19">
      <c r="A27" s="239">
        <v>7</v>
      </c>
      <c r="B27" s="248" t="s">
        <v>145</v>
      </c>
      <c r="C27" s="10">
        <v>1</v>
      </c>
      <c r="D27" s="241">
        <f>E10*C27</f>
        <v>750</v>
      </c>
      <c r="E27" s="241">
        <f>F10*C27</f>
        <v>750</v>
      </c>
      <c r="F27" s="242">
        <f>G10*C27</f>
        <v>300</v>
      </c>
      <c r="G27" s="242">
        <f t="shared" si="6"/>
        <v>1800</v>
      </c>
      <c r="H27" s="242">
        <f t="shared" ref="H27:H29" si="7">H10</f>
        <v>410</v>
      </c>
      <c r="I27" s="241">
        <f t="shared" ref="I27:I29" si="8">H27*(1-$N$7)</f>
        <v>360.8</v>
      </c>
      <c r="J27" s="10">
        <f t="shared" ref="J27:J29" si="9">IF(K27=0,"",I27/SUM(E10:G10))</f>
        <v>0.20044444444444445</v>
      </c>
      <c r="K27" s="243">
        <v>1</v>
      </c>
      <c r="L27" s="65"/>
      <c r="M27" s="481"/>
      <c r="N27" s="200" t="s">
        <v>145</v>
      </c>
      <c r="O27" s="249">
        <f>D30</f>
        <v>1518</v>
      </c>
      <c r="P27" s="249">
        <f>E30</f>
        <v>1302</v>
      </c>
      <c r="Q27" s="249">
        <f>F30</f>
        <v>986</v>
      </c>
      <c r="R27" s="65"/>
    </row>
    <row r="28" spans="1:19">
      <c r="A28" s="239">
        <v>8</v>
      </c>
      <c r="B28" s="248" t="s">
        <v>145</v>
      </c>
      <c r="C28" s="10">
        <v>1</v>
      </c>
      <c r="D28" s="241">
        <f>E11*C28</f>
        <v>800</v>
      </c>
      <c r="E28" s="241">
        <f>F11*C28</f>
        <v>700</v>
      </c>
      <c r="F28" s="242">
        <f>G11*C28</f>
        <v>600</v>
      </c>
      <c r="G28" s="242">
        <f t="shared" si="6"/>
        <v>2100</v>
      </c>
      <c r="H28" s="242">
        <f t="shared" si="7"/>
        <v>280</v>
      </c>
      <c r="I28" s="241">
        <f t="shared" si="8"/>
        <v>246.4</v>
      </c>
      <c r="J28" s="10" t="str">
        <f t="shared" si="9"/>
        <v/>
      </c>
      <c r="K28" s="243">
        <v>0</v>
      </c>
      <c r="L28" s="65"/>
      <c r="M28" s="481"/>
      <c r="N28" s="200" t="s">
        <v>150</v>
      </c>
      <c r="O28" s="249">
        <f>D35</f>
        <v>1850</v>
      </c>
      <c r="P28" s="249">
        <f>E35</f>
        <v>650</v>
      </c>
      <c r="Q28" s="249">
        <f>F35</f>
        <v>550</v>
      </c>
      <c r="R28" s="65"/>
    </row>
    <row r="29" spans="1:19">
      <c r="A29" s="239">
        <v>9</v>
      </c>
      <c r="B29" s="248" t="s">
        <v>145</v>
      </c>
      <c r="C29" s="10">
        <v>0.67</v>
      </c>
      <c r="D29" s="241">
        <f>E12*C29</f>
        <v>268</v>
      </c>
      <c r="E29" s="241">
        <f>F12*C29</f>
        <v>402</v>
      </c>
      <c r="F29" s="242">
        <f>G12*C29</f>
        <v>536</v>
      </c>
      <c r="G29" s="242">
        <f t="shared" si="6"/>
        <v>1206</v>
      </c>
      <c r="H29" s="242">
        <f t="shared" si="7"/>
        <v>380</v>
      </c>
      <c r="I29" s="241">
        <f t="shared" si="8"/>
        <v>334.4</v>
      </c>
      <c r="J29" s="10">
        <f t="shared" si="9"/>
        <v>0.18577777777777776</v>
      </c>
      <c r="K29" s="243">
        <v>1</v>
      </c>
      <c r="L29" s="65"/>
      <c r="M29" s="65"/>
      <c r="N29" s="65"/>
      <c r="O29" s="65"/>
      <c r="P29" s="65"/>
      <c r="Q29" s="65"/>
      <c r="R29" s="65"/>
    </row>
    <row r="30" spans="1:19" ht="16.5" thickBot="1">
      <c r="A30" s="65"/>
      <c r="B30" s="65"/>
      <c r="C30" s="246" t="s">
        <v>172</v>
      </c>
      <c r="D30" s="247">
        <f>SUMPRODUCT(D26:D29,$K$26:$K$29)</f>
        <v>1518</v>
      </c>
      <c r="E30" s="247">
        <f t="shared" ref="E30:F30" si="10">SUMPRODUCT(E26:E29,$K$26:$K$29)</f>
        <v>1302</v>
      </c>
      <c r="F30" s="247">
        <f t="shared" si="10"/>
        <v>986</v>
      </c>
      <c r="G30" s="249">
        <f>SUM(D30:F30)</f>
        <v>3806</v>
      </c>
      <c r="H30" s="65"/>
      <c r="I30" s="65"/>
      <c r="J30" s="65"/>
      <c r="K30" s="234"/>
      <c r="L30" s="65"/>
      <c r="M30" s="65"/>
      <c r="N30" s="65"/>
      <c r="O30" s="65"/>
      <c r="P30" s="65"/>
      <c r="Q30" s="65"/>
      <c r="R30" s="65"/>
    </row>
    <row r="31" spans="1:19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234"/>
      <c r="L31" s="65"/>
      <c r="M31" s="326"/>
      <c r="N31" s="106"/>
      <c r="O31" s="106"/>
      <c r="P31" s="106"/>
      <c r="Q31" s="106"/>
      <c r="R31" s="106"/>
      <c r="S31" s="107"/>
    </row>
    <row r="32" spans="1:19">
      <c r="A32" s="239">
        <v>10</v>
      </c>
      <c r="B32" s="250" t="s">
        <v>150</v>
      </c>
      <c r="C32" s="10">
        <v>1</v>
      </c>
      <c r="D32" s="241">
        <f>E13*C32</f>
        <v>100</v>
      </c>
      <c r="E32" s="241">
        <f>F13*C32</f>
        <v>200</v>
      </c>
      <c r="F32" s="242">
        <f>G13*C32</f>
        <v>400</v>
      </c>
      <c r="G32" s="242">
        <f t="shared" si="6"/>
        <v>700</v>
      </c>
      <c r="H32" s="251">
        <f>H13</f>
        <v>100</v>
      </c>
      <c r="I32" s="241">
        <f>H32*(1-$N$7)</f>
        <v>88</v>
      </c>
      <c r="J32" s="10" t="str">
        <f>IF(K32=0,"",I32/SUM(E13:G13))</f>
        <v/>
      </c>
      <c r="K32" s="243">
        <v>0</v>
      </c>
      <c r="L32" s="65"/>
      <c r="M32" s="135"/>
      <c r="N32" s="42"/>
      <c r="O32" s="42"/>
      <c r="P32" s="42"/>
      <c r="Q32" s="42"/>
      <c r="R32" s="42"/>
      <c r="S32" s="46"/>
    </row>
    <row r="33" spans="1:24">
      <c r="A33" s="239">
        <v>11</v>
      </c>
      <c r="B33" s="250" t="s">
        <v>150</v>
      </c>
      <c r="C33" s="10">
        <v>0.5</v>
      </c>
      <c r="D33" s="241">
        <f>E14*C33</f>
        <v>350</v>
      </c>
      <c r="E33" s="241">
        <f>F14*C33</f>
        <v>250</v>
      </c>
      <c r="F33" s="242">
        <f>G14*C33</f>
        <v>150</v>
      </c>
      <c r="G33" s="242">
        <f t="shared" si="6"/>
        <v>750</v>
      </c>
      <c r="H33" s="251">
        <f t="shared" ref="H33:H34" si="11">H14</f>
        <v>260</v>
      </c>
      <c r="I33" s="241">
        <f t="shared" ref="I33" si="12">H33*(1-$N$7)</f>
        <v>228.8</v>
      </c>
      <c r="J33" s="10">
        <f t="shared" ref="J33:J34" si="13">IF(K33=0,"",I33/SUM(E14:G14))</f>
        <v>0.15253333333333335</v>
      </c>
      <c r="K33" s="243">
        <v>1</v>
      </c>
      <c r="L33" s="65"/>
      <c r="M33" s="135"/>
      <c r="N33" s="42"/>
      <c r="O33" s="42"/>
      <c r="P33" s="42"/>
      <c r="Q33" s="42"/>
      <c r="R33" s="42"/>
      <c r="S33" s="46"/>
    </row>
    <row r="34" spans="1:24">
      <c r="A34" s="239">
        <v>12</v>
      </c>
      <c r="B34" s="250" t="s">
        <v>150</v>
      </c>
      <c r="C34" s="10">
        <v>1</v>
      </c>
      <c r="D34" s="241">
        <f>E15*C34</f>
        <v>1500</v>
      </c>
      <c r="E34" s="241">
        <f>F15*C34</f>
        <v>400</v>
      </c>
      <c r="F34" s="242">
        <f>G15*C34</f>
        <v>400</v>
      </c>
      <c r="G34" s="242">
        <f t="shared" si="6"/>
        <v>2300</v>
      </c>
      <c r="H34" s="251">
        <f t="shared" si="11"/>
        <v>340</v>
      </c>
      <c r="I34" s="241">
        <f>H34*(1-$N$7)</f>
        <v>299.2</v>
      </c>
      <c r="J34" s="10">
        <f t="shared" si="13"/>
        <v>0.13008695652173913</v>
      </c>
      <c r="K34" s="243">
        <v>1</v>
      </c>
      <c r="L34" s="65"/>
      <c r="M34" s="135"/>
      <c r="N34" s="42"/>
      <c r="O34" s="42"/>
      <c r="P34" s="42"/>
      <c r="Q34" s="42"/>
      <c r="R34" s="42"/>
      <c r="S34" s="46"/>
    </row>
    <row r="35" spans="1:24" ht="15.75">
      <c r="A35" s="65"/>
      <c r="B35" s="65"/>
      <c r="C35" s="246" t="s">
        <v>173</v>
      </c>
      <c r="D35" s="241">
        <f>SUMPRODUCT(D32:D34,$K$32:$K$34)</f>
        <v>1850</v>
      </c>
      <c r="E35" s="241">
        <f t="shared" ref="E35:F35" si="14">SUMPRODUCT(E32:E34,$K$32:$K$34)</f>
        <v>650</v>
      </c>
      <c r="F35" s="241">
        <f t="shared" si="14"/>
        <v>550</v>
      </c>
      <c r="G35" s="241">
        <f>SUM(D35:F35)</f>
        <v>3050</v>
      </c>
      <c r="H35" s="65"/>
      <c r="I35" s="65"/>
      <c r="J35" s="65"/>
      <c r="K35" s="65"/>
      <c r="L35" s="65"/>
      <c r="M35" s="135"/>
      <c r="N35" s="42"/>
      <c r="O35" s="42"/>
      <c r="P35" s="42"/>
      <c r="Q35" s="42"/>
      <c r="R35" s="42"/>
      <c r="S35" s="46"/>
    </row>
    <row r="36" spans="1:24">
      <c r="A36" s="65"/>
      <c r="B36" s="65"/>
      <c r="C36" s="65"/>
      <c r="D36" s="65"/>
      <c r="E36" s="65"/>
      <c r="F36" s="252"/>
      <c r="G36" s="252"/>
      <c r="H36" s="65"/>
      <c r="I36" s="65"/>
      <c r="J36" s="65"/>
      <c r="K36" s="65"/>
      <c r="L36" s="65"/>
      <c r="M36" s="135"/>
      <c r="N36" s="42"/>
      <c r="O36" s="42"/>
      <c r="P36" s="42"/>
      <c r="Q36" s="42"/>
      <c r="R36" s="42"/>
      <c r="S36" s="46"/>
    </row>
    <row r="37" spans="1:24" ht="15.75">
      <c r="A37" s="65"/>
      <c r="B37" s="65"/>
      <c r="C37" s="65"/>
      <c r="D37" s="236" t="s">
        <v>157</v>
      </c>
      <c r="E37" s="236" t="s">
        <v>158</v>
      </c>
      <c r="F37" s="237" t="s">
        <v>159</v>
      </c>
      <c r="G37" s="236" t="s">
        <v>160</v>
      </c>
      <c r="H37" s="65"/>
      <c r="I37" s="253" t="s">
        <v>174</v>
      </c>
      <c r="J37" s="65"/>
      <c r="K37" s="65"/>
      <c r="L37" s="65"/>
      <c r="M37" s="135"/>
      <c r="N37" s="42"/>
      <c r="O37" s="42"/>
      <c r="P37" s="42"/>
      <c r="Q37" s="42"/>
      <c r="R37" s="42"/>
      <c r="S37" s="46"/>
    </row>
    <row r="38" spans="1:24" ht="15.75">
      <c r="A38" s="65"/>
      <c r="B38" s="65"/>
      <c r="C38" s="246" t="s">
        <v>175</v>
      </c>
      <c r="D38" s="254">
        <f>SUMPRODUCT(D19:D23,$K$19:$K$23)+SUMPRODUCT(D26:D29,$K$26:$K$29)+SUMPRODUCT(D32:D34,$K$32:$K$34)</f>
        <v>4483</v>
      </c>
      <c r="E38" s="254">
        <f>SUMPRODUCT(E19:E23,$K$19:$K$23)+SUMPRODUCT(E26:E29,$K$26:$K$29)+SUMPRODUCT(E32:E34,$K$32:$K$34)</f>
        <v>2951</v>
      </c>
      <c r="F38" s="254">
        <f t="shared" ref="F38" si="15">SUMPRODUCT(F19:F23,$K$19:$K$23)+SUMPRODUCT(F26:F29,$K$26:$K$29)+SUMPRODUCT(F32:F34,$K$32:$K$34)</f>
        <v>2735</v>
      </c>
      <c r="G38" s="254">
        <f>SUM(D38:F38)</f>
        <v>10169</v>
      </c>
      <c r="H38" s="65"/>
      <c r="I38" s="255">
        <f>SUMPRODUCT(I19:I34,K19:K34)</f>
        <v>2076.8000000000002</v>
      </c>
      <c r="J38" s="65"/>
      <c r="K38" s="65"/>
      <c r="L38" s="65"/>
      <c r="M38" s="135"/>
      <c r="N38" s="42"/>
      <c r="O38" s="42"/>
      <c r="P38" s="42"/>
      <c r="Q38" s="42"/>
      <c r="R38" s="42"/>
      <c r="S38" s="46"/>
    </row>
    <row r="39" spans="1:24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135"/>
      <c r="N39" s="42"/>
      <c r="O39" s="42"/>
      <c r="P39" s="42"/>
      <c r="Q39" s="42"/>
      <c r="R39" s="42"/>
      <c r="S39" s="46"/>
    </row>
    <row r="40" spans="1:24" ht="15.75">
      <c r="A40" s="65"/>
      <c r="B40" s="65"/>
      <c r="C40" s="65"/>
      <c r="D40" s="65"/>
      <c r="E40" s="482" t="s">
        <v>176</v>
      </c>
      <c r="F40" s="482"/>
      <c r="G40" s="482"/>
      <c r="H40" s="65"/>
      <c r="I40" s="65"/>
      <c r="J40" s="65"/>
      <c r="K40" s="65"/>
      <c r="L40" s="65"/>
      <c r="M40" s="135"/>
      <c r="N40" s="42"/>
      <c r="O40" s="42"/>
      <c r="P40" s="42"/>
      <c r="Q40" s="42"/>
      <c r="R40" s="42"/>
      <c r="S40" s="46"/>
    </row>
    <row r="41" spans="1:24" ht="15.75">
      <c r="A41" s="65"/>
      <c r="B41" s="65"/>
      <c r="C41" s="65"/>
      <c r="D41" s="236" t="s">
        <v>177</v>
      </c>
      <c r="E41" s="236" t="s">
        <v>178</v>
      </c>
      <c r="F41" s="236" t="s">
        <v>179</v>
      </c>
      <c r="G41" s="236" t="s">
        <v>180</v>
      </c>
      <c r="H41" s="65"/>
      <c r="I41" s="65"/>
      <c r="J41" s="65"/>
      <c r="K41" s="65"/>
      <c r="L41" s="65"/>
      <c r="M41" s="135"/>
      <c r="N41" s="42"/>
      <c r="O41" s="42"/>
      <c r="P41" s="42"/>
      <c r="Q41" s="42"/>
      <c r="R41" s="42"/>
      <c r="S41" s="46"/>
    </row>
    <row r="42" spans="1:24" ht="15.75">
      <c r="A42" s="65"/>
      <c r="B42" s="65"/>
      <c r="C42" s="65"/>
      <c r="D42" s="256"/>
      <c r="E42" s="257">
        <f>AVERAGE(J19:J34)</f>
        <v>0.14741107277049306</v>
      </c>
      <c r="F42" s="257">
        <f>MIN(J19:J34)</f>
        <v>9.9000000000000005E-2</v>
      </c>
      <c r="G42" s="257">
        <f>MAX(J19:J34)</f>
        <v>0.20044444444444445</v>
      </c>
      <c r="H42" s="65"/>
      <c r="I42" s="65"/>
      <c r="J42" s="65"/>
      <c r="K42" s="65"/>
      <c r="L42" s="65"/>
      <c r="M42" s="135"/>
      <c r="N42" s="42"/>
      <c r="O42" s="42"/>
      <c r="P42" s="42"/>
      <c r="Q42" s="42"/>
      <c r="R42" s="42"/>
      <c r="S42" s="46"/>
    </row>
    <row r="43" spans="1:24">
      <c r="A43" s="65"/>
      <c r="B43" s="65"/>
      <c r="C43" s="65"/>
      <c r="D43" s="10">
        <v>0</v>
      </c>
      <c r="E43" s="10">
        <v>0.16751258269374214</v>
      </c>
      <c r="F43" s="10">
        <v>0.1125</v>
      </c>
      <c r="G43" s="10">
        <v>0.22777777777777777</v>
      </c>
      <c r="H43" s="65"/>
      <c r="I43" s="65"/>
      <c r="J43" s="65"/>
      <c r="K43" s="65"/>
      <c r="L43" s="65"/>
      <c r="M43" s="135"/>
      <c r="N43" s="42"/>
      <c r="O43" s="42"/>
      <c r="P43" s="42"/>
      <c r="Q43" s="42"/>
      <c r="R43" s="42"/>
      <c r="S43" s="46"/>
    </row>
    <row r="44" spans="1:24" ht="15.75" thickBot="1">
      <c r="A44" s="65"/>
      <c r="B44" s="65"/>
      <c r="C44" s="65"/>
      <c r="D44" s="10">
        <v>0.05</v>
      </c>
      <c r="E44" s="10">
        <v>0.15913695355905499</v>
      </c>
      <c r="F44" s="10">
        <v>0.106875</v>
      </c>
      <c r="G44" s="10">
        <v>0.21638888888888888</v>
      </c>
      <c r="H44" s="65"/>
      <c r="I44" s="65"/>
      <c r="J44" s="65"/>
      <c r="K44" s="65"/>
      <c r="L44" s="65"/>
      <c r="M44" s="137"/>
      <c r="N44" s="138"/>
      <c r="O44" s="138"/>
      <c r="P44" s="138"/>
      <c r="Q44" s="138"/>
      <c r="R44" s="138"/>
      <c r="S44" s="139"/>
    </row>
    <row r="45" spans="1:24">
      <c r="A45" s="65"/>
      <c r="B45" s="65"/>
      <c r="C45" s="65"/>
      <c r="D45" s="10">
        <v>0.1</v>
      </c>
      <c r="E45" s="10">
        <v>0.1507613244243679</v>
      </c>
      <c r="F45" s="10">
        <v>0.10125000000000001</v>
      </c>
      <c r="G45" s="10">
        <v>0.20499999999999999</v>
      </c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</row>
    <row r="46" spans="1:24">
      <c r="A46" s="65"/>
      <c r="B46" s="65"/>
      <c r="C46" s="65"/>
      <c r="D46" s="10">
        <v>0.15</v>
      </c>
      <c r="E46" s="10">
        <v>0.14238569528968081</v>
      </c>
      <c r="F46" s="10">
        <v>9.5625000000000002E-2</v>
      </c>
      <c r="G46" s="10">
        <v>0.19361111111111112</v>
      </c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</row>
    <row r="47" spans="1:24" ht="15.75" thickBot="1">
      <c r="A47" s="65"/>
      <c r="B47" s="65"/>
      <c r="C47" s="65"/>
      <c r="D47" s="10">
        <v>0.2</v>
      </c>
      <c r="E47" s="10">
        <v>0.1340100661549937</v>
      </c>
      <c r="F47" s="10">
        <v>0.09</v>
      </c>
      <c r="G47" s="10">
        <v>0.18222222222222223</v>
      </c>
      <c r="H47" s="65"/>
      <c r="I47" s="65"/>
      <c r="J47" s="65"/>
      <c r="K47" s="65"/>
      <c r="M47" s="65"/>
      <c r="N47" s="65"/>
      <c r="O47" s="65"/>
      <c r="P47" s="65"/>
      <c r="Q47" s="65"/>
      <c r="R47" s="65"/>
    </row>
    <row r="48" spans="1:24" ht="16.5" thickBot="1">
      <c r="A48" s="65"/>
      <c r="B48" s="65"/>
      <c r="C48" s="65"/>
      <c r="D48" s="10">
        <v>0.25</v>
      </c>
      <c r="E48" s="10">
        <v>0.12563443702030658</v>
      </c>
      <c r="F48" s="10">
        <v>8.4375000000000006E-2</v>
      </c>
      <c r="G48" s="10">
        <v>0.17083333333333334</v>
      </c>
      <c r="H48" s="65"/>
      <c r="I48" s="65"/>
      <c r="J48" s="65"/>
      <c r="K48" s="65"/>
      <c r="L48" s="27" t="s">
        <v>294</v>
      </c>
      <c r="M48" s="309" t="s">
        <v>298</v>
      </c>
      <c r="N48" s="309" t="s">
        <v>299</v>
      </c>
      <c r="O48" s="309" t="s">
        <v>300</v>
      </c>
      <c r="P48" s="237" t="s">
        <v>301</v>
      </c>
      <c r="Q48" s="237" t="s">
        <v>302</v>
      </c>
      <c r="R48" s="237" t="s">
        <v>303</v>
      </c>
      <c r="S48" s="237" t="s">
        <v>304</v>
      </c>
      <c r="T48" s="237" t="s">
        <v>305</v>
      </c>
      <c r="U48" s="237" t="s">
        <v>306</v>
      </c>
      <c r="V48" s="237" t="s">
        <v>307</v>
      </c>
      <c r="W48" s="237" t="s">
        <v>308</v>
      </c>
      <c r="X48" s="309" t="s">
        <v>309</v>
      </c>
    </row>
    <row r="49" spans="1:27">
      <c r="A49" s="65"/>
      <c r="B49" s="65"/>
      <c r="C49" s="65"/>
      <c r="D49" s="10">
        <v>0.3</v>
      </c>
      <c r="E49" s="10">
        <v>0.11725880788561947</v>
      </c>
      <c r="F49" s="10">
        <v>7.8749999999999987E-2</v>
      </c>
      <c r="G49" s="10">
        <v>0.15944444444444444</v>
      </c>
      <c r="H49" s="65"/>
      <c r="I49" s="65"/>
      <c r="J49" s="65"/>
      <c r="K49" s="65"/>
      <c r="L49" s="65"/>
      <c r="M49" s="333">
        <v>0</v>
      </c>
      <c r="N49" s="333">
        <v>1</v>
      </c>
      <c r="O49" s="333">
        <v>1</v>
      </c>
      <c r="P49" s="330">
        <v>1</v>
      </c>
      <c r="Q49" s="330">
        <v>1</v>
      </c>
      <c r="R49" s="330">
        <v>1</v>
      </c>
      <c r="S49" s="330">
        <v>1</v>
      </c>
      <c r="T49" s="330">
        <v>0</v>
      </c>
      <c r="U49" s="330">
        <v>1</v>
      </c>
      <c r="V49" s="330">
        <v>0</v>
      </c>
      <c r="W49" s="330">
        <v>1</v>
      </c>
      <c r="X49" s="330">
        <v>1</v>
      </c>
    </row>
    <row r="50" spans="1:27">
      <c r="M50">
        <v>53</v>
      </c>
      <c r="N50">
        <v>158</v>
      </c>
      <c r="O50">
        <v>70</v>
      </c>
      <c r="P50">
        <v>273</v>
      </c>
      <c r="Q50">
        <v>194</v>
      </c>
      <c r="R50">
        <v>158</v>
      </c>
      <c r="S50">
        <v>361</v>
      </c>
      <c r="T50">
        <v>246</v>
      </c>
      <c r="U50">
        <v>334</v>
      </c>
      <c r="V50">
        <v>88</v>
      </c>
      <c r="W50">
        <v>229</v>
      </c>
      <c r="X50">
        <v>299</v>
      </c>
    </row>
    <row r="51" spans="1:27" ht="15.75" thickBot="1"/>
    <row r="52" spans="1:27" ht="30.75" thickBot="1">
      <c r="L52" s="327" t="s">
        <v>295</v>
      </c>
      <c r="M52" s="328">
        <f>SUMPRODUCT(M49:X49,M50:X50)</f>
        <v>2076</v>
      </c>
    </row>
    <row r="53" spans="1:27" ht="15.75" thickBot="1"/>
    <row r="54" spans="1:27" ht="15.75" thickBot="1">
      <c r="L54" s="26" t="s">
        <v>296</v>
      </c>
      <c r="M54" s="42"/>
      <c r="N54" s="42"/>
      <c r="O54" s="42"/>
      <c r="Y54" s="308" t="s">
        <v>199</v>
      </c>
      <c r="Z54" s="308" t="s">
        <v>200</v>
      </c>
      <c r="AA54" s="308" t="s">
        <v>201</v>
      </c>
    </row>
    <row r="55" spans="1:27">
      <c r="L55" s="329" t="s">
        <v>297</v>
      </c>
      <c r="M55" s="308">
        <v>1</v>
      </c>
      <c r="N55" s="308">
        <v>1</v>
      </c>
      <c r="O55" s="308">
        <v>1</v>
      </c>
      <c r="P55" s="5"/>
      <c r="Q55" s="5"/>
      <c r="R55" s="5"/>
      <c r="S55" s="5"/>
      <c r="T55" s="5"/>
      <c r="U55" s="5"/>
      <c r="V55" s="5"/>
      <c r="W55" s="5"/>
      <c r="X55" s="5"/>
      <c r="Y55" s="308"/>
      <c r="Z55" s="308" t="s">
        <v>206</v>
      </c>
      <c r="AA55" s="308">
        <v>10000</v>
      </c>
    </row>
    <row r="56" spans="1:27">
      <c r="L56" s="306"/>
      <c r="M56" s="308"/>
      <c r="N56" s="308"/>
      <c r="O56" s="308"/>
      <c r="P56" s="5"/>
      <c r="Q56" s="5"/>
      <c r="R56" s="5"/>
      <c r="S56" s="5"/>
      <c r="T56" s="5"/>
      <c r="U56" s="5"/>
      <c r="V56" s="5"/>
      <c r="W56" s="5"/>
      <c r="X56" s="5"/>
      <c r="Y56" s="308"/>
      <c r="Z56" s="308" t="s">
        <v>206</v>
      </c>
      <c r="AA56" s="308">
        <v>4000</v>
      </c>
    </row>
    <row r="57" spans="1:27">
      <c r="L57" s="308"/>
      <c r="M57" s="308"/>
      <c r="N57" s="308"/>
      <c r="O57" s="308"/>
      <c r="P57" s="5"/>
      <c r="Q57" s="5"/>
      <c r="R57" s="5"/>
      <c r="S57" s="5"/>
      <c r="T57" s="5"/>
      <c r="U57" s="5"/>
      <c r="V57" s="5"/>
      <c r="W57" s="5"/>
      <c r="X57" s="5"/>
      <c r="Y57" s="308"/>
      <c r="Z57" s="308"/>
      <c r="AA57" s="308"/>
    </row>
    <row r="58" spans="1:27">
      <c r="L58" s="307"/>
      <c r="M58" s="307"/>
      <c r="N58" s="307"/>
      <c r="O58" s="307"/>
      <c r="P58" s="307"/>
      <c r="Q58" s="307"/>
      <c r="R58" s="307"/>
    </row>
    <row r="59" spans="1:27" ht="15.75" thickBot="1"/>
    <row r="60" spans="1:27" ht="15.75" thickBot="1">
      <c r="L60" s="334" t="s">
        <v>310</v>
      </c>
    </row>
    <row r="61" spans="1:27" ht="15.75" thickBot="1"/>
    <row r="62" spans="1:27" ht="15.75">
      <c r="L62" s="326" t="s">
        <v>294</v>
      </c>
      <c r="M62" s="331" t="s">
        <v>311</v>
      </c>
      <c r="N62" s="331" t="s">
        <v>312</v>
      </c>
      <c r="O62" s="331" t="s">
        <v>313</v>
      </c>
      <c r="P62" s="331" t="s">
        <v>314</v>
      </c>
      <c r="Q62" s="331" t="s">
        <v>315</v>
      </c>
      <c r="R62" s="331" t="s">
        <v>316</v>
      </c>
      <c r="S62" s="331" t="s">
        <v>317</v>
      </c>
      <c r="T62" s="332" t="s">
        <v>318</v>
      </c>
      <c r="U62" s="335"/>
      <c r="V62" s="335"/>
      <c r="W62" s="335"/>
      <c r="X62" s="335"/>
    </row>
    <row r="63" spans="1:27">
      <c r="L63" s="339" t="s">
        <v>319</v>
      </c>
      <c r="M63" s="340">
        <v>1</v>
      </c>
      <c r="N63" s="341">
        <v>1</v>
      </c>
      <c r="O63" s="341">
        <v>1</v>
      </c>
      <c r="P63" s="341">
        <v>1</v>
      </c>
      <c r="Q63" s="341">
        <v>1</v>
      </c>
      <c r="R63" s="341">
        <v>0</v>
      </c>
      <c r="S63" s="341">
        <v>0</v>
      </c>
      <c r="T63" s="341">
        <v>0</v>
      </c>
      <c r="U63" s="337"/>
      <c r="V63" s="337"/>
      <c r="W63" s="337"/>
      <c r="X63" s="337"/>
    </row>
    <row r="64" spans="1:27">
      <c r="L64" s="3" t="s">
        <v>299</v>
      </c>
      <c r="M64" s="304">
        <v>1</v>
      </c>
      <c r="N64" s="304">
        <v>1</v>
      </c>
      <c r="O64" s="304">
        <v>1</v>
      </c>
      <c r="P64" s="304">
        <v>1</v>
      </c>
      <c r="Q64" s="304">
        <v>0</v>
      </c>
      <c r="R64" s="304">
        <v>1</v>
      </c>
      <c r="S64" s="304">
        <v>0</v>
      </c>
      <c r="T64" s="304">
        <v>1</v>
      </c>
      <c r="U64" s="336"/>
      <c r="V64" s="336"/>
      <c r="W64" s="336"/>
      <c r="X64" s="336"/>
    </row>
    <row r="65" spans="12:20">
      <c r="L65" s="339" t="s">
        <v>300</v>
      </c>
      <c r="M65" s="342">
        <v>1</v>
      </c>
      <c r="N65" s="304">
        <v>0</v>
      </c>
      <c r="O65" s="304">
        <v>0</v>
      </c>
      <c r="P65" s="304">
        <v>1</v>
      </c>
      <c r="Q65" s="304">
        <v>1</v>
      </c>
      <c r="R65" s="304">
        <v>1</v>
      </c>
      <c r="S65" s="304">
        <v>0</v>
      </c>
      <c r="T65" s="304">
        <v>1</v>
      </c>
    </row>
    <row r="66" spans="12:20">
      <c r="L66" s="3" t="s">
        <v>301</v>
      </c>
      <c r="M66" s="304">
        <v>0</v>
      </c>
      <c r="N66" s="304">
        <v>1</v>
      </c>
      <c r="O66" s="304">
        <v>0</v>
      </c>
      <c r="P66" s="304">
        <v>0</v>
      </c>
      <c r="Q66" s="304">
        <v>1</v>
      </c>
      <c r="R66" s="304">
        <v>1</v>
      </c>
      <c r="S66" s="304">
        <v>1</v>
      </c>
      <c r="T66" s="304">
        <v>1</v>
      </c>
    </row>
    <row r="67" spans="12:20">
      <c r="L67" s="339" t="s">
        <v>302</v>
      </c>
      <c r="M67" s="342">
        <v>1</v>
      </c>
      <c r="N67" s="304">
        <v>1</v>
      </c>
      <c r="O67" s="304">
        <v>1</v>
      </c>
      <c r="P67" s="304">
        <v>1</v>
      </c>
      <c r="Q67" s="304">
        <v>1</v>
      </c>
      <c r="R67" s="304">
        <v>1</v>
      </c>
      <c r="S67" s="304">
        <v>1</v>
      </c>
      <c r="T67" s="304">
        <v>0</v>
      </c>
    </row>
    <row r="68" spans="12:20">
      <c r="L68" s="3" t="s">
        <v>303</v>
      </c>
      <c r="M68" s="304">
        <v>1</v>
      </c>
      <c r="N68" s="304">
        <v>1</v>
      </c>
      <c r="O68" s="304">
        <v>1</v>
      </c>
      <c r="P68" s="304">
        <v>1</v>
      </c>
      <c r="Q68" s="304">
        <v>1</v>
      </c>
      <c r="R68" s="304">
        <v>1</v>
      </c>
      <c r="S68" s="304">
        <v>1</v>
      </c>
      <c r="T68" s="304">
        <v>1</v>
      </c>
    </row>
    <row r="69" spans="12:20">
      <c r="L69" s="339" t="s">
        <v>304</v>
      </c>
      <c r="M69" s="342">
        <v>1</v>
      </c>
      <c r="N69" s="304">
        <v>1</v>
      </c>
      <c r="O69" s="304">
        <v>1</v>
      </c>
      <c r="P69" s="304">
        <v>1</v>
      </c>
      <c r="Q69" s="304">
        <v>1</v>
      </c>
      <c r="R69" s="304">
        <v>1</v>
      </c>
      <c r="S69" s="304">
        <v>0</v>
      </c>
      <c r="T69" s="304">
        <v>1</v>
      </c>
    </row>
    <row r="70" spans="12:20">
      <c r="L70" s="3" t="s">
        <v>305</v>
      </c>
      <c r="M70" s="304">
        <v>1</v>
      </c>
      <c r="N70" s="304">
        <v>1</v>
      </c>
      <c r="O70" s="304">
        <v>1</v>
      </c>
      <c r="P70" s="304">
        <v>1</v>
      </c>
      <c r="Q70" s="304">
        <v>0</v>
      </c>
      <c r="R70" s="304">
        <v>1</v>
      </c>
      <c r="S70" s="304">
        <v>1</v>
      </c>
      <c r="T70" s="304">
        <v>0</v>
      </c>
    </row>
    <row r="71" spans="12:20">
      <c r="L71" s="339" t="s">
        <v>306</v>
      </c>
      <c r="M71" s="342">
        <v>1</v>
      </c>
      <c r="N71" s="304">
        <v>1</v>
      </c>
      <c r="O71" s="304">
        <v>1</v>
      </c>
      <c r="P71" s="304">
        <v>1</v>
      </c>
      <c r="Q71" s="304">
        <v>0</v>
      </c>
      <c r="R71" s="304">
        <v>0</v>
      </c>
      <c r="S71" s="304">
        <v>0</v>
      </c>
      <c r="T71" s="304">
        <v>1</v>
      </c>
    </row>
    <row r="72" spans="12:20">
      <c r="L72" s="3" t="s">
        <v>307</v>
      </c>
      <c r="M72" s="304">
        <v>1</v>
      </c>
      <c r="N72" s="304">
        <v>1</v>
      </c>
      <c r="O72" s="304">
        <v>1</v>
      </c>
      <c r="P72" s="304">
        <v>1</v>
      </c>
      <c r="Q72" s="304">
        <v>0</v>
      </c>
      <c r="R72" s="304">
        <v>1</v>
      </c>
      <c r="S72" s="304">
        <v>1</v>
      </c>
      <c r="T72" s="304">
        <v>1</v>
      </c>
    </row>
    <row r="73" spans="12:20">
      <c r="L73" s="339" t="s">
        <v>308</v>
      </c>
      <c r="M73" s="342">
        <v>1</v>
      </c>
      <c r="N73" s="304">
        <v>1</v>
      </c>
      <c r="O73" s="304">
        <v>1</v>
      </c>
      <c r="P73" s="304">
        <v>1</v>
      </c>
      <c r="Q73" s="304">
        <v>1</v>
      </c>
      <c r="R73" s="304">
        <v>1</v>
      </c>
      <c r="S73" s="304">
        <v>0</v>
      </c>
      <c r="T73" s="304">
        <v>1</v>
      </c>
    </row>
    <row r="74" spans="12:20">
      <c r="L74" s="3" t="s">
        <v>309</v>
      </c>
      <c r="M74" s="342">
        <v>0</v>
      </c>
      <c r="N74" s="304">
        <v>0</v>
      </c>
      <c r="O74" s="304">
        <v>0</v>
      </c>
      <c r="P74" s="304">
        <v>1</v>
      </c>
      <c r="Q74" s="304">
        <v>1</v>
      </c>
      <c r="R74" s="304">
        <v>0</v>
      </c>
      <c r="S74" s="304">
        <v>1</v>
      </c>
      <c r="T74" s="304">
        <v>1</v>
      </c>
    </row>
    <row r="76" spans="12:20">
      <c r="M76" s="338"/>
    </row>
    <row r="78" spans="12:20">
      <c r="M78" s="338"/>
    </row>
    <row r="80" spans="12:20">
      <c r="M80" s="338"/>
    </row>
    <row r="82" spans="13:13">
      <c r="M82" s="338"/>
    </row>
    <row r="84" spans="13:13">
      <c r="M84" s="338"/>
    </row>
    <row r="86" spans="13:13">
      <c r="M86" s="338"/>
    </row>
    <row r="88" spans="13:13">
      <c r="M88" s="338"/>
    </row>
    <row r="90" spans="13:13">
      <c r="M90" s="338"/>
    </row>
    <row r="92" spans="13:13">
      <c r="M92" s="338"/>
    </row>
    <row r="94" spans="13:13">
      <c r="M94" s="338"/>
    </row>
    <row r="261" spans="13:13">
      <c r="M261" s="338"/>
    </row>
    <row r="263" spans="13:13">
      <c r="M263" s="338"/>
    </row>
    <row r="265" spans="13:13">
      <c r="M265" s="338"/>
    </row>
    <row r="267" spans="13:13">
      <c r="M267" s="338"/>
    </row>
    <row r="269" spans="13:13">
      <c r="M269" s="338"/>
    </row>
    <row r="271" spans="13:13">
      <c r="M271" s="338"/>
    </row>
    <row r="273" spans="13:13">
      <c r="M273" s="338"/>
    </row>
    <row r="275" spans="13:13">
      <c r="M275" s="338"/>
    </row>
    <row r="277" spans="13:13">
      <c r="M277" s="338"/>
    </row>
  </sheetData>
  <mergeCells count="7">
    <mergeCell ref="O24:Q24"/>
    <mergeCell ref="M26:M28"/>
    <mergeCell ref="E40:G40"/>
    <mergeCell ref="A1:L1"/>
    <mergeCell ref="M3:N3"/>
    <mergeCell ref="M9:N9"/>
    <mergeCell ref="D17:G17"/>
  </mergeCells>
  <conditionalFormatting sqref="N10:N13">
    <cfRule type="cellIs" dxfId="15" priority="14" operator="equal">
      <formula>1</formula>
    </cfRule>
  </conditionalFormatting>
  <conditionalFormatting sqref="N10:N13">
    <cfRule type="cellIs" dxfId="14" priority="13" operator="lessThan">
      <formula>1</formula>
    </cfRule>
  </conditionalFormatting>
  <conditionalFormatting sqref="H26:H29 H32:H34">
    <cfRule type="cellIs" dxfId="13" priority="15" operator="equal">
      <formula>MIN($K$19:$K$29)</formula>
    </cfRule>
    <cfRule type="cellIs" dxfId="12" priority="16" operator="equal">
      <formula>MAX($K$19:$K$29)</formula>
    </cfRule>
  </conditionalFormatting>
  <conditionalFormatting sqref="D38:F38">
    <cfRule type="cellIs" dxfId="11" priority="11" operator="greaterThan">
      <formula>4000</formula>
    </cfRule>
    <cfRule type="cellIs" dxfId="10" priority="12" operator="lessThan">
      <formula>4000</formula>
    </cfRule>
  </conditionalFormatting>
  <conditionalFormatting sqref="N14">
    <cfRule type="cellIs" dxfId="9" priority="9" operator="lessThan">
      <formula>1</formula>
    </cfRule>
    <cfRule type="cellIs" dxfId="8" priority="10" operator="greaterThan">
      <formula>0</formula>
    </cfRule>
  </conditionalFormatting>
  <conditionalFormatting sqref="M20:N20">
    <cfRule type="cellIs" dxfId="7" priority="7" operator="lessThan">
      <formula>1</formula>
    </cfRule>
    <cfRule type="cellIs" dxfId="6" priority="8" operator="equal">
      <formula>1</formula>
    </cfRule>
  </conditionalFormatting>
  <conditionalFormatting sqref="G38">
    <cfRule type="cellIs" dxfId="5" priority="5" operator="greaterThan">
      <formula>10000</formula>
    </cfRule>
    <cfRule type="cellIs" dxfId="4" priority="6" operator="lessThan">
      <formula>10000</formula>
    </cfRule>
  </conditionalFormatting>
  <conditionalFormatting sqref="M49:X49">
    <cfRule type="cellIs" dxfId="3" priority="3" operator="greaterThan">
      <formula>4000</formula>
    </cfRule>
    <cfRule type="cellIs" dxfId="2" priority="4" operator="lessThan">
      <formula>4000</formula>
    </cfRule>
  </conditionalFormatting>
  <conditionalFormatting sqref="N63:X63">
    <cfRule type="cellIs" dxfId="1" priority="1" operator="greaterThan">
      <formula>4000</formula>
    </cfRule>
    <cfRule type="cellIs" dxfId="0" priority="2" operator="lessThan">
      <formula>4000</formula>
    </cfRule>
  </conditionalFormatting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5" sqref="K5"/>
    </sheetView>
  </sheetViews>
  <sheetFormatPr baseColWidth="10" defaultRowHeight="1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0" workbookViewId="0">
      <selection activeCell="D12" sqref="D12:F12"/>
    </sheetView>
  </sheetViews>
  <sheetFormatPr baseColWidth="10" defaultRowHeight="15"/>
  <cols>
    <col min="1" max="1" width="20.28515625" customWidth="1"/>
    <col min="2" max="2" width="15.140625" bestFit="1" customWidth="1"/>
    <col min="3" max="3" width="12.42578125" bestFit="1" customWidth="1"/>
    <col min="4" max="4" width="13.28515625" customWidth="1"/>
    <col min="7" max="7" width="31.140625" customWidth="1"/>
  </cols>
  <sheetData>
    <row r="1" spans="1:7" s="65" customFormat="1" ht="23.25" customHeight="1">
      <c r="A1" s="449" t="s">
        <v>216</v>
      </c>
      <c r="B1" s="449"/>
      <c r="C1" s="449"/>
      <c r="D1" s="449"/>
      <c r="E1" s="65" t="s">
        <v>217</v>
      </c>
    </row>
    <row r="2" spans="1:7" s="65" customFormat="1" ht="15.75" customHeight="1">
      <c r="A2" s="260"/>
      <c r="B2" s="260"/>
      <c r="C2" s="260"/>
      <c r="D2" s="260"/>
    </row>
    <row r="3" spans="1:7">
      <c r="B3" t="s">
        <v>193</v>
      </c>
      <c r="C3" s="65" t="s">
        <v>194</v>
      </c>
    </row>
    <row r="4" spans="1:7">
      <c r="A4" t="s">
        <v>192</v>
      </c>
      <c r="B4" s="269">
        <v>175</v>
      </c>
      <c r="C4" s="269">
        <v>10.000000000000007</v>
      </c>
      <c r="D4" t="s">
        <v>195</v>
      </c>
    </row>
    <row r="5" spans="1:7">
      <c r="B5" s="267">
        <v>3000</v>
      </c>
      <c r="C5" s="267">
        <v>7000</v>
      </c>
      <c r="G5" s="262" t="s">
        <v>213</v>
      </c>
    </row>
    <row r="6" spans="1:7" ht="15.75" thickBot="1">
      <c r="A6" t="s">
        <v>197</v>
      </c>
      <c r="G6" s="262" t="s">
        <v>214</v>
      </c>
    </row>
    <row r="7" spans="1:7" ht="15.75" thickBot="1">
      <c r="A7" s="271" t="s">
        <v>203</v>
      </c>
      <c r="B7" s="272">
        <f>SUMPRODUCT(B4:C4,B5:C5)</f>
        <v>595000</v>
      </c>
      <c r="G7" s="262" t="s">
        <v>215</v>
      </c>
    </row>
    <row r="10" spans="1:7">
      <c r="D10" s="65"/>
      <c r="E10" s="65"/>
    </row>
    <row r="11" spans="1:7">
      <c r="D11" s="65"/>
      <c r="E11" s="65"/>
    </row>
    <row r="12" spans="1:7" ht="14.25" customHeight="1">
      <c r="A12" s="5" t="s">
        <v>198</v>
      </c>
      <c r="B12" s="5"/>
      <c r="C12" s="5"/>
      <c r="D12" s="259" t="s">
        <v>199</v>
      </c>
      <c r="E12" s="259" t="s">
        <v>200</v>
      </c>
      <c r="F12" s="259" t="s">
        <v>201</v>
      </c>
      <c r="G12" s="268" t="s">
        <v>202</v>
      </c>
    </row>
    <row r="13" spans="1:7">
      <c r="A13" s="5" t="s">
        <v>205</v>
      </c>
      <c r="B13" s="259">
        <v>200</v>
      </c>
      <c r="C13" s="259">
        <v>500</v>
      </c>
      <c r="D13" s="259">
        <f>SUMPRODUCT($B$4:$C$4,B13:C13)</f>
        <v>40000</v>
      </c>
      <c r="E13" s="259" t="s">
        <v>206</v>
      </c>
      <c r="F13" s="270">
        <f>C20</f>
        <v>40000</v>
      </c>
      <c r="G13" s="42" t="str">
        <f ca="1">_xlfn.FORMULATEXT(D13)</f>
        <v>=SUMAPRODUCTO($B$4:$C$4;B13:C13)</v>
      </c>
    </row>
    <row r="14" spans="1:7">
      <c r="A14" s="5" t="s">
        <v>207</v>
      </c>
      <c r="B14" s="259">
        <v>1</v>
      </c>
      <c r="C14" s="259"/>
      <c r="D14" s="259">
        <f t="shared" ref="D14:D16" si="0">SUMPRODUCT($B$4:$C$4,B14:C14)</f>
        <v>175</v>
      </c>
      <c r="E14" s="259" t="s">
        <v>204</v>
      </c>
      <c r="F14" s="259">
        <v>10</v>
      </c>
      <c r="G14" s="42" t="str">
        <f t="shared" ref="G14:G15" ca="1" si="1">_xlfn.FORMULATEXT(D14)</f>
        <v>=SUMAPRODUCTO($B$4:$C$4;B14:C14)</v>
      </c>
    </row>
    <row r="15" spans="1:7">
      <c r="A15" s="5" t="s">
        <v>208</v>
      </c>
      <c r="B15" s="259"/>
      <c r="C15" s="259">
        <v>1</v>
      </c>
      <c r="D15" s="259">
        <f t="shared" si="0"/>
        <v>10.000000000000007</v>
      </c>
      <c r="E15" s="259" t="s">
        <v>204</v>
      </c>
      <c r="F15" s="259">
        <v>10</v>
      </c>
      <c r="G15" s="42" t="str">
        <f t="shared" ca="1" si="1"/>
        <v>=SUMAPRODUCTO($B$4:$C$4;B15:C15)</v>
      </c>
    </row>
    <row r="16" spans="1:7">
      <c r="A16" s="5" t="s">
        <v>209</v>
      </c>
      <c r="B16" s="259">
        <v>1</v>
      </c>
      <c r="C16" s="259">
        <v>-1</v>
      </c>
      <c r="D16" s="259">
        <f t="shared" si="0"/>
        <v>165</v>
      </c>
      <c r="E16" s="259" t="s">
        <v>204</v>
      </c>
      <c r="F16" s="259">
        <v>0</v>
      </c>
      <c r="G16" s="42"/>
    </row>
    <row r="18" spans="1:6" ht="15.75">
      <c r="A18" s="7" t="s">
        <v>183</v>
      </c>
    </row>
    <row r="20" spans="1:6">
      <c r="A20" s="489" t="s">
        <v>185</v>
      </c>
      <c r="B20" s="489"/>
      <c r="C20" s="261">
        <v>40000</v>
      </c>
    </row>
    <row r="21" spans="1:6">
      <c r="A21" s="489" t="s">
        <v>187</v>
      </c>
      <c r="B21" s="489"/>
      <c r="C21" s="12">
        <v>200</v>
      </c>
      <c r="D21" t="s">
        <v>188</v>
      </c>
      <c r="E21" s="86">
        <v>3000</v>
      </c>
      <c r="F21" t="s">
        <v>189</v>
      </c>
    </row>
    <row r="22" spans="1:6">
      <c r="A22" s="489" t="s">
        <v>186</v>
      </c>
      <c r="B22" s="489"/>
      <c r="C22" s="12">
        <v>500</v>
      </c>
      <c r="D22" t="s">
        <v>188</v>
      </c>
      <c r="E22" s="86">
        <v>7000</v>
      </c>
      <c r="F22" s="65" t="s">
        <v>189</v>
      </c>
    </row>
    <row r="23" spans="1:6">
      <c r="A23" s="489" t="s">
        <v>190</v>
      </c>
      <c r="B23" s="489"/>
      <c r="C23" s="489"/>
      <c r="D23" s="489"/>
      <c r="E23" s="489"/>
      <c r="F23" s="12">
        <f>200*10+500*10</f>
        <v>7000</v>
      </c>
    </row>
    <row r="24" spans="1:6">
      <c r="A24" s="489" t="s">
        <v>210</v>
      </c>
      <c r="B24" s="489"/>
      <c r="C24" s="489"/>
      <c r="D24" s="489"/>
    </row>
    <row r="26" spans="1:6">
      <c r="A26" s="490" t="s">
        <v>191</v>
      </c>
      <c r="B26" s="490"/>
      <c r="C26" s="490"/>
      <c r="D26" s="490"/>
      <c r="E26" s="490"/>
      <c r="F26" s="490"/>
    </row>
    <row r="28" spans="1:6">
      <c r="A28" t="s">
        <v>211</v>
      </c>
    </row>
    <row r="29" spans="1:6">
      <c r="A29" t="s">
        <v>212</v>
      </c>
    </row>
  </sheetData>
  <mergeCells count="7">
    <mergeCell ref="A1:D1"/>
    <mergeCell ref="A20:B20"/>
    <mergeCell ref="A21:B21"/>
    <mergeCell ref="A22:B22"/>
    <mergeCell ref="A26:F26"/>
    <mergeCell ref="A23:E23"/>
    <mergeCell ref="A24:D2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18" sqref="E18"/>
    </sheetView>
  </sheetViews>
  <sheetFormatPr baseColWidth="10" defaultRowHeight="15"/>
  <cols>
    <col min="1" max="1" width="14.85546875" customWidth="1"/>
  </cols>
  <sheetData>
    <row r="1" spans="1:7">
      <c r="A1" s="65"/>
      <c r="B1" s="273" t="s">
        <v>218</v>
      </c>
      <c r="C1" s="273" t="s">
        <v>219</v>
      </c>
      <c r="D1" s="65"/>
      <c r="E1" s="65"/>
      <c r="F1" s="65"/>
      <c r="G1" s="65"/>
    </row>
    <row r="2" spans="1:7">
      <c r="A2" s="65" t="s">
        <v>192</v>
      </c>
      <c r="B2" s="269">
        <v>37</v>
      </c>
      <c r="C2" s="269">
        <v>60</v>
      </c>
      <c r="D2" s="65" t="s">
        <v>195</v>
      </c>
      <c r="E2" s="65"/>
      <c r="F2" s="65"/>
      <c r="G2" s="65"/>
    </row>
    <row r="3" spans="1:7">
      <c r="A3" s="65"/>
      <c r="B3" s="267">
        <v>5</v>
      </c>
      <c r="C3" s="267">
        <v>6</v>
      </c>
      <c r="D3" s="65"/>
      <c r="E3" s="65"/>
      <c r="F3" s="262" t="s">
        <v>213</v>
      </c>
      <c r="G3" s="65"/>
    </row>
    <row r="4" spans="1:7">
      <c r="C4" s="65"/>
      <c r="D4" s="65"/>
      <c r="E4" s="65"/>
      <c r="F4" s="262" t="s">
        <v>214</v>
      </c>
    </row>
    <row r="5" spans="1:7" ht="15.75" thickBot="1">
      <c r="A5" s="65" t="s">
        <v>197</v>
      </c>
      <c r="B5" s="65"/>
      <c r="C5" s="65"/>
      <c r="D5" s="65"/>
      <c r="E5" s="65"/>
      <c r="F5" s="262" t="s">
        <v>224</v>
      </c>
    </row>
    <row r="6" spans="1:7" ht="15.75" thickBot="1">
      <c r="A6" s="271" t="s">
        <v>220</v>
      </c>
      <c r="B6" s="274">
        <f>SUMPRODUCT(B2:C2,B3:C3)</f>
        <v>545</v>
      </c>
      <c r="F6" s="65"/>
    </row>
    <row r="8" spans="1:7">
      <c r="A8" s="275" t="s">
        <v>221</v>
      </c>
      <c r="B8" s="259"/>
      <c r="C8" s="259"/>
      <c r="D8" s="258" t="s">
        <v>199</v>
      </c>
      <c r="E8" s="258" t="s">
        <v>200</v>
      </c>
      <c r="F8" s="258" t="s">
        <v>201</v>
      </c>
    </row>
    <row r="9" spans="1:7">
      <c r="A9" s="5" t="s">
        <v>222</v>
      </c>
      <c r="B9" s="259">
        <v>2</v>
      </c>
      <c r="C9" s="259">
        <v>1</v>
      </c>
      <c r="D9" s="259">
        <f>SUMPRODUCT($B$2:$C$2,B9:C9)</f>
        <v>134</v>
      </c>
      <c r="E9" s="259" t="s">
        <v>206</v>
      </c>
      <c r="F9" s="259">
        <v>120</v>
      </c>
      <c r="G9" t="str">
        <f ca="1">_xlfn.FORMULATEXT(D9)</f>
        <v>=SUMAPRODUCTO($B$2:$C$2;B9:C9)</v>
      </c>
    </row>
    <row r="10" spans="1:7">
      <c r="A10" s="276" t="s">
        <v>223</v>
      </c>
      <c r="B10" s="259">
        <v>2</v>
      </c>
      <c r="C10" s="259">
        <v>3</v>
      </c>
      <c r="D10" s="259">
        <f>SUMPRODUCT($B$2:$C$2,B10:C10)</f>
        <v>254</v>
      </c>
      <c r="E10" s="259" t="s">
        <v>206</v>
      </c>
      <c r="F10" s="259">
        <v>240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4" sqref="A14:F18"/>
    </sheetView>
  </sheetViews>
  <sheetFormatPr baseColWidth="10" defaultRowHeight="15"/>
  <cols>
    <col min="1" max="1" width="23.7109375" customWidth="1"/>
    <col min="4" max="4" width="12.28515625" bestFit="1" customWidth="1"/>
  </cols>
  <sheetData>
    <row r="1" spans="1:7" ht="30">
      <c r="A1" s="65"/>
      <c r="B1" s="280" t="s">
        <v>231</v>
      </c>
      <c r="C1" s="280" t="s">
        <v>227</v>
      </c>
      <c r="D1" s="65"/>
      <c r="E1" s="65"/>
      <c r="F1" s="65"/>
    </row>
    <row r="2" spans="1:7">
      <c r="A2" s="65" t="s">
        <v>192</v>
      </c>
      <c r="B2" s="269">
        <v>560</v>
      </c>
      <c r="C2" s="269">
        <v>1200</v>
      </c>
      <c r="D2" s="266" t="s">
        <v>195</v>
      </c>
      <c r="E2" s="65"/>
      <c r="F2" s="65"/>
    </row>
    <row r="3" spans="1:7">
      <c r="A3" s="65"/>
      <c r="B3" s="267"/>
      <c r="C3" s="267"/>
      <c r="D3" s="267"/>
      <c r="E3" s="65"/>
      <c r="F3" s="262" t="s">
        <v>213</v>
      </c>
    </row>
    <row r="4" spans="1:7" ht="15.75" thickBot="1">
      <c r="A4" s="65" t="s">
        <v>197</v>
      </c>
      <c r="B4" s="267"/>
      <c r="C4" s="267"/>
      <c r="D4" s="267" t="s">
        <v>228</v>
      </c>
      <c r="E4" s="65"/>
      <c r="F4" s="262" t="s">
        <v>214</v>
      </c>
    </row>
    <row r="5" spans="1:7" ht="15.75" thickBot="1">
      <c r="A5" s="282" t="s">
        <v>229</v>
      </c>
      <c r="B5" s="281">
        <v>300</v>
      </c>
      <c r="C5" s="267">
        <v>450</v>
      </c>
      <c r="D5" s="286">
        <f>SUMPRODUCT(B2:C2,B5:C5)</f>
        <v>708000</v>
      </c>
      <c r="E5" s="65"/>
      <c r="F5" s="262" t="s">
        <v>224</v>
      </c>
    </row>
    <row r="6" spans="1:7" s="65" customFormat="1">
      <c r="A6" t="s">
        <v>230</v>
      </c>
      <c r="B6" s="281"/>
      <c r="C6" s="267"/>
      <c r="D6" s="267"/>
      <c r="F6" s="262"/>
    </row>
    <row r="7" spans="1:7">
      <c r="A7" t="s">
        <v>232</v>
      </c>
      <c r="B7" s="267">
        <v>150</v>
      </c>
      <c r="C7" s="267">
        <v>225</v>
      </c>
      <c r="D7" s="267">
        <f>B7*B2+C7*C2</f>
        <v>354000</v>
      </c>
      <c r="E7" s="65"/>
    </row>
    <row r="8" spans="1:7" s="65" customFormat="1">
      <c r="A8" s="65" t="s">
        <v>237</v>
      </c>
      <c r="B8" s="284">
        <f>5*F8</f>
        <v>55</v>
      </c>
      <c r="C8" s="284">
        <f>6*F8</f>
        <v>66</v>
      </c>
      <c r="D8" s="284">
        <f>B8+C8</f>
        <v>121</v>
      </c>
      <c r="F8" s="283">
        <v>11</v>
      </c>
      <c r="G8" s="65" t="s">
        <v>235</v>
      </c>
    </row>
    <row r="9" spans="1:7" s="65" customFormat="1" ht="15.75" thickBot="1">
      <c r="A9" s="65" t="s">
        <v>238</v>
      </c>
      <c r="B9" s="284">
        <f>1*F9</f>
        <v>15</v>
      </c>
      <c r="C9" s="284">
        <f>2*F9</f>
        <v>30</v>
      </c>
      <c r="D9" s="284">
        <f>B9+C9</f>
        <v>45</v>
      </c>
      <c r="F9" s="283">
        <v>15</v>
      </c>
      <c r="G9" s="65" t="s">
        <v>236</v>
      </c>
    </row>
    <row r="10" spans="1:7" s="65" customFormat="1" ht="15.75" thickBot="1">
      <c r="A10" s="85" t="s">
        <v>230</v>
      </c>
      <c r="B10" s="267"/>
      <c r="C10" s="267"/>
      <c r="D10" s="286">
        <f>SUM(D7:D9)</f>
        <v>354166</v>
      </c>
    </row>
    <row r="11" spans="1:7" s="65" customFormat="1" ht="15.75" thickBot="1">
      <c r="A11" s="491" t="s">
        <v>220</v>
      </c>
      <c r="B11" s="492"/>
      <c r="C11" s="493"/>
      <c r="D11" s="285">
        <f>D5-D10</f>
        <v>353834</v>
      </c>
    </row>
    <row r="12" spans="1:7">
      <c r="A12" s="65"/>
      <c r="B12" s="267"/>
      <c r="C12" s="267"/>
      <c r="D12" s="267"/>
      <c r="E12" s="65"/>
      <c r="F12" s="65"/>
    </row>
    <row r="14" spans="1:7">
      <c r="A14" s="275" t="s">
        <v>221</v>
      </c>
      <c r="B14" s="265"/>
      <c r="C14" s="265"/>
      <c r="D14" s="263" t="s">
        <v>199</v>
      </c>
      <c r="E14" s="263" t="s">
        <v>200</v>
      </c>
      <c r="F14" s="263" t="s">
        <v>201</v>
      </c>
    </row>
    <row r="15" spans="1:7">
      <c r="A15" s="5" t="s">
        <v>225</v>
      </c>
      <c r="B15" s="265">
        <v>1</v>
      </c>
      <c r="C15" s="265"/>
      <c r="D15" s="265">
        <f>SUMPRODUCT($B$2:$C$2,B15:C15)</f>
        <v>560</v>
      </c>
      <c r="E15" s="265" t="s">
        <v>206</v>
      </c>
      <c r="F15" s="265">
        <v>600</v>
      </c>
      <c r="G15" t="str">
        <f ca="1">_xlfn.FORMULATEXT(D15)</f>
        <v>=SUMAPRODUCTO($B$2:$C$2;B15:C15)</v>
      </c>
    </row>
    <row r="16" spans="1:7">
      <c r="A16" s="276" t="s">
        <v>226</v>
      </c>
      <c r="B16" s="265"/>
      <c r="C16" s="265">
        <v>1</v>
      </c>
      <c r="D16" s="265">
        <f>SUMPRODUCT($B$2:$C$2,B16:C16)</f>
        <v>1200</v>
      </c>
      <c r="E16" s="265" t="s">
        <v>206</v>
      </c>
      <c r="F16" s="265">
        <v>1200</v>
      </c>
      <c r="G16" s="65" t="str">
        <f ca="1">_xlfn.FORMULATEXT(D16)</f>
        <v>=SUMAPRODUCTO($B$2:$C$2;B16:C16)</v>
      </c>
    </row>
    <row r="17" spans="1:8">
      <c r="A17" s="5" t="s">
        <v>233</v>
      </c>
      <c r="B17" s="265">
        <v>5</v>
      </c>
      <c r="C17" s="265">
        <v>6</v>
      </c>
      <c r="D17" s="265">
        <f t="shared" ref="D17:D18" si="0">SUMPRODUCT($B$2:$C$2,B17:C17)</f>
        <v>10000</v>
      </c>
      <c r="E17" s="265" t="s">
        <v>206</v>
      </c>
      <c r="F17" s="265">
        <v>10000</v>
      </c>
    </row>
    <row r="18" spans="1:8">
      <c r="A18" s="5" t="s">
        <v>234</v>
      </c>
      <c r="B18" s="265">
        <v>1</v>
      </c>
      <c r="C18" s="265">
        <v>2</v>
      </c>
      <c r="D18" s="265">
        <f t="shared" si="0"/>
        <v>2960</v>
      </c>
      <c r="E18" s="265" t="s">
        <v>206</v>
      </c>
      <c r="F18" s="265">
        <v>3000</v>
      </c>
      <c r="H18" s="168"/>
    </row>
    <row r="19" spans="1:8">
      <c r="A19" s="42"/>
      <c r="B19" s="264"/>
      <c r="C19" s="264"/>
      <c r="D19" s="264"/>
      <c r="E19" s="264"/>
      <c r="F19" s="264"/>
    </row>
  </sheetData>
  <mergeCells count="1">
    <mergeCell ref="A11:C1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69" zoomScaleNormal="69" workbookViewId="0">
      <selection activeCell="A11" sqref="A11:I15"/>
    </sheetView>
  </sheetViews>
  <sheetFormatPr baseColWidth="10" defaultRowHeight="15"/>
  <cols>
    <col min="1" max="1" width="24.85546875" customWidth="1"/>
    <col min="2" max="2" width="16.7109375" customWidth="1"/>
    <col min="3" max="3" width="13.42578125" customWidth="1"/>
    <col min="4" max="4" width="14.7109375" customWidth="1"/>
    <col min="11" max="11" width="14" customWidth="1"/>
  </cols>
  <sheetData>
    <row r="1" spans="1:11" ht="36" customHeight="1">
      <c r="A1" s="65"/>
      <c r="B1" s="299" t="s">
        <v>239</v>
      </c>
      <c r="C1" s="302" t="s">
        <v>242</v>
      </c>
      <c r="D1" s="301" t="s">
        <v>244</v>
      </c>
      <c r="E1" s="303" t="s">
        <v>243</v>
      </c>
      <c r="F1" s="300" t="s">
        <v>245</v>
      </c>
      <c r="K1" s="12"/>
    </row>
    <row r="2" spans="1:11">
      <c r="A2" s="65" t="s">
        <v>192</v>
      </c>
      <c r="B2" s="269">
        <v>50000</v>
      </c>
      <c r="C2" s="269">
        <v>0</v>
      </c>
      <c r="D2" s="269">
        <v>0</v>
      </c>
      <c r="E2" s="269">
        <v>100000</v>
      </c>
      <c r="F2" s="269">
        <v>100000</v>
      </c>
      <c r="G2" s="279" t="s">
        <v>195</v>
      </c>
    </row>
    <row r="3" spans="1:11">
      <c r="B3" s="292">
        <v>5.2999999999999999E-2</v>
      </c>
      <c r="C3" s="292">
        <v>6.8000000000000005E-2</v>
      </c>
      <c r="D3" s="292">
        <v>4.9000000000000002E-2</v>
      </c>
      <c r="E3" s="292">
        <v>8.4000000000000005E-2</v>
      </c>
      <c r="F3" s="292">
        <v>0.11799999999999999</v>
      </c>
    </row>
    <row r="4" spans="1:11">
      <c r="B4" s="267"/>
      <c r="C4" s="267"/>
      <c r="D4" s="267"/>
    </row>
    <row r="5" spans="1:11">
      <c r="A5" s="65" t="s">
        <v>197</v>
      </c>
      <c r="B5" s="281">
        <f>SUMPRODUCT(B2:F2,B3:F3)</f>
        <v>22850</v>
      </c>
      <c r="C5" s="267"/>
      <c r="D5" s="293"/>
    </row>
    <row r="6" spans="1:11">
      <c r="A6" s="65"/>
      <c r="B6" s="281"/>
      <c r="C6" s="267"/>
      <c r="D6" s="267"/>
    </row>
    <row r="7" spans="1:11">
      <c r="A7" s="65"/>
      <c r="B7" s="267"/>
      <c r="C7" s="267"/>
      <c r="D7" s="267"/>
    </row>
    <row r="8" spans="1:11">
      <c r="A8" s="65"/>
      <c r="B8" s="284"/>
      <c r="C8" s="284"/>
      <c r="D8" s="284"/>
    </row>
    <row r="9" spans="1:11">
      <c r="A9" s="65"/>
      <c r="B9" s="284"/>
      <c r="C9" s="284"/>
      <c r="D9" s="284"/>
    </row>
    <row r="10" spans="1:11">
      <c r="A10" s="294"/>
      <c r="B10" s="295"/>
      <c r="C10" s="295"/>
      <c r="D10" s="296"/>
    </row>
    <row r="11" spans="1:11">
      <c r="A11" s="275" t="s">
        <v>246</v>
      </c>
      <c r="B11" s="278"/>
      <c r="C11" s="278"/>
      <c r="D11" s="5"/>
      <c r="E11" s="5"/>
      <c r="F11" s="5"/>
      <c r="G11" s="277" t="s">
        <v>199</v>
      </c>
      <c r="H11" s="277" t="s">
        <v>200</v>
      </c>
      <c r="I11" s="277" t="s">
        <v>201</v>
      </c>
    </row>
    <row r="12" spans="1:11" s="65" customFormat="1">
      <c r="A12" s="297" t="s">
        <v>247</v>
      </c>
      <c r="B12" s="298">
        <v>1</v>
      </c>
      <c r="C12" s="298">
        <v>1</v>
      </c>
      <c r="D12" s="298">
        <v>1</v>
      </c>
      <c r="E12" s="298">
        <v>1</v>
      </c>
      <c r="F12" s="298">
        <v>1</v>
      </c>
      <c r="G12" s="298">
        <f>SUMPRODUCT($B$2:$F$2,B12:F12)</f>
        <v>250000</v>
      </c>
      <c r="H12" s="298" t="s">
        <v>206</v>
      </c>
      <c r="I12" s="298">
        <v>250000</v>
      </c>
    </row>
    <row r="13" spans="1:11">
      <c r="A13" s="5" t="s">
        <v>239</v>
      </c>
      <c r="B13" s="278">
        <v>1</v>
      </c>
      <c r="C13" s="278"/>
      <c r="D13" s="278"/>
      <c r="E13" s="278"/>
      <c r="F13" s="278"/>
      <c r="G13" s="298">
        <f>SUMPRODUCT($B$2:$F$2,B13:F13)</f>
        <v>50000</v>
      </c>
      <c r="H13" s="278" t="s">
        <v>204</v>
      </c>
      <c r="I13" s="278">
        <f>250000*0.2</f>
        <v>50000</v>
      </c>
    </row>
    <row r="14" spans="1:11">
      <c r="A14" s="276" t="s">
        <v>240</v>
      </c>
      <c r="B14" s="278"/>
      <c r="C14" s="278">
        <v>1</v>
      </c>
      <c r="D14" s="278">
        <v>1</v>
      </c>
      <c r="E14" s="278">
        <v>1</v>
      </c>
      <c r="F14" s="278"/>
      <c r="G14" s="298">
        <f>SUMPRODUCT($B$2:$F$2,B14:F14)</f>
        <v>100000</v>
      </c>
      <c r="H14" s="278" t="s">
        <v>204</v>
      </c>
      <c r="I14" s="278">
        <f>0.4*250000</f>
        <v>100000</v>
      </c>
    </row>
    <row r="15" spans="1:11">
      <c r="A15" s="5" t="s">
        <v>241</v>
      </c>
      <c r="B15" s="278"/>
      <c r="C15" s="278"/>
      <c r="D15" s="278"/>
      <c r="E15" s="278"/>
      <c r="F15" s="278">
        <v>1</v>
      </c>
      <c r="G15" s="298">
        <f>SUMPRODUCT($B$2:$F$2,B15:F15)</f>
        <v>100000</v>
      </c>
      <c r="H15" s="278" t="s">
        <v>206</v>
      </c>
      <c r="I15" s="278">
        <f>250000/2</f>
        <v>125000</v>
      </c>
    </row>
    <row r="16" spans="1:11">
      <c r="A16" s="5"/>
      <c r="B16" s="278"/>
      <c r="C16" s="278"/>
      <c r="D16" s="278"/>
      <c r="E16" s="278"/>
      <c r="F16" s="278"/>
      <c r="G16" s="278"/>
      <c r="H16" s="278"/>
      <c r="I16" s="278"/>
    </row>
    <row r="21" spans="5:9">
      <c r="E21" s="65"/>
      <c r="I21" s="65"/>
    </row>
    <row r="24" spans="5:9">
      <c r="G24" s="65"/>
    </row>
    <row r="25" spans="5:9">
      <c r="H25" s="65"/>
      <c r="I25" s="65"/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zoomScale="82" zoomScaleNormal="82" workbookViewId="0">
      <selection activeCell="Q13" sqref="Q13"/>
    </sheetView>
  </sheetViews>
  <sheetFormatPr baseColWidth="10" defaultRowHeight="15"/>
  <cols>
    <col min="1" max="1" width="18.85546875" customWidth="1"/>
  </cols>
  <sheetData>
    <row r="1" spans="1:19">
      <c r="A1" s="65"/>
      <c r="B1" s="310" t="s">
        <v>249</v>
      </c>
      <c r="C1" s="310" t="s">
        <v>250</v>
      </c>
      <c r="D1" s="310" t="s">
        <v>251</v>
      </c>
      <c r="E1" s="311" t="s">
        <v>256</v>
      </c>
      <c r="F1" s="311" t="s">
        <v>252</v>
      </c>
      <c r="G1" s="311" t="s">
        <v>253</v>
      </c>
      <c r="H1" s="311" t="s">
        <v>257</v>
      </c>
      <c r="I1" s="311" t="s">
        <v>259</v>
      </c>
      <c r="J1" s="311" t="s">
        <v>254</v>
      </c>
      <c r="K1" s="311" t="s">
        <v>260</v>
      </c>
      <c r="L1" s="311" t="s">
        <v>261</v>
      </c>
      <c r="M1" s="311" t="s">
        <v>255</v>
      </c>
      <c r="N1" s="311" t="s">
        <v>258</v>
      </c>
      <c r="O1" s="311" t="s">
        <v>262</v>
      </c>
      <c r="P1" s="311" t="s">
        <v>263</v>
      </c>
    </row>
    <row r="2" spans="1:19">
      <c r="A2" s="65" t="s">
        <v>264</v>
      </c>
      <c r="B2" s="269">
        <v>400</v>
      </c>
      <c r="C2" s="269">
        <v>0</v>
      </c>
      <c r="D2" s="269">
        <v>300</v>
      </c>
      <c r="E2" s="269">
        <v>500</v>
      </c>
      <c r="F2" s="269">
        <v>0</v>
      </c>
      <c r="G2" s="269">
        <v>0</v>
      </c>
      <c r="H2" s="269">
        <v>100</v>
      </c>
      <c r="I2" s="269">
        <v>0</v>
      </c>
      <c r="J2" s="269">
        <v>0</v>
      </c>
      <c r="K2" s="269">
        <v>800</v>
      </c>
      <c r="L2" s="269">
        <v>0</v>
      </c>
      <c r="M2" s="269">
        <v>0</v>
      </c>
      <c r="N2" s="269">
        <v>400</v>
      </c>
      <c r="O2" s="269">
        <v>0</v>
      </c>
      <c r="P2" s="269">
        <v>0</v>
      </c>
      <c r="Q2" s="290" t="s">
        <v>195</v>
      </c>
    </row>
    <row r="3" spans="1:19">
      <c r="A3" s="65"/>
      <c r="B3" s="314">
        <v>5</v>
      </c>
      <c r="C3" s="314">
        <v>8</v>
      </c>
      <c r="D3" s="315">
        <v>6</v>
      </c>
      <c r="E3" s="316">
        <v>0</v>
      </c>
      <c r="F3" s="316">
        <v>4</v>
      </c>
      <c r="G3" s="316">
        <v>12</v>
      </c>
      <c r="H3" s="316">
        <v>0</v>
      </c>
      <c r="I3" s="316">
        <v>4</v>
      </c>
      <c r="J3" s="316">
        <v>7</v>
      </c>
      <c r="K3" s="316">
        <v>2</v>
      </c>
      <c r="L3" s="316">
        <v>7</v>
      </c>
      <c r="M3" s="316">
        <v>5</v>
      </c>
      <c r="N3" s="316">
        <v>0</v>
      </c>
      <c r="O3" s="316">
        <v>12</v>
      </c>
      <c r="P3" s="316">
        <v>7</v>
      </c>
    </row>
    <row r="4" spans="1:19">
      <c r="A4" s="65"/>
      <c r="B4" s="267"/>
      <c r="C4" s="65"/>
      <c r="D4" s="65"/>
      <c r="E4" s="65"/>
      <c r="F4" s="65"/>
      <c r="G4" s="65"/>
    </row>
    <row r="5" spans="1:19" ht="31.5" customHeight="1">
      <c r="A5" s="291"/>
      <c r="B5" s="281"/>
      <c r="C5" s="65"/>
      <c r="D5" s="65"/>
      <c r="E5" s="65"/>
      <c r="F5" s="65"/>
      <c r="G5" s="65"/>
    </row>
    <row r="6" spans="1:19">
      <c r="A6" s="65"/>
      <c r="B6" s="281"/>
      <c r="C6" s="65"/>
      <c r="D6" s="65"/>
      <c r="E6" s="65"/>
      <c r="F6" s="65"/>
      <c r="G6" s="65"/>
    </row>
    <row r="7" spans="1:19">
      <c r="B7" s="267"/>
      <c r="C7" s="65"/>
      <c r="D7" s="65"/>
      <c r="E7" s="65"/>
      <c r="F7" s="65"/>
      <c r="G7" s="65"/>
    </row>
    <row r="8" spans="1:19" ht="30">
      <c r="A8" s="291" t="s">
        <v>248</v>
      </c>
      <c r="B8" s="317">
        <f>SUMPRODUCT(B2:P2,B3:P3)</f>
        <v>5400</v>
      </c>
      <c r="C8" s="65"/>
      <c r="D8" s="65"/>
      <c r="E8" s="65"/>
      <c r="F8" s="65"/>
      <c r="G8" s="65"/>
    </row>
    <row r="9" spans="1:19">
      <c r="A9" s="65"/>
      <c r="B9" s="284"/>
      <c r="C9" s="65"/>
      <c r="D9" s="65"/>
      <c r="E9" s="65"/>
      <c r="F9" s="65"/>
      <c r="G9" s="65"/>
      <c r="H9" s="168"/>
    </row>
    <row r="10" spans="1:19">
      <c r="A10" s="294"/>
      <c r="B10" s="295"/>
      <c r="C10" s="65"/>
      <c r="D10" s="65"/>
      <c r="E10" s="65"/>
      <c r="F10" s="65"/>
      <c r="G10" s="65"/>
    </row>
    <row r="11" spans="1:19">
      <c r="B11" s="288"/>
      <c r="C11" s="42"/>
      <c r="D11" s="42"/>
    </row>
    <row r="12" spans="1:19">
      <c r="A12" s="312" t="s">
        <v>246</v>
      </c>
      <c r="B12" s="288"/>
      <c r="C12" s="288"/>
      <c r="D12" s="288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313" t="s">
        <v>199</v>
      </c>
      <c r="R12" s="313" t="s">
        <v>200</v>
      </c>
      <c r="S12" s="313" t="s">
        <v>201</v>
      </c>
    </row>
    <row r="13" spans="1:19">
      <c r="A13" s="287" t="s">
        <v>265</v>
      </c>
      <c r="B13" s="289">
        <v>1</v>
      </c>
      <c r="C13" s="289">
        <v>1</v>
      </c>
      <c r="D13" s="289">
        <v>1</v>
      </c>
      <c r="E13" s="289"/>
      <c r="F13" s="289"/>
      <c r="G13" s="289"/>
      <c r="H13" s="5"/>
      <c r="I13" s="5"/>
      <c r="J13" s="5"/>
      <c r="K13" s="5"/>
      <c r="L13" s="5"/>
      <c r="M13" s="5"/>
      <c r="N13" s="5"/>
      <c r="O13" s="5"/>
      <c r="P13" s="5"/>
      <c r="Q13" s="289">
        <f>SUMPRODUCT($B$2:$P$2,B13:P13)</f>
        <v>700</v>
      </c>
      <c r="R13" s="289" t="s">
        <v>87</v>
      </c>
      <c r="S13" s="289">
        <v>700</v>
      </c>
    </row>
    <row r="14" spans="1:19">
      <c r="A14" s="287" t="s">
        <v>266</v>
      </c>
      <c r="B14" s="289"/>
      <c r="C14" s="289"/>
      <c r="D14" s="289"/>
      <c r="E14" s="289">
        <v>1</v>
      </c>
      <c r="F14" s="289">
        <v>1</v>
      </c>
      <c r="G14" s="289">
        <v>1</v>
      </c>
      <c r="H14" s="5"/>
      <c r="I14" s="5"/>
      <c r="J14" s="5"/>
      <c r="K14" s="5"/>
      <c r="L14" s="5"/>
      <c r="M14" s="5"/>
      <c r="N14" s="5"/>
      <c r="O14" s="5"/>
      <c r="P14" s="5"/>
      <c r="Q14" s="289">
        <f t="shared" ref="Q14:Q20" si="0">SUMPRODUCT($B$2:$P$2,B14:P14)</f>
        <v>500</v>
      </c>
      <c r="R14" s="289" t="s">
        <v>87</v>
      </c>
      <c r="S14" s="289">
        <v>500</v>
      </c>
    </row>
    <row r="15" spans="1:19">
      <c r="A15" s="287" t="s">
        <v>267</v>
      </c>
      <c r="B15" s="289"/>
      <c r="C15" s="289"/>
      <c r="D15" s="289"/>
      <c r="E15" s="289"/>
      <c r="F15" s="289"/>
      <c r="G15" s="289"/>
      <c r="H15" s="5">
        <v>1</v>
      </c>
      <c r="I15" s="5">
        <v>1</v>
      </c>
      <c r="J15" s="5">
        <v>1</v>
      </c>
      <c r="K15" s="5"/>
      <c r="L15" s="5"/>
      <c r="M15" s="5"/>
      <c r="N15" s="5"/>
      <c r="O15" s="5"/>
      <c r="P15" s="5"/>
      <c r="Q15" s="289">
        <f t="shared" si="0"/>
        <v>100</v>
      </c>
      <c r="R15" s="289" t="s">
        <v>87</v>
      </c>
      <c r="S15" s="289">
        <v>100</v>
      </c>
    </row>
    <row r="16" spans="1:19">
      <c r="A16" s="287" t="s">
        <v>268</v>
      </c>
      <c r="B16" s="289"/>
      <c r="C16" s="289"/>
      <c r="D16" s="289"/>
      <c r="E16" s="289"/>
      <c r="F16" s="289"/>
      <c r="G16" s="289"/>
      <c r="H16" s="5"/>
      <c r="I16" s="5"/>
      <c r="J16" s="5"/>
      <c r="K16" s="5">
        <v>1</v>
      </c>
      <c r="L16" s="5">
        <v>1</v>
      </c>
      <c r="M16" s="5">
        <v>1</v>
      </c>
      <c r="N16" s="5"/>
      <c r="O16" s="5"/>
      <c r="P16" s="5"/>
      <c r="Q16" s="289">
        <f t="shared" si="0"/>
        <v>800</v>
      </c>
      <c r="R16" s="289" t="s">
        <v>87</v>
      </c>
      <c r="S16" s="289">
        <v>800</v>
      </c>
    </row>
    <row r="17" spans="1:19">
      <c r="A17" s="287" t="s">
        <v>269</v>
      </c>
      <c r="B17" s="289"/>
      <c r="C17" s="289"/>
      <c r="D17" s="289"/>
      <c r="E17" s="289"/>
      <c r="F17" s="289"/>
      <c r="G17" s="289"/>
      <c r="H17" s="5"/>
      <c r="I17" s="5"/>
      <c r="J17" s="5"/>
      <c r="K17" s="5"/>
      <c r="L17" s="5"/>
      <c r="M17" s="5"/>
      <c r="N17" s="5">
        <v>1</v>
      </c>
      <c r="O17" s="5">
        <v>1</v>
      </c>
      <c r="P17" s="5">
        <v>1</v>
      </c>
      <c r="Q17" s="289">
        <f t="shared" si="0"/>
        <v>400</v>
      </c>
      <c r="R17" s="289" t="s">
        <v>87</v>
      </c>
      <c r="S17" s="289">
        <v>400</v>
      </c>
    </row>
    <row r="18" spans="1:19">
      <c r="A18" s="5" t="s">
        <v>270</v>
      </c>
      <c r="B18" s="5">
        <v>1</v>
      </c>
      <c r="C18" s="5"/>
      <c r="D18" s="5"/>
      <c r="E18" s="5">
        <v>1</v>
      </c>
      <c r="F18" s="5"/>
      <c r="G18" s="5"/>
      <c r="H18" s="5"/>
      <c r="I18" s="5">
        <v>1</v>
      </c>
      <c r="J18" s="5"/>
      <c r="K18" s="5"/>
      <c r="L18" s="5">
        <v>1</v>
      </c>
      <c r="M18" s="5"/>
      <c r="N18" s="5"/>
      <c r="O18" s="5">
        <v>1</v>
      </c>
      <c r="P18" s="5"/>
      <c r="Q18" s="289">
        <f>SUMPRODUCT($B$2:$P$2,B18:P18)</f>
        <v>900</v>
      </c>
      <c r="R18" s="289" t="s">
        <v>206</v>
      </c>
      <c r="S18" s="289">
        <v>900</v>
      </c>
    </row>
    <row r="19" spans="1:19">
      <c r="A19" s="5" t="s">
        <v>271</v>
      </c>
      <c r="B19" s="5"/>
      <c r="C19" s="5">
        <v>1</v>
      </c>
      <c r="D19" s="5"/>
      <c r="E19" s="5"/>
      <c r="F19" s="5">
        <v>1</v>
      </c>
      <c r="G19" s="5"/>
      <c r="H19" s="5">
        <v>1</v>
      </c>
      <c r="I19" s="5"/>
      <c r="J19" s="5"/>
      <c r="K19" s="5">
        <v>1</v>
      </c>
      <c r="L19" s="5"/>
      <c r="M19" s="5"/>
      <c r="N19" s="5"/>
      <c r="O19" s="5"/>
      <c r="P19" s="5">
        <v>1</v>
      </c>
      <c r="Q19" s="289">
        <f t="shared" si="0"/>
        <v>900</v>
      </c>
      <c r="R19" s="289" t="s">
        <v>206</v>
      </c>
      <c r="S19" s="289">
        <v>900</v>
      </c>
    </row>
    <row r="20" spans="1:19">
      <c r="A20" s="5" t="s">
        <v>272</v>
      </c>
      <c r="B20" s="5"/>
      <c r="C20" s="5"/>
      <c r="D20" s="5">
        <v>1</v>
      </c>
      <c r="E20" s="5"/>
      <c r="F20" s="5"/>
      <c r="G20" s="5">
        <v>1</v>
      </c>
      <c r="H20" s="5"/>
      <c r="I20" s="5"/>
      <c r="J20" s="5">
        <v>1</v>
      </c>
      <c r="K20" s="5"/>
      <c r="L20" s="5"/>
      <c r="M20" s="5">
        <v>1</v>
      </c>
      <c r="N20" s="5">
        <v>1</v>
      </c>
      <c r="O20" s="5"/>
      <c r="P20" s="5"/>
      <c r="Q20" s="289">
        <f t="shared" si="0"/>
        <v>700</v>
      </c>
      <c r="R20" s="289" t="s">
        <v>206</v>
      </c>
      <c r="S20" s="289">
        <v>900</v>
      </c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6"/>
  <sheetViews>
    <sheetView workbookViewId="0">
      <selection activeCell="B5" sqref="B5"/>
    </sheetView>
  </sheetViews>
  <sheetFormatPr baseColWidth="10" defaultRowHeight="15"/>
  <cols>
    <col min="1" max="1" width="13.28515625" customWidth="1"/>
  </cols>
  <sheetData>
    <row r="2" spans="1:16" ht="30">
      <c r="A2" s="65"/>
      <c r="B2" s="310" t="s">
        <v>273</v>
      </c>
      <c r="C2" s="310" t="s">
        <v>274</v>
      </c>
      <c r="D2" s="310" t="s">
        <v>275</v>
      </c>
      <c r="E2" s="310" t="s">
        <v>276</v>
      </c>
      <c r="F2" s="310" t="s">
        <v>277</v>
      </c>
      <c r="G2" s="310" t="s">
        <v>278</v>
      </c>
      <c r="H2" s="310" t="s">
        <v>279</v>
      </c>
      <c r="I2" s="310" t="s">
        <v>280</v>
      </c>
      <c r="J2" s="310" t="s">
        <v>281</v>
      </c>
      <c r="K2" s="310" t="s">
        <v>282</v>
      </c>
    </row>
    <row r="3" spans="1:16">
      <c r="A3" s="65" t="s">
        <v>264</v>
      </c>
      <c r="B3" s="269">
        <v>10</v>
      </c>
      <c r="C3" s="269">
        <v>0</v>
      </c>
      <c r="D3" s="269">
        <v>10</v>
      </c>
      <c r="E3" s="269">
        <v>0</v>
      </c>
      <c r="F3" s="269">
        <v>0</v>
      </c>
      <c r="G3" s="269">
        <v>20</v>
      </c>
      <c r="H3" s="269">
        <v>15</v>
      </c>
      <c r="I3" s="269">
        <v>0</v>
      </c>
      <c r="J3" s="269">
        <v>10</v>
      </c>
      <c r="K3" s="269">
        <v>0</v>
      </c>
    </row>
    <row r="4" spans="1:16">
      <c r="A4" s="65"/>
      <c r="B4" s="314">
        <v>64000</v>
      </c>
      <c r="C4" s="314">
        <v>2000</v>
      </c>
      <c r="D4" s="314">
        <v>14000</v>
      </c>
      <c r="E4" s="314">
        <v>2000</v>
      </c>
      <c r="F4" s="314">
        <v>14000</v>
      </c>
      <c r="G4" s="314">
        <v>2000</v>
      </c>
      <c r="H4" s="314">
        <v>14000</v>
      </c>
      <c r="I4" s="314">
        <v>2000</v>
      </c>
      <c r="J4" s="314">
        <v>14000</v>
      </c>
      <c r="K4" s="314">
        <v>2000</v>
      </c>
    </row>
    <row r="7" spans="1:16" ht="45">
      <c r="A7" s="32" t="s">
        <v>283</v>
      </c>
      <c r="B7" s="320">
        <f>SUMPRODUCT(B3:K3,B4:K4)+50000</f>
        <v>1220000</v>
      </c>
      <c r="C7" t="str">
        <f ca="1">_xlfn.FORMULATEXT(B7)</f>
        <v>=SUMAPRODUCTO(B3:K3;B4:K4)+50000</v>
      </c>
      <c r="D7" s="65"/>
      <c r="K7" s="65"/>
    </row>
    <row r="8" spans="1:16">
      <c r="G8" s="168"/>
      <c r="K8" s="65"/>
    </row>
    <row r="9" spans="1:16">
      <c r="A9" s="312" t="s">
        <v>246</v>
      </c>
      <c r="B9" s="307"/>
      <c r="C9" s="307"/>
      <c r="D9" s="307"/>
      <c r="E9" s="42"/>
      <c r="F9" s="42"/>
      <c r="G9" s="42"/>
      <c r="H9" s="42"/>
      <c r="I9" s="42"/>
      <c r="J9" s="42"/>
      <c r="K9" s="42"/>
      <c r="L9" s="313" t="s">
        <v>199</v>
      </c>
      <c r="M9" s="313" t="s">
        <v>200</v>
      </c>
      <c r="N9" s="313" t="s">
        <v>201</v>
      </c>
      <c r="O9" s="42"/>
      <c r="P9" s="42"/>
    </row>
    <row r="10" spans="1:16">
      <c r="A10" s="306" t="s">
        <v>284</v>
      </c>
      <c r="B10" s="308">
        <v>1</v>
      </c>
      <c r="C10" s="308">
        <v>-1</v>
      </c>
      <c r="D10" s="308"/>
      <c r="E10" s="308"/>
      <c r="F10" s="308"/>
      <c r="G10" s="308"/>
      <c r="H10" s="5"/>
      <c r="I10" s="5"/>
      <c r="J10" s="5"/>
      <c r="K10" s="5"/>
      <c r="L10" s="308">
        <f>SUMPRODUCT($B$3:$K$3,B10:K10) +50</f>
        <v>60</v>
      </c>
      <c r="M10" s="308" t="s">
        <v>87</v>
      </c>
      <c r="N10" s="308">
        <v>60</v>
      </c>
      <c r="O10" s="42"/>
      <c r="P10" s="42"/>
    </row>
    <row r="11" spans="1:16">
      <c r="A11" s="306" t="s">
        <v>285</v>
      </c>
      <c r="B11" s="308"/>
      <c r="C11" s="308"/>
      <c r="D11" s="308">
        <v>1</v>
      </c>
      <c r="E11" s="308">
        <v>-1</v>
      </c>
      <c r="F11" s="308"/>
      <c r="G11" s="308"/>
      <c r="H11" s="5"/>
      <c r="I11" s="5"/>
      <c r="J11" s="5"/>
      <c r="K11" s="5"/>
      <c r="L11" s="308">
        <f>SUMPRODUCT($B$3:$K$3,B11:K11)+N10</f>
        <v>70</v>
      </c>
      <c r="M11" s="308" t="s">
        <v>87</v>
      </c>
      <c r="N11" s="308">
        <v>70</v>
      </c>
      <c r="O11" s="42"/>
      <c r="P11" s="42"/>
    </row>
    <row r="12" spans="1:16">
      <c r="A12" s="306" t="s">
        <v>286</v>
      </c>
      <c r="B12" s="308"/>
      <c r="C12" s="308"/>
      <c r="D12" s="308"/>
      <c r="E12" s="308"/>
      <c r="F12" s="308">
        <v>1</v>
      </c>
      <c r="G12" s="308">
        <v>-1</v>
      </c>
      <c r="H12" s="5"/>
      <c r="I12" s="5"/>
      <c r="J12" s="5"/>
      <c r="K12" s="5"/>
      <c r="L12" s="308">
        <f t="shared" ref="L12:L14" si="0">SUMPRODUCT($B$3:$K$3,B12:K12)+N11</f>
        <v>50</v>
      </c>
      <c r="M12" s="308" t="s">
        <v>87</v>
      </c>
      <c r="N12" s="308">
        <v>50</v>
      </c>
      <c r="O12" s="42"/>
      <c r="P12" s="42"/>
    </row>
    <row r="13" spans="1:16">
      <c r="A13" s="306" t="s">
        <v>287</v>
      </c>
      <c r="B13" s="308"/>
      <c r="C13" s="308"/>
      <c r="D13" s="308"/>
      <c r="E13" s="308"/>
      <c r="F13" s="308"/>
      <c r="G13" s="308"/>
      <c r="H13" s="5">
        <v>1</v>
      </c>
      <c r="I13" s="5">
        <v>-1</v>
      </c>
      <c r="J13" s="5"/>
      <c r="K13" s="5"/>
      <c r="L13" s="308">
        <f t="shared" si="0"/>
        <v>65</v>
      </c>
      <c r="M13" s="308" t="s">
        <v>87</v>
      </c>
      <c r="N13" s="308">
        <v>65</v>
      </c>
      <c r="O13" s="42"/>
      <c r="P13" s="42"/>
    </row>
    <row r="14" spans="1:16">
      <c r="A14" s="306" t="s">
        <v>288</v>
      </c>
      <c r="B14" s="5"/>
      <c r="C14" s="5"/>
      <c r="D14" s="5"/>
      <c r="E14" s="5"/>
      <c r="F14" s="5"/>
      <c r="G14" s="5"/>
      <c r="H14" s="5"/>
      <c r="I14" s="5"/>
      <c r="J14" s="5">
        <v>1</v>
      </c>
      <c r="K14" s="5">
        <v>-1</v>
      </c>
      <c r="L14" s="308">
        <f t="shared" si="0"/>
        <v>75</v>
      </c>
      <c r="M14" s="308" t="s">
        <v>87</v>
      </c>
      <c r="N14" s="308">
        <v>75</v>
      </c>
    </row>
    <row r="15" spans="1:16">
      <c r="A15" s="321"/>
      <c r="B15" s="307"/>
      <c r="C15" s="307"/>
      <c r="D15" s="307"/>
      <c r="E15" s="307"/>
      <c r="F15" s="307"/>
      <c r="G15" s="307"/>
      <c r="H15" s="307"/>
      <c r="I15" s="307"/>
      <c r="J15" s="307"/>
      <c r="K15" s="307"/>
      <c r="L15" s="42"/>
      <c r="M15" s="295"/>
      <c r="N15" s="295"/>
    </row>
    <row r="16" spans="1:16">
      <c r="A16" s="321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295"/>
      <c r="N16" s="295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F17"/>
  <sheetViews>
    <sheetView topLeftCell="A4" workbookViewId="0">
      <selection activeCell="B16" sqref="B16"/>
    </sheetView>
  </sheetViews>
  <sheetFormatPr baseColWidth="10" defaultRowHeight="15"/>
  <cols>
    <col min="1" max="1" width="18.5703125" customWidth="1"/>
    <col min="3" max="3" width="12.42578125" customWidth="1"/>
  </cols>
  <sheetData>
    <row r="8" spans="1:6" ht="30">
      <c r="A8" s="65"/>
      <c r="B8" s="299" t="s">
        <v>289</v>
      </c>
      <c r="C8" s="302" t="s">
        <v>290</v>
      </c>
    </row>
    <row r="9" spans="1:6">
      <c r="A9" s="65" t="s">
        <v>192</v>
      </c>
      <c r="B9" s="269">
        <v>4</v>
      </c>
      <c r="C9" s="269">
        <v>12</v>
      </c>
    </row>
    <row r="10" spans="1:6">
      <c r="A10" s="65"/>
      <c r="B10" s="314">
        <v>20</v>
      </c>
      <c r="C10" s="314">
        <v>10</v>
      </c>
    </row>
    <row r="11" spans="1:6">
      <c r="A11" s="65"/>
      <c r="B11" s="267"/>
      <c r="C11" s="267"/>
    </row>
    <row r="12" spans="1:6" ht="30">
      <c r="A12" s="32" t="s">
        <v>291</v>
      </c>
      <c r="B12" s="281">
        <f>SUMPRODUCT(B9:C9,B10:C10)</f>
        <v>200</v>
      </c>
      <c r="C12" s="267"/>
    </row>
    <row r="13" spans="1:6">
      <c r="A13" s="65"/>
      <c r="B13" s="281"/>
      <c r="C13" s="267"/>
    </row>
    <row r="14" spans="1:6">
      <c r="A14" s="275" t="s">
        <v>246</v>
      </c>
      <c r="B14" s="308"/>
      <c r="C14" s="308"/>
      <c r="D14" s="305" t="s">
        <v>199</v>
      </c>
      <c r="E14" s="305" t="s">
        <v>200</v>
      </c>
      <c r="F14" s="305" t="s">
        <v>201</v>
      </c>
    </row>
    <row r="15" spans="1:6" ht="30">
      <c r="A15" s="34" t="s">
        <v>292</v>
      </c>
      <c r="B15" s="308">
        <v>1.5</v>
      </c>
      <c r="C15" s="308">
        <v>3</v>
      </c>
      <c r="D15" s="323">
        <f t="shared" ref="D15:D16" si="0">SUMPRODUCT($B$9:$C$9,B15:C15)</f>
        <v>42</v>
      </c>
      <c r="E15" s="308" t="s">
        <v>206</v>
      </c>
      <c r="F15" s="308">
        <v>42</v>
      </c>
    </row>
    <row r="16" spans="1:6" ht="30">
      <c r="A16" s="322" t="s">
        <v>293</v>
      </c>
      <c r="B16" s="308">
        <v>3</v>
      </c>
      <c r="C16" s="93">
        <v>1</v>
      </c>
      <c r="D16" s="298">
        <f t="shared" si="0"/>
        <v>24</v>
      </c>
      <c r="E16" s="325" t="s">
        <v>206</v>
      </c>
      <c r="F16" s="308">
        <v>24</v>
      </c>
    </row>
    <row r="17" spans="4:4">
      <c r="D17" s="32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44" zoomScaleNormal="44" workbookViewId="0">
      <selection activeCell="P39" sqref="P39"/>
    </sheetView>
  </sheetViews>
  <sheetFormatPr baseColWidth="10" defaultRowHeight="15"/>
  <sheetData>
    <row r="2" spans="1:7" ht="38.25" customHeight="1">
      <c r="A2" s="439" t="s">
        <v>181</v>
      </c>
      <c r="B2" s="439"/>
      <c r="C2" s="439"/>
      <c r="D2" s="439"/>
      <c r="E2" s="439"/>
      <c r="F2" s="439"/>
      <c r="G2" s="170"/>
    </row>
    <row r="3" spans="1:7" ht="15" customHeight="1">
      <c r="A3" s="440" t="s">
        <v>38</v>
      </c>
      <c r="B3" s="440"/>
      <c r="C3" s="440"/>
      <c r="D3" s="440"/>
      <c r="E3" s="440"/>
      <c r="F3" s="440"/>
      <c r="G3" s="440"/>
    </row>
    <row r="4" spans="1:7">
      <c r="A4" s="440"/>
      <c r="B4" s="440"/>
      <c r="C4" s="440"/>
      <c r="D4" s="440"/>
      <c r="E4" s="440"/>
      <c r="F4" s="440"/>
      <c r="G4" s="440"/>
    </row>
    <row r="6" spans="1:7">
      <c r="A6" s="65" t="s">
        <v>84</v>
      </c>
      <c r="B6" s="65"/>
      <c r="C6" s="65"/>
      <c r="D6" s="65"/>
    </row>
    <row r="7" spans="1:7" ht="15.75" thickBot="1">
      <c r="A7" s="65" t="s">
        <v>85</v>
      </c>
      <c r="B7" s="65"/>
      <c r="C7" s="65"/>
      <c r="D7" s="65"/>
    </row>
    <row r="8" spans="1:7" ht="15.75" thickBot="1">
      <c r="A8" s="131">
        <f>1000/POWER(1+0.05,3)</f>
        <v>863.83759853147603</v>
      </c>
      <c r="B8" s="132" t="str">
        <f ca="1">_xlfn.FORMULATEXT(A8)</f>
        <v>=1000/POTENCIA(1+0,05;3)</v>
      </c>
      <c r="C8" s="133"/>
      <c r="D8" s="65"/>
    </row>
    <row r="9" spans="1:7" ht="15" customHeight="1">
      <c r="A9" s="438" t="s">
        <v>86</v>
      </c>
      <c r="B9" s="438"/>
      <c r="C9" s="438"/>
      <c r="D9" s="438"/>
      <c r="E9" s="438"/>
      <c r="F9" s="438"/>
    </row>
    <row r="10" spans="1:7">
      <c r="A10" s="438"/>
      <c r="B10" s="438"/>
      <c r="C10" s="438"/>
      <c r="D10" s="438"/>
      <c r="E10" s="438"/>
      <c r="F10" s="438"/>
    </row>
    <row r="18" spans="1:14">
      <c r="N18" s="65" t="s">
        <v>96</v>
      </c>
    </row>
    <row r="19" spans="1:14" ht="15.75" thickBot="1">
      <c r="N19" s="65" t="s">
        <v>97</v>
      </c>
    </row>
    <row r="20" spans="1:14" ht="15.75" thickBot="1">
      <c r="A20" s="441" t="s">
        <v>89</v>
      </c>
      <c r="B20" s="442"/>
      <c r="C20" s="443"/>
      <c r="D20" s="106"/>
      <c r="E20" s="106"/>
      <c r="F20" s="106"/>
      <c r="G20" s="106"/>
      <c r="H20" s="106"/>
      <c r="I20" s="106"/>
      <c r="J20" s="106"/>
      <c r="K20" s="106"/>
      <c r="L20" s="107"/>
      <c r="N20" s="65" t="s">
        <v>98</v>
      </c>
    </row>
    <row r="21" spans="1:14">
      <c r="A21" s="135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6"/>
      <c r="N21" s="65" t="s">
        <v>99</v>
      </c>
    </row>
    <row r="22" spans="1:14">
      <c r="A22" s="135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6"/>
    </row>
    <row r="23" spans="1:14">
      <c r="A23" s="135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6"/>
    </row>
    <row r="24" spans="1:14" ht="92.25">
      <c r="A24" s="135"/>
      <c r="B24" s="42"/>
      <c r="C24" s="136"/>
      <c r="D24" s="136" t="s">
        <v>87</v>
      </c>
      <c r="E24" s="42"/>
      <c r="F24" s="42"/>
      <c r="G24" s="42"/>
      <c r="H24" s="42"/>
      <c r="I24" s="42"/>
      <c r="J24" s="42"/>
      <c r="K24" s="42"/>
      <c r="L24" s="46"/>
    </row>
    <row r="25" spans="1:14">
      <c r="A25" s="135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6"/>
    </row>
    <row r="26" spans="1:14">
      <c r="A26" s="135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6"/>
    </row>
    <row r="27" spans="1:14">
      <c r="A27" s="135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6"/>
    </row>
    <row r="28" spans="1:14">
      <c r="A28" s="135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6"/>
    </row>
    <row r="29" spans="1:14">
      <c r="A29" s="135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6"/>
    </row>
    <row r="30" spans="1:14">
      <c r="A30" s="135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6"/>
    </row>
    <row r="31" spans="1:14">
      <c r="A31" s="135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6"/>
    </row>
    <row r="32" spans="1:14">
      <c r="A32" s="135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6"/>
    </row>
    <row r="33" spans="1:12">
      <c r="A33" s="135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6"/>
    </row>
    <row r="34" spans="1:12">
      <c r="A34" s="135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6"/>
    </row>
    <row r="35" spans="1:12">
      <c r="A35" s="135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6"/>
    </row>
    <row r="36" spans="1:12">
      <c r="A36" s="135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6"/>
    </row>
    <row r="37" spans="1:12">
      <c r="A37" s="135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6"/>
    </row>
    <row r="38" spans="1:12" ht="15.75" thickBot="1">
      <c r="A38" s="135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6"/>
    </row>
    <row r="39" spans="1:12" ht="21.75" thickBot="1">
      <c r="A39" s="135"/>
      <c r="B39" s="42"/>
      <c r="C39" s="42"/>
      <c r="D39" s="42"/>
      <c r="E39" s="42"/>
      <c r="F39" s="42"/>
      <c r="G39" s="435" t="s">
        <v>88</v>
      </c>
      <c r="H39" s="436"/>
      <c r="I39" s="436"/>
      <c r="J39" s="437"/>
      <c r="K39" s="42"/>
      <c r="L39" s="46"/>
    </row>
    <row r="40" spans="1:12">
      <c r="A40" s="135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6"/>
    </row>
    <row r="41" spans="1:12" ht="15.75" thickBot="1">
      <c r="A41" s="137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9"/>
    </row>
    <row r="45" spans="1:12" ht="18.75">
      <c r="A45" s="434" t="s">
        <v>182</v>
      </c>
      <c r="B45" s="434"/>
      <c r="C45" s="434"/>
      <c r="D45" s="434"/>
      <c r="E45" s="434"/>
    </row>
  </sheetData>
  <mergeCells count="6">
    <mergeCell ref="A45:E45"/>
    <mergeCell ref="G39:J39"/>
    <mergeCell ref="A9:F10"/>
    <mergeCell ref="A2:F2"/>
    <mergeCell ref="A3:G4"/>
    <mergeCell ref="A20:C20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="64" zoomScaleNormal="64" workbookViewId="0">
      <selection activeCell="A10" sqref="A10:F16"/>
    </sheetView>
  </sheetViews>
  <sheetFormatPr baseColWidth="10" defaultRowHeight="15"/>
  <cols>
    <col min="2" max="2" width="14.85546875" bestFit="1" customWidth="1"/>
    <col min="3" max="3" width="15.5703125" bestFit="1" customWidth="1"/>
    <col min="4" max="4" width="15.85546875" bestFit="1" customWidth="1"/>
    <col min="5" max="5" width="15.28515625" bestFit="1" customWidth="1"/>
    <col min="6" max="6" width="14" customWidth="1"/>
    <col min="7" max="7" width="16" customWidth="1"/>
    <col min="8" max="8" width="13" customWidth="1"/>
    <col min="11" max="11" width="16.42578125" customWidth="1"/>
  </cols>
  <sheetData>
    <row r="1" spans="1:12" s="105" customFormat="1" ht="25.5" customHeight="1" thickBot="1">
      <c r="A1" s="494" t="s">
        <v>320</v>
      </c>
      <c r="B1" s="495"/>
      <c r="H1" s="105" t="s">
        <v>334</v>
      </c>
    </row>
    <row r="2" spans="1:12" ht="15.75" thickBot="1">
      <c r="C2" s="498" t="s">
        <v>348</v>
      </c>
      <c r="D2" s="499"/>
      <c r="E2" s="499"/>
      <c r="H2" s="85" t="s">
        <v>335</v>
      </c>
    </row>
    <row r="3" spans="1:12" ht="32.25" customHeight="1" thickBot="1">
      <c r="A3" s="356" t="s">
        <v>345</v>
      </c>
      <c r="B3" s="74"/>
      <c r="C3" s="318" t="s">
        <v>322</v>
      </c>
      <c r="D3" s="318" t="s">
        <v>347</v>
      </c>
      <c r="E3" s="318" t="s">
        <v>323</v>
      </c>
      <c r="F3" s="353" t="s">
        <v>350</v>
      </c>
      <c r="G3" s="42"/>
    </row>
    <row r="4" spans="1:12">
      <c r="A4" s="500" t="s">
        <v>349</v>
      </c>
      <c r="B4" s="5" t="s">
        <v>346</v>
      </c>
      <c r="C4" s="318">
        <v>5</v>
      </c>
      <c r="D4" s="318">
        <v>4</v>
      </c>
      <c r="E4" s="318">
        <v>3</v>
      </c>
      <c r="F4" s="352">
        <v>100</v>
      </c>
      <c r="H4" s="85" t="s">
        <v>321</v>
      </c>
    </row>
    <row r="5" spans="1:12">
      <c r="A5" s="501"/>
      <c r="B5" s="5" t="s">
        <v>329</v>
      </c>
      <c r="C5" s="318">
        <v>8</v>
      </c>
      <c r="D5" s="318">
        <v>4</v>
      </c>
      <c r="E5" s="318">
        <v>3</v>
      </c>
      <c r="F5" s="352">
        <v>300</v>
      </c>
      <c r="H5" s="489" t="s">
        <v>327</v>
      </c>
      <c r="I5" s="489"/>
      <c r="J5" t="s">
        <v>324</v>
      </c>
      <c r="K5" s="12">
        <v>5</v>
      </c>
      <c r="L5" t="s">
        <v>328</v>
      </c>
    </row>
    <row r="6" spans="1:12">
      <c r="A6" s="501"/>
      <c r="B6" s="5" t="s">
        <v>331</v>
      </c>
      <c r="C6" s="318">
        <v>9</v>
      </c>
      <c r="D6" s="318">
        <v>7</v>
      </c>
      <c r="E6" s="318">
        <v>5</v>
      </c>
      <c r="F6" s="352">
        <v>300</v>
      </c>
      <c r="J6" t="s">
        <v>325</v>
      </c>
      <c r="K6" s="12">
        <v>4</v>
      </c>
      <c r="L6" s="65" t="s">
        <v>328</v>
      </c>
    </row>
    <row r="7" spans="1:12">
      <c r="B7" s="354" t="s">
        <v>351</v>
      </c>
      <c r="C7" s="352">
        <v>300</v>
      </c>
      <c r="D7" s="352">
        <v>200</v>
      </c>
      <c r="E7" s="352">
        <v>200</v>
      </c>
      <c r="J7" t="s">
        <v>326</v>
      </c>
      <c r="K7" s="12">
        <v>3</v>
      </c>
      <c r="L7" s="65" t="s">
        <v>328</v>
      </c>
    </row>
    <row r="9" spans="1:12">
      <c r="H9" s="489" t="s">
        <v>330</v>
      </c>
      <c r="I9" s="489"/>
      <c r="J9" s="65" t="s">
        <v>324</v>
      </c>
      <c r="K9" s="12">
        <v>8</v>
      </c>
      <c r="L9" s="65" t="s">
        <v>328</v>
      </c>
    </row>
    <row r="10" spans="1:12" ht="15.75" thickBot="1">
      <c r="A10" s="65"/>
      <c r="B10" s="65"/>
      <c r="C10" s="498" t="s">
        <v>348</v>
      </c>
      <c r="D10" s="499"/>
      <c r="E10" s="499"/>
      <c r="F10" s="65"/>
      <c r="J10" s="65" t="s">
        <v>325</v>
      </c>
      <c r="K10" s="12">
        <v>4</v>
      </c>
      <c r="L10" s="65" t="s">
        <v>328</v>
      </c>
    </row>
    <row r="11" spans="1:12" ht="30.75" thickBot="1">
      <c r="A11" s="355" t="s">
        <v>352</v>
      </c>
      <c r="B11" s="74"/>
      <c r="C11" s="318" t="s">
        <v>322</v>
      </c>
      <c r="D11" s="318" t="s">
        <v>347</v>
      </c>
      <c r="E11" s="318" t="s">
        <v>323</v>
      </c>
      <c r="F11" s="353" t="s">
        <v>350</v>
      </c>
      <c r="J11" s="65" t="s">
        <v>326</v>
      </c>
      <c r="K11" s="12">
        <v>3</v>
      </c>
      <c r="L11" s="65" t="s">
        <v>328</v>
      </c>
    </row>
    <row r="12" spans="1:12">
      <c r="A12" s="500" t="s">
        <v>349</v>
      </c>
      <c r="B12" s="5" t="s">
        <v>346</v>
      </c>
      <c r="C12" s="357">
        <v>100</v>
      </c>
      <c r="D12" s="357">
        <v>0</v>
      </c>
      <c r="E12" s="357">
        <v>0</v>
      </c>
      <c r="F12" s="352">
        <f>SUM(C12:E12)</f>
        <v>100</v>
      </c>
      <c r="G12" t="str">
        <f ca="1">_xlfn.FORMULATEXT(F12)</f>
        <v>=SUMA(C12:E12)</v>
      </c>
    </row>
    <row r="13" spans="1:12">
      <c r="A13" s="501"/>
      <c r="B13" s="5" t="s">
        <v>329</v>
      </c>
      <c r="C13" s="357">
        <v>0</v>
      </c>
      <c r="D13" s="357">
        <v>200</v>
      </c>
      <c r="E13" s="357">
        <v>100</v>
      </c>
      <c r="F13" s="352">
        <f t="shared" ref="F13:F14" si="0">SUM(C13:E13)</f>
        <v>300</v>
      </c>
      <c r="G13" s="65" t="str">
        <f t="shared" ref="G13:G14" ca="1" si="1">_xlfn.FORMULATEXT(F13)</f>
        <v>=SUMA(C13:E13)</v>
      </c>
      <c r="H13" s="489" t="s">
        <v>332</v>
      </c>
      <c r="I13" s="489"/>
      <c r="J13" s="65" t="s">
        <v>324</v>
      </c>
      <c r="K13" s="12">
        <v>9</v>
      </c>
      <c r="L13" s="65" t="s">
        <v>328</v>
      </c>
    </row>
    <row r="14" spans="1:12">
      <c r="A14" s="501"/>
      <c r="B14" s="5" t="s">
        <v>331</v>
      </c>
      <c r="C14" s="357">
        <v>200</v>
      </c>
      <c r="D14" s="357">
        <v>0</v>
      </c>
      <c r="E14" s="357">
        <v>100</v>
      </c>
      <c r="F14" s="352">
        <f t="shared" si="0"/>
        <v>300</v>
      </c>
      <c r="G14" s="65" t="str">
        <f t="shared" ca="1" si="1"/>
        <v>=SUMA(C14:E14)</v>
      </c>
      <c r="J14" s="65" t="s">
        <v>325</v>
      </c>
      <c r="K14" s="12">
        <v>7</v>
      </c>
      <c r="L14" s="65" t="s">
        <v>328</v>
      </c>
    </row>
    <row r="15" spans="1:12">
      <c r="A15" s="65"/>
      <c r="B15" s="354" t="s">
        <v>351</v>
      </c>
      <c r="C15" s="352">
        <f>SUM(C12:C14)</f>
        <v>300</v>
      </c>
      <c r="D15" s="352">
        <f t="shared" ref="D15:E15" si="2">SUM(D12:D14)</f>
        <v>200</v>
      </c>
      <c r="E15" s="352">
        <f t="shared" si="2"/>
        <v>200</v>
      </c>
      <c r="F15" s="65"/>
      <c r="J15" s="65" t="s">
        <v>326</v>
      </c>
      <c r="K15" s="12">
        <v>5</v>
      </c>
      <c r="L15" s="65" t="s">
        <v>328</v>
      </c>
    </row>
    <row r="16" spans="1:12">
      <c r="C16" t="str">
        <f ca="1">_xlfn.FORMULATEXT(C15)</f>
        <v>=SUMA(C12:C14)</v>
      </c>
      <c r="D16" s="65" t="str">
        <f t="shared" ref="D16:E16" ca="1" si="3">_xlfn.FORMULATEXT(D15)</f>
        <v>=SUMA(D12:D14)</v>
      </c>
      <c r="E16" s="65" t="str">
        <f t="shared" ca="1" si="3"/>
        <v>=SUMA(E12:E14)</v>
      </c>
    </row>
    <row r="17" spans="1:13">
      <c r="H17" s="496" t="s">
        <v>333</v>
      </c>
      <c r="I17" s="496"/>
      <c r="K17" s="65"/>
    </row>
    <row r="18" spans="1:13" ht="27.75" customHeight="1">
      <c r="H18" s="350" t="s">
        <v>336</v>
      </c>
      <c r="K18" s="497" t="s">
        <v>344</v>
      </c>
      <c r="L18" s="497"/>
      <c r="M18" s="65"/>
    </row>
    <row r="19" spans="1:13">
      <c r="A19" s="358" t="s">
        <v>353</v>
      </c>
      <c r="B19" s="358"/>
      <c r="C19" s="358"/>
      <c r="D19" s="358"/>
      <c r="E19" s="358"/>
      <c r="F19" s="358"/>
      <c r="H19" s="490" t="s">
        <v>340</v>
      </c>
      <c r="I19" s="105" t="s">
        <v>337</v>
      </c>
      <c r="J19" s="319">
        <v>100</v>
      </c>
      <c r="K19" s="85" t="s">
        <v>341</v>
      </c>
      <c r="L19" s="319">
        <v>300</v>
      </c>
    </row>
    <row r="20" spans="1:13">
      <c r="H20" s="490"/>
      <c r="I20" s="105" t="s">
        <v>338</v>
      </c>
      <c r="J20" s="319">
        <v>300</v>
      </c>
      <c r="K20" s="85" t="s">
        <v>342</v>
      </c>
      <c r="L20" s="319">
        <v>300</v>
      </c>
    </row>
    <row r="21" spans="1:13">
      <c r="A21" s="502" t="s">
        <v>354</v>
      </c>
      <c r="B21" s="502"/>
      <c r="H21" s="490"/>
      <c r="I21" s="105" t="s">
        <v>339</v>
      </c>
      <c r="J21" s="319">
        <v>300</v>
      </c>
      <c r="K21" s="85" t="s">
        <v>343</v>
      </c>
      <c r="L21" s="319">
        <v>200</v>
      </c>
    </row>
    <row r="22" spans="1:13">
      <c r="A22" s="349" t="s">
        <v>355</v>
      </c>
      <c r="B22" s="359">
        <f>SUMPRODUCT(C4:E6,C12:E14)</f>
        <v>3900</v>
      </c>
    </row>
  </sheetData>
  <mergeCells count="12">
    <mergeCell ref="H19:H21"/>
    <mergeCell ref="K18:L18"/>
    <mergeCell ref="C2:E2"/>
    <mergeCell ref="A4:A6"/>
    <mergeCell ref="C10:E10"/>
    <mergeCell ref="A12:A14"/>
    <mergeCell ref="A21:B21"/>
    <mergeCell ref="A1:B1"/>
    <mergeCell ref="H5:I5"/>
    <mergeCell ref="H9:I9"/>
    <mergeCell ref="H13:I13"/>
    <mergeCell ref="H17:I1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E4" sqref="E4"/>
    </sheetView>
  </sheetViews>
  <sheetFormatPr baseColWidth="10" defaultRowHeight="15"/>
  <cols>
    <col min="1" max="1" width="16.28515625" customWidth="1"/>
    <col min="2" max="2" width="19.5703125" customWidth="1"/>
  </cols>
  <sheetData>
    <row r="1" spans="1:14" ht="15.75" thickBot="1">
      <c r="A1" s="343" t="s">
        <v>356</v>
      </c>
      <c r="B1" s="104"/>
      <c r="C1" s="365"/>
      <c r="D1" s="366"/>
      <c r="J1" s="105" t="s">
        <v>334</v>
      </c>
    </row>
    <row r="2" spans="1:14">
      <c r="J2" s="85" t="s">
        <v>335</v>
      </c>
    </row>
    <row r="3" spans="1:14" ht="26.25" customHeight="1">
      <c r="A3" s="344" t="s">
        <v>361</v>
      </c>
      <c r="B3" s="344" t="s">
        <v>360</v>
      </c>
      <c r="C3" s="344" t="s">
        <v>359</v>
      </c>
      <c r="D3" s="367" t="s">
        <v>362</v>
      </c>
    </row>
    <row r="4" spans="1:14">
      <c r="A4" s="5" t="s">
        <v>357</v>
      </c>
      <c r="B4" s="5" t="s">
        <v>324</v>
      </c>
      <c r="C4" s="347">
        <v>5</v>
      </c>
      <c r="D4" s="368">
        <v>0</v>
      </c>
      <c r="J4" s="85" t="s">
        <v>321</v>
      </c>
      <c r="K4" s="65"/>
      <c r="L4" s="65"/>
      <c r="M4" s="65"/>
      <c r="N4" s="65"/>
    </row>
    <row r="5" spans="1:14">
      <c r="A5" s="5" t="s">
        <v>357</v>
      </c>
      <c r="B5" s="5" t="s">
        <v>325</v>
      </c>
      <c r="C5" s="347">
        <v>4</v>
      </c>
      <c r="D5" s="368">
        <v>0</v>
      </c>
      <c r="J5" s="489" t="s">
        <v>327</v>
      </c>
      <c r="K5" s="489"/>
      <c r="L5" s="65" t="s">
        <v>324</v>
      </c>
      <c r="M5" s="12">
        <v>5</v>
      </c>
      <c r="N5" s="65" t="s">
        <v>328</v>
      </c>
    </row>
    <row r="6" spans="1:14">
      <c r="A6" s="5" t="s">
        <v>357</v>
      </c>
      <c r="B6" s="5" t="s">
        <v>326</v>
      </c>
      <c r="C6" s="347">
        <v>3</v>
      </c>
      <c r="D6" s="368">
        <v>100</v>
      </c>
      <c r="J6" s="65"/>
      <c r="K6" s="65"/>
      <c r="L6" s="65" t="s">
        <v>325</v>
      </c>
      <c r="M6" s="12">
        <v>4</v>
      </c>
      <c r="N6" s="65" t="s">
        <v>328</v>
      </c>
    </row>
    <row r="7" spans="1:14">
      <c r="A7" s="5" t="s">
        <v>358</v>
      </c>
      <c r="B7" s="5" t="s">
        <v>324</v>
      </c>
      <c r="C7" s="347">
        <v>8</v>
      </c>
      <c r="D7" s="368">
        <v>0</v>
      </c>
      <c r="J7" s="65"/>
      <c r="K7" s="65"/>
      <c r="L7" s="65" t="s">
        <v>326</v>
      </c>
      <c r="M7" s="12">
        <v>3</v>
      </c>
      <c r="N7" s="65" t="s">
        <v>328</v>
      </c>
    </row>
    <row r="8" spans="1:14">
      <c r="A8" s="5" t="s">
        <v>358</v>
      </c>
      <c r="B8" s="5" t="s">
        <v>325</v>
      </c>
      <c r="C8" s="347">
        <v>4</v>
      </c>
      <c r="D8" s="368">
        <v>300</v>
      </c>
      <c r="J8" s="65"/>
      <c r="K8" s="65"/>
      <c r="L8" s="65"/>
      <c r="M8" s="65"/>
      <c r="N8" s="65"/>
    </row>
    <row r="9" spans="1:14">
      <c r="A9" s="5" t="s">
        <v>358</v>
      </c>
      <c r="B9" s="5" t="s">
        <v>326</v>
      </c>
      <c r="C9" s="347">
        <v>3</v>
      </c>
      <c r="D9" s="368">
        <v>0</v>
      </c>
      <c r="J9" s="489" t="s">
        <v>330</v>
      </c>
      <c r="K9" s="489"/>
      <c r="L9" s="65" t="s">
        <v>324</v>
      </c>
      <c r="M9" s="12">
        <v>8</v>
      </c>
      <c r="N9" s="65" t="s">
        <v>328</v>
      </c>
    </row>
    <row r="10" spans="1:14">
      <c r="A10" s="5" t="s">
        <v>331</v>
      </c>
      <c r="B10" s="5" t="s">
        <v>324</v>
      </c>
      <c r="C10" s="347">
        <v>9</v>
      </c>
      <c r="D10" s="368">
        <v>300</v>
      </c>
      <c r="J10" s="65"/>
      <c r="K10" s="65"/>
      <c r="L10" s="65" t="s">
        <v>325</v>
      </c>
      <c r="M10" s="12">
        <v>4</v>
      </c>
      <c r="N10" s="65" t="s">
        <v>328</v>
      </c>
    </row>
    <row r="11" spans="1:14">
      <c r="A11" s="5" t="s">
        <v>331</v>
      </c>
      <c r="B11" s="5" t="s">
        <v>325</v>
      </c>
      <c r="C11" s="347">
        <v>7</v>
      </c>
      <c r="D11" s="368">
        <v>0</v>
      </c>
      <c r="J11" s="65"/>
      <c r="K11" s="65"/>
      <c r="L11" s="65" t="s">
        <v>326</v>
      </c>
      <c r="M11" s="12">
        <v>3</v>
      </c>
      <c r="N11" s="65" t="s">
        <v>328</v>
      </c>
    </row>
    <row r="12" spans="1:14">
      <c r="A12" s="5" t="s">
        <v>331</v>
      </c>
      <c r="B12" s="5" t="s">
        <v>326</v>
      </c>
      <c r="C12" s="347">
        <v>5</v>
      </c>
      <c r="D12" s="368">
        <v>0</v>
      </c>
      <c r="J12" s="65"/>
      <c r="K12" s="65"/>
      <c r="L12" s="65"/>
      <c r="M12" s="65"/>
      <c r="N12" s="65"/>
    </row>
    <row r="13" spans="1:14">
      <c r="D13" s="369" t="s">
        <v>365</v>
      </c>
      <c r="J13" s="489" t="s">
        <v>332</v>
      </c>
      <c r="K13" s="489"/>
      <c r="L13" s="65" t="s">
        <v>324</v>
      </c>
      <c r="M13" s="12">
        <v>9</v>
      </c>
      <c r="N13" s="65" t="s">
        <v>328</v>
      </c>
    </row>
    <row r="14" spans="1:14">
      <c r="A14" t="s">
        <v>363</v>
      </c>
      <c r="B14" s="369" t="s">
        <v>372</v>
      </c>
      <c r="J14" s="65"/>
      <c r="K14" s="65"/>
      <c r="L14" s="65" t="s">
        <v>325</v>
      </c>
      <c r="M14" s="12">
        <v>7</v>
      </c>
      <c r="N14" s="65" t="s">
        <v>328</v>
      </c>
    </row>
    <row r="15" spans="1:14">
      <c r="A15" s="5" t="s">
        <v>364</v>
      </c>
      <c r="B15" s="344" t="s">
        <v>368</v>
      </c>
      <c r="C15" s="344" t="s">
        <v>366</v>
      </c>
      <c r="D15" s="344" t="s">
        <v>367</v>
      </c>
      <c r="J15" s="65"/>
      <c r="K15" s="65"/>
      <c r="L15" s="65" t="s">
        <v>326</v>
      </c>
      <c r="M15" s="12">
        <v>5</v>
      </c>
      <c r="N15" s="65" t="s">
        <v>328</v>
      </c>
    </row>
    <row r="16" spans="1:14">
      <c r="A16" s="5" t="s">
        <v>357</v>
      </c>
      <c r="B16" s="347">
        <f>SUMIF($A$4:$A$12,A16,$D$4:$D$12)</f>
        <v>100</v>
      </c>
      <c r="C16" s="347" t="s">
        <v>206</v>
      </c>
      <c r="D16" s="347">
        <v>100</v>
      </c>
      <c r="E16" t="str">
        <f ca="1">_xlfn.FORMULATEXT(B16)</f>
        <v>=SUMAR.SI($A$4:$A$12;A16;$D$4:$D$12)</v>
      </c>
    </row>
    <row r="17" spans="1:14">
      <c r="A17" s="5" t="s">
        <v>358</v>
      </c>
      <c r="B17" s="347">
        <f t="shared" ref="B17:B18" si="0">SUMIF($A$4:$A$12,A17,$D$4:$D$12)</f>
        <v>300</v>
      </c>
      <c r="C17" s="347" t="s">
        <v>206</v>
      </c>
      <c r="D17" s="347">
        <v>300</v>
      </c>
      <c r="E17" s="65" t="str">
        <f t="shared" ref="E17:E18" ca="1" si="1">_xlfn.FORMULATEXT(B17)</f>
        <v>=SUMAR.SI($A$4:$A$12;A17;$D$4:$D$12)</v>
      </c>
      <c r="H17" s="65"/>
      <c r="I17" s="65"/>
      <c r="J17" s="496" t="s">
        <v>333</v>
      </c>
      <c r="K17" s="496"/>
    </row>
    <row r="18" spans="1:14">
      <c r="A18" s="5" t="s">
        <v>331</v>
      </c>
      <c r="B18" s="347">
        <f t="shared" si="0"/>
        <v>300</v>
      </c>
      <c r="C18" s="347" t="s">
        <v>206</v>
      </c>
      <c r="D18" s="347">
        <v>300</v>
      </c>
      <c r="E18" s="65" t="str">
        <f t="shared" ca="1" si="1"/>
        <v>=SUMAR.SI($A$4:$A$12;A18;$D$4:$D$12)</v>
      </c>
      <c r="J18" s="350" t="s">
        <v>336</v>
      </c>
      <c r="K18" s="65"/>
      <c r="L18" s="65"/>
      <c r="M18" s="497" t="s">
        <v>344</v>
      </c>
      <c r="N18" s="497"/>
    </row>
    <row r="19" spans="1:14">
      <c r="J19" s="490" t="s">
        <v>340</v>
      </c>
      <c r="K19" s="105" t="s">
        <v>337</v>
      </c>
      <c r="L19" s="348">
        <v>100</v>
      </c>
      <c r="M19" s="85" t="s">
        <v>341</v>
      </c>
      <c r="N19" s="348">
        <v>300</v>
      </c>
    </row>
    <row r="20" spans="1:14">
      <c r="A20" s="65" t="s">
        <v>351</v>
      </c>
      <c r="B20" s="369" t="s">
        <v>371</v>
      </c>
      <c r="C20" s="65"/>
      <c r="D20" s="65"/>
      <c r="J20" s="490"/>
      <c r="K20" s="105" t="s">
        <v>338</v>
      </c>
      <c r="L20" s="348">
        <v>300</v>
      </c>
      <c r="M20" s="85" t="s">
        <v>342</v>
      </c>
      <c r="N20" s="348">
        <v>300</v>
      </c>
    </row>
    <row r="21" spans="1:14">
      <c r="A21" s="5" t="s">
        <v>369</v>
      </c>
      <c r="B21" s="344" t="s">
        <v>370</v>
      </c>
      <c r="C21" s="344" t="s">
        <v>366</v>
      </c>
      <c r="D21" s="297" t="s">
        <v>326</v>
      </c>
      <c r="J21" s="490"/>
      <c r="K21" s="105" t="s">
        <v>339</v>
      </c>
      <c r="L21" s="348">
        <v>300</v>
      </c>
      <c r="M21" s="85" t="s">
        <v>343</v>
      </c>
      <c r="N21" s="348">
        <v>200</v>
      </c>
    </row>
    <row r="22" spans="1:14">
      <c r="A22" s="5" t="s">
        <v>324</v>
      </c>
      <c r="B22" s="347">
        <f>SUMIF($B$4:$B$12,A22,$D$4:$D$12)</f>
        <v>300</v>
      </c>
      <c r="C22" s="347" t="s">
        <v>204</v>
      </c>
      <c r="D22" s="347">
        <v>300</v>
      </c>
      <c r="E22" t="str">
        <f ca="1">_xlfn.FORMULATEXT(B22)</f>
        <v>=SUMAR.SI($B$4:$B$12;A22;$D$4:$D$12)</v>
      </c>
    </row>
    <row r="23" spans="1:14">
      <c r="A23" s="5" t="s">
        <v>325</v>
      </c>
      <c r="B23" s="347">
        <f t="shared" ref="B23:B24" si="2">SUMIF($B$4:$B$12,A23,$D$4:$D$12)</f>
        <v>300</v>
      </c>
      <c r="C23" s="347" t="s">
        <v>204</v>
      </c>
      <c r="D23" s="347">
        <v>300</v>
      </c>
      <c r="E23" s="65" t="str">
        <f t="shared" ref="E23:E24" ca="1" si="3">_xlfn.FORMULATEXT(B23)</f>
        <v>=SUMAR.SI($B$4:$B$12;A23;$D$4:$D$12)</v>
      </c>
    </row>
    <row r="24" spans="1:14">
      <c r="A24" s="5" t="s">
        <v>326</v>
      </c>
      <c r="B24" s="347">
        <f t="shared" si="2"/>
        <v>100</v>
      </c>
      <c r="C24" s="347" t="s">
        <v>204</v>
      </c>
      <c r="D24" s="347">
        <v>200</v>
      </c>
      <c r="E24" s="65" t="str">
        <f t="shared" ca="1" si="3"/>
        <v>=SUMAR.SI($B$4:$B$12;A24;$D$4:$D$12)</v>
      </c>
    </row>
    <row r="25" spans="1:14" ht="23.25">
      <c r="I25" s="371" t="s">
        <v>375</v>
      </c>
    </row>
    <row r="26" spans="1:14" ht="15.75" thickBot="1">
      <c r="A26" t="s">
        <v>373</v>
      </c>
    </row>
    <row r="27" spans="1:14" ht="15.75" thickBot="1">
      <c r="A27" s="27" t="s">
        <v>374</v>
      </c>
      <c r="B27" s="370">
        <f>SUMPRODUCT(C4:C12,D4:D12)</f>
        <v>4200</v>
      </c>
    </row>
  </sheetData>
  <mergeCells count="6">
    <mergeCell ref="M18:N18"/>
    <mergeCell ref="J19:J21"/>
    <mergeCell ref="J5:K5"/>
    <mergeCell ref="J9:K9"/>
    <mergeCell ref="J13:K13"/>
    <mergeCell ref="J17:K1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="80" zoomScaleNormal="80" workbookViewId="0">
      <selection activeCell="D22" sqref="D22"/>
    </sheetView>
  </sheetViews>
  <sheetFormatPr baseColWidth="10" defaultRowHeight="15"/>
  <cols>
    <col min="1" max="1" width="15.5703125" customWidth="1"/>
    <col min="2" max="2" width="19.5703125" customWidth="1"/>
    <col min="4" max="4" width="16" customWidth="1"/>
    <col min="6" max="6" width="13.28515625" customWidth="1"/>
  </cols>
  <sheetData>
    <row r="1" spans="1:8" ht="15.75" thickBot="1">
      <c r="A1" s="65"/>
      <c r="B1" s="65"/>
      <c r="C1" s="498"/>
      <c r="D1" s="499"/>
      <c r="E1" s="499"/>
      <c r="F1" s="65"/>
    </row>
    <row r="2" spans="1:8" ht="33.75" customHeight="1" thickBot="1">
      <c r="A2" s="383" t="s">
        <v>352</v>
      </c>
      <c r="B2" s="74"/>
      <c r="C2" s="347" t="s">
        <v>379</v>
      </c>
      <c r="D2" s="347" t="s">
        <v>380</v>
      </c>
      <c r="E2" s="347" t="s">
        <v>381</v>
      </c>
      <c r="F2" s="353" t="s">
        <v>383</v>
      </c>
    </row>
    <row r="3" spans="1:8">
      <c r="A3" s="500"/>
      <c r="B3" s="5" t="s">
        <v>376</v>
      </c>
      <c r="C3" s="374">
        <v>10</v>
      </c>
      <c r="D3" s="374">
        <v>4</v>
      </c>
      <c r="E3" s="374">
        <v>9</v>
      </c>
      <c r="F3" s="352">
        <v>80</v>
      </c>
    </row>
    <row r="4" spans="1:8">
      <c r="A4" s="501"/>
      <c r="B4" s="5" t="s">
        <v>377</v>
      </c>
      <c r="C4" s="374">
        <v>12</v>
      </c>
      <c r="D4" s="374">
        <v>6</v>
      </c>
      <c r="E4" s="374">
        <v>8</v>
      </c>
      <c r="F4" s="352">
        <v>40</v>
      </c>
    </row>
    <row r="5" spans="1:8">
      <c r="A5" s="501"/>
      <c r="B5" s="373" t="s">
        <v>378</v>
      </c>
      <c r="C5" s="375">
        <v>8</v>
      </c>
      <c r="D5" s="375">
        <v>9</v>
      </c>
      <c r="E5" s="375">
        <v>5</v>
      </c>
      <c r="F5" s="352">
        <v>30</v>
      </c>
    </row>
    <row r="6" spans="1:8">
      <c r="A6" s="65"/>
      <c r="B6" s="354" t="s">
        <v>382</v>
      </c>
      <c r="C6" s="352">
        <v>50</v>
      </c>
      <c r="D6" s="352">
        <v>40</v>
      </c>
      <c r="E6" s="352">
        <v>60</v>
      </c>
      <c r="F6" s="65"/>
    </row>
    <row r="7" spans="1:8">
      <c r="A7" s="65"/>
      <c r="B7" s="42"/>
      <c r="C7" s="65"/>
      <c r="D7" s="65"/>
      <c r="E7" s="65"/>
      <c r="F7" s="65"/>
    </row>
    <row r="8" spans="1:8" ht="15.75" thickBot="1">
      <c r="A8" s="42"/>
      <c r="B8" s="376" t="s">
        <v>384</v>
      </c>
    </row>
    <row r="9" spans="1:8" ht="15.75" thickBot="1">
      <c r="A9" s="42"/>
      <c r="B9" s="380" t="s">
        <v>385</v>
      </c>
      <c r="C9" s="384">
        <f>SUMPRODUCT(C13:C21,D13:D21)</f>
        <v>1060</v>
      </c>
      <c r="D9" s="372" t="str">
        <f ca="1">_xlfn.FORMULATEXT(C9)</f>
        <v>=SUMAPRODUCTO(C13:C21;D13:D21)</v>
      </c>
    </row>
    <row r="10" spans="1:8">
      <c r="A10" s="42"/>
      <c r="C10" s="346"/>
      <c r="D10" s="386" t="s">
        <v>405</v>
      </c>
      <c r="E10" s="65"/>
      <c r="F10" s="65"/>
    </row>
    <row r="11" spans="1:8" ht="15.75" thickBot="1">
      <c r="B11" s="42"/>
      <c r="C11" s="346"/>
      <c r="D11" s="346"/>
      <c r="E11" s="346"/>
    </row>
    <row r="12" spans="1:8" ht="29.25" customHeight="1" thickBot="1">
      <c r="A12" s="383" t="s">
        <v>352</v>
      </c>
      <c r="B12" s="5"/>
      <c r="C12" s="347" t="s">
        <v>392</v>
      </c>
      <c r="D12" s="381" t="s">
        <v>396</v>
      </c>
      <c r="E12" s="295"/>
    </row>
    <row r="13" spans="1:8">
      <c r="B13" s="5" t="s">
        <v>386</v>
      </c>
      <c r="C13" s="377">
        <v>10</v>
      </c>
      <c r="D13" s="382">
        <v>40</v>
      </c>
      <c r="E13" s="379"/>
      <c r="H13" s="166"/>
    </row>
    <row r="14" spans="1:8">
      <c r="B14" s="5" t="s">
        <v>387</v>
      </c>
      <c r="C14" s="377">
        <v>12</v>
      </c>
      <c r="D14" s="382">
        <v>0</v>
      </c>
      <c r="E14" s="379"/>
    </row>
    <row r="15" spans="1:8">
      <c r="B15" s="5" t="s">
        <v>388</v>
      </c>
      <c r="C15" s="377">
        <v>8</v>
      </c>
      <c r="D15" s="382">
        <v>10</v>
      </c>
      <c r="E15" s="379"/>
    </row>
    <row r="16" spans="1:8">
      <c r="B16" s="3" t="s">
        <v>389</v>
      </c>
      <c r="C16" s="377">
        <v>4</v>
      </c>
      <c r="D16" s="382">
        <v>40</v>
      </c>
      <c r="E16" s="372"/>
    </row>
    <row r="17" spans="1:8">
      <c r="B17" s="5" t="s">
        <v>390</v>
      </c>
      <c r="C17" s="377">
        <v>6</v>
      </c>
      <c r="D17" s="382">
        <v>0</v>
      </c>
      <c r="E17" s="42"/>
    </row>
    <row r="18" spans="1:8">
      <c r="B18" s="3" t="s">
        <v>391</v>
      </c>
      <c r="C18" s="377">
        <v>9</v>
      </c>
      <c r="D18" s="382">
        <v>0</v>
      </c>
      <c r="E18" s="42"/>
    </row>
    <row r="19" spans="1:8">
      <c r="B19" s="5" t="s">
        <v>393</v>
      </c>
      <c r="C19" s="91">
        <v>9</v>
      </c>
      <c r="D19" s="382">
        <v>0</v>
      </c>
      <c r="E19" s="42"/>
    </row>
    <row r="20" spans="1:8">
      <c r="B20" s="5" t="s">
        <v>394</v>
      </c>
      <c r="C20" s="91">
        <v>8</v>
      </c>
      <c r="D20" s="382">
        <v>40</v>
      </c>
      <c r="E20" s="42"/>
    </row>
    <row r="21" spans="1:8">
      <c r="B21" s="5" t="s">
        <v>395</v>
      </c>
      <c r="C21" s="91">
        <v>5</v>
      </c>
      <c r="D21" s="382">
        <v>20</v>
      </c>
      <c r="E21" s="42"/>
    </row>
    <row r="22" spans="1:8" ht="15.75" thickBot="1"/>
    <row r="23" spans="1:8" ht="30.75" thickBot="1">
      <c r="A23" s="385" t="s">
        <v>397</v>
      </c>
      <c r="B23" s="503" t="s">
        <v>404</v>
      </c>
      <c r="C23" s="503"/>
      <c r="D23" s="347" t="s">
        <v>366</v>
      </c>
      <c r="E23" s="347" t="s">
        <v>399</v>
      </c>
    </row>
    <row r="24" spans="1:8">
      <c r="B24" s="5" t="s">
        <v>398</v>
      </c>
      <c r="C24" s="5">
        <f>SUMIF($B$13:$B$21,"*PLANTA 1*",$D$13:$D$21)</f>
        <v>80</v>
      </c>
      <c r="D24" s="347" t="s">
        <v>206</v>
      </c>
      <c r="E24" s="345">
        <v>80</v>
      </c>
      <c r="F24" t="str">
        <f ca="1">_xlfn.FORMULATEXT(C24)</f>
        <v>=SUMAR.SI($B$13:$B$21;"*PLANTA 1*";$D$13:$D$21)</v>
      </c>
    </row>
    <row r="25" spans="1:8">
      <c r="B25" s="5" t="s">
        <v>400</v>
      </c>
      <c r="C25" s="5">
        <f>SUMIF($B$13:$B$21,"*PLANTA 2*",$D$13:$D$21)</f>
        <v>40</v>
      </c>
      <c r="D25" s="347" t="s">
        <v>206</v>
      </c>
      <c r="E25" s="345">
        <v>40</v>
      </c>
      <c r="F25" s="65" t="str">
        <f t="shared" ref="F25:F26" ca="1" si="0">_xlfn.FORMULATEXT(C25)</f>
        <v>=SUMAR.SI($B$13:$B$21;"*PLANTA 2*";$D$13:$D$21)</v>
      </c>
    </row>
    <row r="26" spans="1:8">
      <c r="B26" s="5" t="s">
        <v>401</v>
      </c>
      <c r="C26" s="5">
        <f>SUMIF($B$13:$B$21,"*PLANTA 3*",$D$13:$D$21)</f>
        <v>30</v>
      </c>
      <c r="D26" s="347" t="s">
        <v>206</v>
      </c>
      <c r="E26" s="345">
        <v>30</v>
      </c>
      <c r="F26" s="65" t="str">
        <f t="shared" ca="1" si="0"/>
        <v>=SUMAR.SI($B$13:$B$21;"*PLANTA 3*";$D$13:$D$21)</v>
      </c>
      <c r="H26" s="65"/>
    </row>
    <row r="27" spans="1:8" ht="15.75" thickBot="1"/>
    <row r="28" spans="1:8" ht="31.5" customHeight="1" thickBot="1">
      <c r="A28" s="385" t="s">
        <v>402</v>
      </c>
      <c r="B28" s="504" t="s">
        <v>406</v>
      </c>
      <c r="C28" s="504"/>
      <c r="D28" s="347" t="s">
        <v>366</v>
      </c>
      <c r="E28" s="347" t="s">
        <v>403</v>
      </c>
    </row>
    <row r="29" spans="1:8">
      <c r="A29" s="65"/>
      <c r="B29" s="5" t="s">
        <v>407</v>
      </c>
      <c r="C29" s="5">
        <f>SUMIF($B$13:$B$21,"*A*",$D$13:$D$21)</f>
        <v>150</v>
      </c>
      <c r="D29" s="347" t="s">
        <v>204</v>
      </c>
      <c r="E29" s="345">
        <v>50</v>
      </c>
      <c r="F29" t="str">
        <f ca="1">_xlfn.FORMULATEXT(C29)</f>
        <v>=SUMAR.SI($B$13:$B$21;"*A*";$D$13:$D$21)</v>
      </c>
    </row>
    <row r="30" spans="1:8">
      <c r="A30" s="65"/>
      <c r="B30" s="5" t="s">
        <v>408</v>
      </c>
      <c r="C30" s="5">
        <f>SUMIF($B$13:$B$21,"*B*",$D$13:$D$21)</f>
        <v>40</v>
      </c>
      <c r="D30" s="347" t="s">
        <v>204</v>
      </c>
      <c r="E30" s="345">
        <v>40</v>
      </c>
      <c r="F30" s="65" t="str">
        <f t="shared" ref="F30:F31" ca="1" si="1">_xlfn.FORMULATEXT(C30)</f>
        <v>=SUMAR.SI($B$13:$B$21;"*B*";$D$13:$D$21)</v>
      </c>
    </row>
    <row r="31" spans="1:8">
      <c r="A31" s="65"/>
      <c r="B31" s="5" t="s">
        <v>409</v>
      </c>
      <c r="C31" s="5">
        <f>SUMIF($B$13:$B$21,"*C*",$D$13:$D$21)</f>
        <v>60</v>
      </c>
      <c r="D31" s="347" t="s">
        <v>204</v>
      </c>
      <c r="E31" s="345">
        <v>60</v>
      </c>
      <c r="F31" s="65" t="str">
        <f t="shared" ca="1" si="1"/>
        <v>=SUMAR.SI($B$13:$B$21;"*C*";$D$13:$D$21)</v>
      </c>
    </row>
  </sheetData>
  <mergeCells count="4">
    <mergeCell ref="C1:E1"/>
    <mergeCell ref="A3:A5"/>
    <mergeCell ref="B23:C23"/>
    <mergeCell ref="B28:C2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"/>
  <sheetViews>
    <sheetView topLeftCell="A5" workbookViewId="0">
      <selection activeCell="F19" sqref="F19:F22"/>
    </sheetView>
  </sheetViews>
  <sheetFormatPr baseColWidth="10" defaultRowHeight="15"/>
  <cols>
    <col min="1" max="1" width="14" customWidth="1"/>
    <col min="8" max="8" width="14.5703125" customWidth="1"/>
  </cols>
  <sheetData>
    <row r="2" spans="1:8" ht="15.75" thickBot="1"/>
    <row r="3" spans="1:8" ht="15.75" thickBot="1">
      <c r="A3" s="390" t="s">
        <v>419</v>
      </c>
      <c r="B3" s="85" t="s">
        <v>420</v>
      </c>
    </row>
    <row r="4" spans="1:8">
      <c r="A4" s="378"/>
      <c r="B4" s="347" t="s">
        <v>412</v>
      </c>
      <c r="C4" s="347" t="s">
        <v>416</v>
      </c>
      <c r="D4" s="347" t="s">
        <v>417</v>
      </c>
      <c r="E4" s="347" t="s">
        <v>418</v>
      </c>
    </row>
    <row r="5" spans="1:8">
      <c r="A5" s="345" t="s">
        <v>413</v>
      </c>
      <c r="B5" s="387">
        <v>800</v>
      </c>
      <c r="C5" s="387">
        <v>1100</v>
      </c>
      <c r="D5" s="387">
        <v>1200</v>
      </c>
      <c r="E5" s="387">
        <v>1000</v>
      </c>
      <c r="F5" s="388"/>
    </row>
    <row r="6" spans="1:8">
      <c r="A6" s="345" t="s">
        <v>414</v>
      </c>
      <c r="B6" s="387">
        <v>500</v>
      </c>
      <c r="C6" s="387">
        <v>1600</v>
      </c>
      <c r="D6" s="387">
        <v>1300</v>
      </c>
      <c r="E6" s="387">
        <v>800</v>
      </c>
      <c r="F6" s="388"/>
    </row>
    <row r="7" spans="1:8">
      <c r="A7" s="345" t="s">
        <v>415</v>
      </c>
      <c r="B7" s="387">
        <v>500</v>
      </c>
      <c r="C7" s="387">
        <v>1000</v>
      </c>
      <c r="D7" s="387">
        <v>2300</v>
      </c>
      <c r="E7" s="387">
        <v>1500</v>
      </c>
      <c r="F7" s="388"/>
    </row>
    <row r="8" spans="1:8">
      <c r="B8" s="389"/>
      <c r="C8" s="389"/>
      <c r="D8" s="389"/>
      <c r="E8" s="389"/>
    </row>
    <row r="10" spans="1:8">
      <c r="A10" s="472" t="s">
        <v>421</v>
      </c>
      <c r="B10" s="434"/>
      <c r="C10" s="393" t="s">
        <v>422</v>
      </c>
      <c r="D10" s="65"/>
      <c r="E10" s="65"/>
    </row>
    <row r="11" spans="1:8" ht="27" customHeight="1">
      <c r="A11" s="378"/>
      <c r="B11" s="347" t="s">
        <v>412</v>
      </c>
      <c r="C11" s="347" t="s">
        <v>416</v>
      </c>
      <c r="D11" s="347" t="s">
        <v>417</v>
      </c>
      <c r="E11" s="347" t="s">
        <v>418</v>
      </c>
      <c r="F11" s="347"/>
      <c r="G11" s="347" t="s">
        <v>366</v>
      </c>
      <c r="H11" s="381" t="s">
        <v>423</v>
      </c>
    </row>
    <row r="12" spans="1:8">
      <c r="A12" s="345" t="s">
        <v>413</v>
      </c>
      <c r="B12" s="394">
        <v>0</v>
      </c>
      <c r="C12" s="394">
        <v>1</v>
      </c>
      <c r="D12" s="394">
        <v>0</v>
      </c>
      <c r="E12" s="394">
        <v>0</v>
      </c>
      <c r="F12" s="395">
        <f>SUM(B12:E12)</f>
        <v>1</v>
      </c>
      <c r="G12" s="347" t="s">
        <v>87</v>
      </c>
      <c r="H12" s="347">
        <v>1</v>
      </c>
    </row>
    <row r="13" spans="1:8">
      <c r="A13" s="345" t="s">
        <v>414</v>
      </c>
      <c r="B13" s="394">
        <v>0</v>
      </c>
      <c r="C13" s="394">
        <v>0</v>
      </c>
      <c r="D13" s="394">
        <v>0</v>
      </c>
      <c r="E13" s="394">
        <v>1</v>
      </c>
      <c r="F13" s="395">
        <f t="shared" ref="F13:F14" si="0">SUM(B13:E13)</f>
        <v>1</v>
      </c>
      <c r="G13" s="347" t="s">
        <v>87</v>
      </c>
      <c r="H13" s="347">
        <v>1</v>
      </c>
    </row>
    <row r="14" spans="1:8">
      <c r="A14" s="345" t="s">
        <v>415</v>
      </c>
      <c r="B14" s="394">
        <v>1</v>
      </c>
      <c r="C14" s="394">
        <v>0</v>
      </c>
      <c r="D14" s="394">
        <v>0</v>
      </c>
      <c r="E14" s="394">
        <v>0</v>
      </c>
      <c r="F14" s="395">
        <f t="shared" si="0"/>
        <v>1</v>
      </c>
      <c r="G14" s="347" t="s">
        <v>87</v>
      </c>
      <c r="H14" s="347">
        <v>1</v>
      </c>
    </row>
    <row r="15" spans="1:8">
      <c r="B15" s="396">
        <f>SUM(B12:B14)</f>
        <v>1</v>
      </c>
      <c r="C15" s="396">
        <f>SUM(C12:C14)</f>
        <v>1</v>
      </c>
      <c r="D15" s="396">
        <f>SUM(D12:D14)</f>
        <v>0</v>
      </c>
      <c r="E15" s="396">
        <f>SUM(E12:E14)</f>
        <v>1</v>
      </c>
      <c r="F15" t="str">
        <f ca="1">_xlfn.FORMULATEXT(F12)</f>
        <v>=SUMA(B12:E12)</v>
      </c>
    </row>
    <row r="16" spans="1:8">
      <c r="B16" s="351" t="s">
        <v>206</v>
      </c>
      <c r="C16" s="351" t="s">
        <v>206</v>
      </c>
      <c r="D16" s="351" t="s">
        <v>206</v>
      </c>
      <c r="E16" s="351" t="s">
        <v>206</v>
      </c>
    </row>
    <row r="17" spans="1:13">
      <c r="B17" s="351">
        <v>1</v>
      </c>
      <c r="C17" s="351">
        <v>1</v>
      </c>
      <c r="D17" s="351">
        <v>1</v>
      </c>
      <c r="E17" s="351">
        <v>1</v>
      </c>
    </row>
    <row r="18" spans="1:13" ht="15.75" thickBot="1"/>
    <row r="19" spans="1:13">
      <c r="A19" t="s">
        <v>424</v>
      </c>
      <c r="F19" s="398" t="s">
        <v>426</v>
      </c>
      <c r="G19" s="399"/>
      <c r="H19" s="399"/>
      <c r="I19" s="400"/>
      <c r="J19" s="282"/>
      <c r="K19" s="42"/>
      <c r="L19" s="42"/>
      <c r="M19" s="42"/>
    </row>
    <row r="20" spans="1:13">
      <c r="A20" t="s">
        <v>425</v>
      </c>
      <c r="B20" s="397">
        <f>SUMPRODUCT(B5:E7,B12:E14)</f>
        <v>2400</v>
      </c>
      <c r="F20" s="401" t="s">
        <v>427</v>
      </c>
      <c r="G20" s="402"/>
      <c r="H20" s="402"/>
      <c r="I20" s="403"/>
      <c r="J20" s="346"/>
      <c r="K20" s="346"/>
      <c r="L20" s="346"/>
      <c r="M20" s="346"/>
    </row>
    <row r="21" spans="1:13">
      <c r="F21" s="401" t="s">
        <v>428</v>
      </c>
      <c r="G21" s="402"/>
      <c r="H21" s="402"/>
      <c r="I21" s="404"/>
      <c r="J21" s="392"/>
      <c r="K21" s="392"/>
      <c r="L21" s="392"/>
      <c r="M21" s="392"/>
    </row>
    <row r="22" spans="1:13" ht="15.75" thickBot="1">
      <c r="F22" s="405" t="s">
        <v>429</v>
      </c>
      <c r="G22" s="406"/>
      <c r="H22" s="406"/>
      <c r="I22" s="407"/>
      <c r="J22" s="392"/>
      <c r="K22" s="392"/>
      <c r="L22" s="392"/>
      <c r="M22" s="392"/>
    </row>
    <row r="23" spans="1:13">
      <c r="I23" s="391"/>
      <c r="J23" s="392"/>
      <c r="K23" s="392"/>
      <c r="L23" s="392"/>
      <c r="M23" s="392"/>
    </row>
  </sheetData>
  <mergeCells count="1">
    <mergeCell ref="A10:B10"/>
  </mergeCell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2"/>
  <sheetViews>
    <sheetView workbookViewId="0">
      <selection activeCell="A3" sqref="A3:E7"/>
    </sheetView>
  </sheetViews>
  <sheetFormatPr baseColWidth="10" defaultRowHeight="15"/>
  <cols>
    <col min="1" max="1" width="13.5703125" customWidth="1"/>
    <col min="8" max="8" width="14" customWidth="1"/>
  </cols>
  <sheetData>
    <row r="3" spans="1:8">
      <c r="A3" s="412" t="s">
        <v>439</v>
      </c>
      <c r="B3" s="361" t="s">
        <v>430</v>
      </c>
      <c r="C3" s="361" t="s">
        <v>431</v>
      </c>
      <c r="D3" s="361" t="s">
        <v>432</v>
      </c>
      <c r="E3" s="361" t="s">
        <v>433</v>
      </c>
    </row>
    <row r="4" spans="1:8">
      <c r="A4" s="5" t="s">
        <v>434</v>
      </c>
      <c r="B4" s="363">
        <v>1500</v>
      </c>
      <c r="C4" s="363">
        <v>1730</v>
      </c>
      <c r="D4" s="363">
        <v>1940</v>
      </c>
      <c r="E4" s="363">
        <v>2070</v>
      </c>
      <c r="F4" s="362"/>
    </row>
    <row r="5" spans="1:8">
      <c r="A5" s="5" t="s">
        <v>435</v>
      </c>
      <c r="B5" s="363">
        <v>460</v>
      </c>
      <c r="C5" s="363">
        <v>810</v>
      </c>
      <c r="D5" s="363">
        <v>1020</v>
      </c>
      <c r="E5" s="363">
        <v>1270</v>
      </c>
    </row>
    <row r="6" spans="1:8">
      <c r="A6" s="5" t="s">
        <v>436</v>
      </c>
      <c r="B6" s="363">
        <v>1500</v>
      </c>
      <c r="C6" s="363">
        <v>1850</v>
      </c>
      <c r="D6" s="363">
        <v>2080</v>
      </c>
      <c r="E6" s="363" t="s">
        <v>218</v>
      </c>
    </row>
    <row r="7" spans="1:8">
      <c r="A7" s="5" t="s">
        <v>437</v>
      </c>
      <c r="B7" s="363">
        <v>960</v>
      </c>
      <c r="C7" s="363">
        <v>610</v>
      </c>
      <c r="D7" s="363">
        <v>400</v>
      </c>
      <c r="E7" s="363">
        <v>330</v>
      </c>
    </row>
    <row r="9" spans="1:8">
      <c r="A9" t="s">
        <v>424</v>
      </c>
    </row>
    <row r="10" spans="1:8">
      <c r="A10" t="s">
        <v>438</v>
      </c>
      <c r="B10" s="359">
        <f>SUMPRODUCT(B4:E7,B14:E17)</f>
        <v>4580</v>
      </c>
      <c r="C10" t="str">
        <f ca="1">_xlfn.FORMULATEXT(B10)</f>
        <v>=SUMAPRODUCTO(B4:E7;B14:E17)</v>
      </c>
    </row>
    <row r="13" spans="1:8">
      <c r="A13" s="5"/>
      <c r="B13" s="361" t="s">
        <v>430</v>
      </c>
      <c r="C13" s="361" t="s">
        <v>431</v>
      </c>
      <c r="D13" s="361" t="s">
        <v>432</v>
      </c>
      <c r="E13" s="361" t="s">
        <v>433</v>
      </c>
      <c r="F13" s="363"/>
      <c r="G13" s="363" t="s">
        <v>366</v>
      </c>
      <c r="H13" s="363" t="s">
        <v>440</v>
      </c>
    </row>
    <row r="14" spans="1:8">
      <c r="A14" s="5" t="s">
        <v>434</v>
      </c>
      <c r="B14" s="414">
        <v>0</v>
      </c>
      <c r="C14" s="414">
        <v>0</v>
      </c>
      <c r="D14" s="414">
        <v>1</v>
      </c>
      <c r="E14" s="414">
        <v>0</v>
      </c>
      <c r="F14" s="413">
        <f>SUM(B14:E14)</f>
        <v>1</v>
      </c>
      <c r="G14" s="416" t="s">
        <v>87</v>
      </c>
      <c r="H14" s="363">
        <v>1</v>
      </c>
    </row>
    <row r="15" spans="1:8">
      <c r="A15" s="5" t="s">
        <v>435</v>
      </c>
      <c r="B15" s="414">
        <v>0</v>
      </c>
      <c r="C15" s="414">
        <v>1</v>
      </c>
      <c r="D15" s="414">
        <v>0</v>
      </c>
      <c r="E15" s="414">
        <v>0</v>
      </c>
      <c r="F15" s="413">
        <f>SUM(B15:E15)</f>
        <v>1</v>
      </c>
      <c r="G15" s="416" t="s">
        <v>87</v>
      </c>
      <c r="H15" s="363">
        <v>1</v>
      </c>
    </row>
    <row r="16" spans="1:8">
      <c r="A16" s="5" t="s">
        <v>436</v>
      </c>
      <c r="B16" s="414">
        <v>1</v>
      </c>
      <c r="C16" s="414">
        <v>0</v>
      </c>
      <c r="D16" s="414">
        <v>0</v>
      </c>
      <c r="E16" s="415">
        <v>0</v>
      </c>
      <c r="F16" s="413">
        <f>SUM(B16:D16)</f>
        <v>1</v>
      </c>
      <c r="G16" s="416" t="s">
        <v>87</v>
      </c>
      <c r="H16" s="363">
        <v>1</v>
      </c>
    </row>
    <row r="17" spans="1:8">
      <c r="A17" s="5" t="s">
        <v>437</v>
      </c>
      <c r="B17" s="414">
        <v>0</v>
      </c>
      <c r="C17" s="414">
        <v>0</v>
      </c>
      <c r="D17" s="414">
        <v>0</v>
      </c>
      <c r="E17" s="414">
        <v>1</v>
      </c>
      <c r="F17" s="413">
        <f>SUM(B17:E17)</f>
        <v>1</v>
      </c>
      <c r="G17" s="416" t="s">
        <v>87</v>
      </c>
      <c r="H17" s="363">
        <v>1</v>
      </c>
    </row>
    <row r="18" spans="1:8">
      <c r="B18" s="352">
        <f>SUM(B14:B17)</f>
        <v>1</v>
      </c>
      <c r="C18" s="352">
        <f>SUM(C14:C17)</f>
        <v>1</v>
      </c>
      <c r="D18" s="352">
        <f>SUM(D14:D17)</f>
        <v>1</v>
      </c>
      <c r="E18" s="352">
        <f>SUM(E14,E15,E17)</f>
        <v>1</v>
      </c>
      <c r="F18" t="str">
        <f ca="1">_xlfn.FORMULATEXT(F14)</f>
        <v>=SUMA(B14:E14)</v>
      </c>
    </row>
    <row r="19" spans="1:8">
      <c r="B19" s="364" t="s">
        <v>206</v>
      </c>
      <c r="C19" s="364" t="s">
        <v>206</v>
      </c>
      <c r="D19" s="364" t="s">
        <v>206</v>
      </c>
      <c r="E19" s="364" t="s">
        <v>206</v>
      </c>
    </row>
    <row r="20" spans="1:8">
      <c r="B20" s="417">
        <v>1</v>
      </c>
      <c r="C20" s="417">
        <v>1</v>
      </c>
      <c r="D20" s="417">
        <v>1</v>
      </c>
      <c r="E20" s="417">
        <v>1</v>
      </c>
    </row>
    <row r="22" spans="1:8">
      <c r="A22" t="s">
        <v>441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workbookViewId="0">
      <selection activeCell="A2" sqref="A2:E6"/>
    </sheetView>
  </sheetViews>
  <sheetFormatPr baseColWidth="10" defaultRowHeight="15"/>
  <sheetData>
    <row r="2" spans="1:8">
      <c r="A2" s="412" t="s">
        <v>439</v>
      </c>
      <c r="B2" s="361" t="s">
        <v>442</v>
      </c>
      <c r="C2" s="361" t="s">
        <v>443</v>
      </c>
      <c r="D2" s="361" t="s">
        <v>444</v>
      </c>
      <c r="E2" s="361" t="s">
        <v>445</v>
      </c>
    </row>
    <row r="3" spans="1:8">
      <c r="A3" s="5" t="s">
        <v>446</v>
      </c>
      <c r="B3" s="363">
        <v>80</v>
      </c>
      <c r="C3" s="363">
        <v>85</v>
      </c>
      <c r="D3" s="363">
        <v>95</v>
      </c>
      <c r="E3" s="363">
        <v>40</v>
      </c>
    </row>
    <row r="4" spans="1:8">
      <c r="A4" s="5" t="s">
        <v>447</v>
      </c>
      <c r="B4" s="363">
        <v>85</v>
      </c>
      <c r="C4" s="363">
        <v>30</v>
      </c>
      <c r="D4" s="363">
        <v>75</v>
      </c>
      <c r="E4" s="363">
        <v>65</v>
      </c>
    </row>
    <row r="5" spans="1:8">
      <c r="A5" s="5" t="s">
        <v>448</v>
      </c>
      <c r="B5" s="363">
        <v>90</v>
      </c>
      <c r="C5" s="363">
        <v>55</v>
      </c>
      <c r="D5" s="363">
        <v>80</v>
      </c>
      <c r="E5" s="363">
        <v>70</v>
      </c>
    </row>
    <row r="6" spans="1:8">
      <c r="A6" s="5" t="s">
        <v>449</v>
      </c>
      <c r="B6" s="363">
        <v>55</v>
      </c>
      <c r="C6" s="363">
        <v>80</v>
      </c>
      <c r="D6" s="363">
        <v>65</v>
      </c>
      <c r="E6" s="363">
        <v>50</v>
      </c>
    </row>
    <row r="8" spans="1:8">
      <c r="A8" t="s">
        <v>373</v>
      </c>
    </row>
    <row r="9" spans="1:8">
      <c r="A9" s="505" t="s">
        <v>450</v>
      </c>
      <c r="B9" s="505"/>
      <c r="C9" s="320">
        <f>SUMPRODUCT(B3:E6,B12:E15)</f>
        <v>330</v>
      </c>
    </row>
    <row r="11" spans="1:8">
      <c r="A11" s="412" t="s">
        <v>439</v>
      </c>
      <c r="B11" s="361" t="s">
        <v>442</v>
      </c>
      <c r="C11" s="361" t="s">
        <v>443</v>
      </c>
      <c r="D11" s="361" t="s">
        <v>444</v>
      </c>
      <c r="E11" s="361" t="s">
        <v>445</v>
      </c>
      <c r="F11" s="363"/>
      <c r="G11" s="363" t="s">
        <v>366</v>
      </c>
      <c r="H11" s="363" t="s">
        <v>451</v>
      </c>
    </row>
    <row r="12" spans="1:8">
      <c r="A12" s="5" t="s">
        <v>446</v>
      </c>
      <c r="B12" s="357">
        <v>0</v>
      </c>
      <c r="C12" s="357">
        <v>0</v>
      </c>
      <c r="D12" s="357">
        <v>1</v>
      </c>
      <c r="E12" s="357">
        <v>0</v>
      </c>
      <c r="F12" s="363">
        <f>SUM(B12:E12)</f>
        <v>1</v>
      </c>
      <c r="G12" s="363" t="s">
        <v>87</v>
      </c>
      <c r="H12" s="363">
        <v>1</v>
      </c>
    </row>
    <row r="13" spans="1:8">
      <c r="A13" s="5" t="s">
        <v>447</v>
      </c>
      <c r="B13" s="357">
        <v>1</v>
      </c>
      <c r="C13" s="357">
        <v>0</v>
      </c>
      <c r="D13" s="357">
        <v>0</v>
      </c>
      <c r="E13" s="357">
        <v>0</v>
      </c>
      <c r="F13" s="363">
        <f t="shared" ref="F13:F15" si="0">SUM(B13:E13)</f>
        <v>1</v>
      </c>
      <c r="G13" s="363" t="s">
        <v>87</v>
      </c>
      <c r="H13" s="363">
        <v>1</v>
      </c>
    </row>
    <row r="14" spans="1:8">
      <c r="A14" s="5" t="s">
        <v>448</v>
      </c>
      <c r="B14" s="357">
        <v>0</v>
      </c>
      <c r="C14" s="357">
        <v>0</v>
      </c>
      <c r="D14" s="357">
        <v>0</v>
      </c>
      <c r="E14" s="357">
        <v>1</v>
      </c>
      <c r="F14" s="363">
        <f t="shared" si="0"/>
        <v>1</v>
      </c>
      <c r="G14" s="363" t="s">
        <v>87</v>
      </c>
      <c r="H14" s="363">
        <v>1</v>
      </c>
    </row>
    <row r="15" spans="1:8">
      <c r="A15" s="5" t="s">
        <v>449</v>
      </c>
      <c r="B15" s="357">
        <v>0</v>
      </c>
      <c r="C15" s="357">
        <v>1</v>
      </c>
      <c r="D15" s="357">
        <v>0</v>
      </c>
      <c r="E15" s="357">
        <v>0</v>
      </c>
      <c r="F15" s="363">
        <f t="shared" si="0"/>
        <v>1</v>
      </c>
      <c r="G15" s="363" t="s">
        <v>87</v>
      </c>
      <c r="H15" s="363">
        <v>1</v>
      </c>
    </row>
    <row r="16" spans="1:8">
      <c r="B16" s="364">
        <f>SUM(B12:B15)</f>
        <v>1</v>
      </c>
      <c r="C16" s="364">
        <f t="shared" ref="C16:E16" si="1">SUM(C12:C15)</f>
        <v>1</v>
      </c>
      <c r="D16" s="364">
        <f t="shared" si="1"/>
        <v>1</v>
      </c>
      <c r="E16" s="364">
        <f t="shared" si="1"/>
        <v>1</v>
      </c>
    </row>
    <row r="17" spans="2:5">
      <c r="B17" s="418" t="s">
        <v>87</v>
      </c>
      <c r="C17" s="418" t="s">
        <v>87</v>
      </c>
      <c r="D17" s="418" t="s">
        <v>87</v>
      </c>
      <c r="E17" s="418" t="s">
        <v>87</v>
      </c>
    </row>
    <row r="18" spans="2:5">
      <c r="B18" s="295">
        <v>1</v>
      </c>
      <c r="C18" s="295">
        <v>1</v>
      </c>
      <c r="D18" s="295">
        <v>1</v>
      </c>
      <c r="E18" s="295">
        <v>1</v>
      </c>
    </row>
  </sheetData>
  <mergeCells count="1">
    <mergeCell ref="A9:B9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0"/>
  <sheetViews>
    <sheetView tabSelected="1" workbookViewId="0">
      <selection activeCell="J39" sqref="J39"/>
    </sheetView>
  </sheetViews>
  <sheetFormatPr baseColWidth="10" defaultRowHeight="15"/>
  <cols>
    <col min="1" max="1" width="16.42578125" customWidth="1"/>
    <col min="2" max="2" width="14.28515625" customWidth="1"/>
    <col min="3" max="3" width="13.28515625" customWidth="1"/>
    <col min="7" max="7" width="16.85546875" customWidth="1"/>
  </cols>
  <sheetData>
    <row r="2" spans="1:8" ht="30.75" customHeight="1">
      <c r="A2" s="420" t="s">
        <v>462</v>
      </c>
      <c r="B2" s="361" t="s">
        <v>454</v>
      </c>
      <c r="C2" s="361" t="s">
        <v>455</v>
      </c>
      <c r="D2" s="361" t="s">
        <v>456</v>
      </c>
      <c r="E2" s="166"/>
      <c r="F2" s="360"/>
      <c r="G2" s="166"/>
    </row>
    <row r="3" spans="1:8">
      <c r="A3" s="5" t="s">
        <v>452</v>
      </c>
      <c r="B3" s="419">
        <f>22+6</f>
        <v>28</v>
      </c>
      <c r="C3" s="419">
        <f>14+6</f>
        <v>20</v>
      </c>
      <c r="D3" s="419">
        <f>30+6</f>
        <v>36</v>
      </c>
      <c r="E3" s="362"/>
      <c r="F3" s="362"/>
      <c r="G3" s="362"/>
    </row>
    <row r="4" spans="1:8">
      <c r="A4" s="5" t="s">
        <v>453</v>
      </c>
      <c r="B4" s="419">
        <f>16+6.25</f>
        <v>22.25</v>
      </c>
      <c r="C4" s="419">
        <f>20+6.25</f>
        <v>26.25</v>
      </c>
      <c r="D4" s="419">
        <f>24+6.25</f>
        <v>30.25</v>
      </c>
      <c r="E4" s="362"/>
      <c r="F4" s="362"/>
      <c r="G4" s="362"/>
    </row>
    <row r="5" spans="1:8">
      <c r="A5" s="42"/>
      <c r="B5" s="362"/>
      <c r="C5" s="362"/>
      <c r="D5" s="362"/>
      <c r="E5" s="362"/>
      <c r="F5" s="42"/>
      <c r="G5" s="42"/>
    </row>
    <row r="6" spans="1:8">
      <c r="E6" s="362"/>
      <c r="F6" s="42"/>
      <c r="G6" s="42"/>
    </row>
    <row r="7" spans="1:8" ht="29.25" customHeight="1">
      <c r="A7" s="420" t="s">
        <v>463</v>
      </c>
      <c r="B7" s="367" t="s">
        <v>461</v>
      </c>
      <c r="C7" s="360"/>
      <c r="D7" s="424"/>
      <c r="E7" s="425"/>
      <c r="F7" s="425"/>
      <c r="G7" s="425"/>
      <c r="H7" s="426"/>
    </row>
    <row r="8" spans="1:8">
      <c r="A8" s="5" t="s">
        <v>452</v>
      </c>
      <c r="B8" s="419">
        <v>6</v>
      </c>
      <c r="C8" s="429" t="s">
        <v>464</v>
      </c>
      <c r="D8" s="372"/>
      <c r="E8" s="427"/>
      <c r="F8" s="427"/>
      <c r="G8" s="427"/>
      <c r="H8" s="428"/>
    </row>
    <row r="9" spans="1:8">
      <c r="A9" s="5" t="s">
        <v>453</v>
      </c>
      <c r="B9" s="419">
        <v>6.25</v>
      </c>
      <c r="C9" s="422"/>
      <c r="D9" s="372"/>
      <c r="E9" s="427"/>
      <c r="F9" s="427"/>
      <c r="G9" s="427"/>
      <c r="H9" s="428"/>
    </row>
    <row r="11" spans="1:8" ht="23.25" customHeight="1">
      <c r="A11" s="372" t="s">
        <v>373</v>
      </c>
      <c r="B11" s="362"/>
      <c r="F11" s="65"/>
    </row>
    <row r="12" spans="1:8">
      <c r="A12" s="372" t="s">
        <v>460</v>
      </c>
      <c r="B12" s="359">
        <f>SUMPRODUCT(B3:D4,B15:D16)</f>
        <v>5270</v>
      </c>
      <c r="C12" t="str">
        <f ca="1">_xlfn.FORMULATEXT(B12)</f>
        <v>=SUMAPRODUCTO(B3:D4;B15:D16)</v>
      </c>
      <c r="G12">
        <f>SUMPRODUCT(H8:H9,B8:B9)</f>
        <v>0</v>
      </c>
    </row>
    <row r="14" spans="1:8" ht="30">
      <c r="A14" s="421" t="s">
        <v>457</v>
      </c>
      <c r="B14" s="361" t="s">
        <v>454</v>
      </c>
      <c r="C14" s="361" t="s">
        <v>455</v>
      </c>
      <c r="D14" s="361" t="s">
        <v>456</v>
      </c>
      <c r="E14" s="361"/>
      <c r="F14" s="361" t="s">
        <v>366</v>
      </c>
      <c r="G14" s="367" t="s">
        <v>459</v>
      </c>
    </row>
    <row r="15" spans="1:8">
      <c r="A15" s="5" t="s">
        <v>452</v>
      </c>
      <c r="B15" s="423">
        <v>30</v>
      </c>
      <c r="C15" s="423">
        <v>60</v>
      </c>
      <c r="D15" s="423">
        <v>0</v>
      </c>
      <c r="E15" s="395">
        <f>SUM(B15:D15)</f>
        <v>90</v>
      </c>
      <c r="F15" s="363" t="s">
        <v>206</v>
      </c>
      <c r="G15" s="363">
        <v>100</v>
      </c>
    </row>
    <row r="16" spans="1:8">
      <c r="A16" s="5" t="s">
        <v>453</v>
      </c>
      <c r="B16" s="423">
        <v>50</v>
      </c>
      <c r="C16" s="423">
        <v>0</v>
      </c>
      <c r="D16" s="423">
        <v>70</v>
      </c>
      <c r="E16" s="395">
        <f>SUM(B16:D16)</f>
        <v>120</v>
      </c>
      <c r="F16" s="363" t="s">
        <v>206</v>
      </c>
      <c r="G16" s="363">
        <v>120</v>
      </c>
    </row>
    <row r="17" spans="1:7">
      <c r="A17" s="5" t="s">
        <v>458</v>
      </c>
      <c r="B17" s="395">
        <f>SUM(B15:B16)</f>
        <v>80</v>
      </c>
      <c r="C17" s="395">
        <f t="shared" ref="C17:D17" si="0">SUM(C15:C16)</f>
        <v>60</v>
      </c>
      <c r="D17" s="395">
        <f t="shared" si="0"/>
        <v>70</v>
      </c>
      <c r="E17" s="391" t="str">
        <f ca="1">_xlfn.FORMULATEXT(E15)</f>
        <v>=SUMA(B15:D15)</v>
      </c>
      <c r="F17" s="42"/>
      <c r="G17" s="42"/>
    </row>
    <row r="18" spans="1:7">
      <c r="A18" s="42"/>
      <c r="B18" s="362" t="s">
        <v>204</v>
      </c>
      <c r="C18" s="362" t="s">
        <v>204</v>
      </c>
      <c r="D18" s="362" t="s">
        <v>204</v>
      </c>
      <c r="E18" s="362"/>
      <c r="F18" s="42"/>
      <c r="G18" s="42"/>
    </row>
    <row r="19" spans="1:7">
      <c r="B19" s="364">
        <v>80</v>
      </c>
      <c r="C19" s="364">
        <v>60</v>
      </c>
      <c r="D19" s="364">
        <v>70</v>
      </c>
    </row>
    <row r="20" spans="1:7" ht="15.75" thickBot="1"/>
    <row r="21" spans="1:7" ht="15.75" thickBot="1">
      <c r="A21" s="431" t="s">
        <v>472</v>
      </c>
      <c r="B21" s="349" t="s">
        <v>473</v>
      </c>
      <c r="C21" s="65"/>
    </row>
    <row r="22" spans="1:7">
      <c r="D22" s="65"/>
    </row>
    <row r="23" spans="1:7" ht="41.25" customHeight="1">
      <c r="A23" s="408" t="s">
        <v>465</v>
      </c>
      <c r="B23" s="367" t="s">
        <v>466</v>
      </c>
      <c r="C23" s="367" t="s">
        <v>478</v>
      </c>
      <c r="D23" s="367" t="s">
        <v>471</v>
      </c>
    </row>
    <row r="24" spans="1:7">
      <c r="A24" s="5" t="s">
        <v>452</v>
      </c>
      <c r="B24" s="430">
        <v>60</v>
      </c>
      <c r="C24" s="5" t="s">
        <v>468</v>
      </c>
      <c r="D24" s="430">
        <v>45</v>
      </c>
    </row>
    <row r="25" spans="1:7">
      <c r="A25" s="5" t="s">
        <v>453</v>
      </c>
      <c r="B25" s="430">
        <v>105</v>
      </c>
      <c r="C25" s="5" t="s">
        <v>469</v>
      </c>
      <c r="D25" s="430">
        <v>90</v>
      </c>
    </row>
    <row r="26" spans="1:7">
      <c r="A26" s="5" t="s">
        <v>467</v>
      </c>
      <c r="B26" s="430">
        <v>70</v>
      </c>
      <c r="C26" s="5" t="s">
        <v>470</v>
      </c>
      <c r="D26" s="430">
        <v>35</v>
      </c>
    </row>
    <row r="27" spans="1:7">
      <c r="A27" s="5" t="s">
        <v>228</v>
      </c>
      <c r="B27" s="410">
        <v>235</v>
      </c>
      <c r="C27" s="5" t="s">
        <v>228</v>
      </c>
      <c r="D27" s="410">
        <v>170</v>
      </c>
    </row>
    <row r="29" spans="1:7">
      <c r="A29" s="349" t="s">
        <v>474</v>
      </c>
      <c r="C29" s="65"/>
    </row>
    <row r="30" spans="1:7">
      <c r="C30" s="432" t="s">
        <v>476</v>
      </c>
    </row>
    <row r="31" spans="1:7">
      <c r="A31" s="408" t="s">
        <v>475</v>
      </c>
      <c r="B31" s="367" t="s">
        <v>468</v>
      </c>
      <c r="C31" s="408" t="s">
        <v>469</v>
      </c>
      <c r="D31" s="367" t="s">
        <v>470</v>
      </c>
    </row>
    <row r="32" spans="1:7">
      <c r="A32" s="410">
        <v>1</v>
      </c>
      <c r="B32" s="430">
        <v>5</v>
      </c>
      <c r="C32" s="410">
        <v>8</v>
      </c>
      <c r="D32" s="430">
        <v>6</v>
      </c>
    </row>
    <row r="33" spans="1:11">
      <c r="A33" s="410">
        <v>2</v>
      </c>
      <c r="B33" s="430">
        <v>10</v>
      </c>
      <c r="C33" s="410">
        <v>9</v>
      </c>
      <c r="D33" s="430">
        <v>12</v>
      </c>
    </row>
    <row r="34" spans="1:11">
      <c r="A34" s="410">
        <v>3</v>
      </c>
      <c r="B34" s="430">
        <v>7</v>
      </c>
      <c r="C34" s="410">
        <v>6</v>
      </c>
      <c r="D34" s="430">
        <v>10</v>
      </c>
    </row>
    <row r="35" spans="1:11">
      <c r="A35" s="42"/>
      <c r="B35" s="409"/>
      <c r="C35" s="42"/>
      <c r="D35" s="409"/>
    </row>
    <row r="36" spans="1:11" ht="15.75" thickBot="1">
      <c r="A36" s="349" t="s">
        <v>373</v>
      </c>
    </row>
    <row r="37" spans="1:11" ht="15.75" thickBot="1">
      <c r="A37" s="506" t="s">
        <v>477</v>
      </c>
      <c r="B37" s="507"/>
      <c r="C37" s="370">
        <f>SUMPRODUCT(B41:D43,B32:D34)</f>
        <v>1610</v>
      </c>
    </row>
    <row r="39" spans="1:11">
      <c r="A39" s="42"/>
      <c r="B39" s="65"/>
      <c r="C39" s="432" t="s">
        <v>476</v>
      </c>
      <c r="D39" s="65"/>
    </row>
    <row r="40" spans="1:11">
      <c r="A40" s="408" t="s">
        <v>475</v>
      </c>
      <c r="B40" s="367" t="s">
        <v>468</v>
      </c>
      <c r="C40" s="408" t="s">
        <v>469</v>
      </c>
      <c r="D40" s="367" t="s">
        <v>470</v>
      </c>
      <c r="E40" s="65" t="s">
        <v>479</v>
      </c>
      <c r="F40" s="65"/>
    </row>
    <row r="41" spans="1:11">
      <c r="A41" s="410">
        <v>1</v>
      </c>
      <c r="B41" s="423">
        <v>0</v>
      </c>
      <c r="C41" s="357">
        <v>60</v>
      </c>
      <c r="D41" s="423">
        <v>0</v>
      </c>
      <c r="E41" s="395">
        <f>SUM(B41:D41)</f>
        <v>60</v>
      </c>
      <c r="F41" s="410" t="s">
        <v>206</v>
      </c>
      <c r="G41" s="410">
        <v>60</v>
      </c>
    </row>
    <row r="42" spans="1:11">
      <c r="A42" s="410">
        <v>2</v>
      </c>
      <c r="B42" s="423">
        <v>45</v>
      </c>
      <c r="C42" s="357">
        <v>30</v>
      </c>
      <c r="D42" s="423">
        <v>30</v>
      </c>
      <c r="E42" s="395">
        <f t="shared" ref="E42:E43" si="1">SUM(B42:D42)</f>
        <v>105</v>
      </c>
      <c r="F42" s="410" t="s">
        <v>206</v>
      </c>
      <c r="G42" s="410">
        <v>105</v>
      </c>
    </row>
    <row r="43" spans="1:11">
      <c r="A43" s="410">
        <v>3</v>
      </c>
      <c r="B43" s="423">
        <v>0</v>
      </c>
      <c r="C43" s="357">
        <v>0</v>
      </c>
      <c r="D43" s="423">
        <v>5</v>
      </c>
      <c r="E43" s="395">
        <f t="shared" si="1"/>
        <v>5</v>
      </c>
      <c r="F43" s="410" t="s">
        <v>206</v>
      </c>
      <c r="G43" s="410">
        <v>70</v>
      </c>
    </row>
    <row r="44" spans="1:11">
      <c r="B44" s="395">
        <f>SUM(B41:B43)</f>
        <v>45</v>
      </c>
      <c r="C44" s="395">
        <f t="shared" ref="C44:D44" si="2">SUM(C41:C43)</f>
        <v>90</v>
      </c>
      <c r="D44" s="395">
        <f t="shared" si="2"/>
        <v>35</v>
      </c>
    </row>
    <row r="45" spans="1:11" ht="15.75" thickBot="1">
      <c r="A45" t="s">
        <v>479</v>
      </c>
      <c r="B45" s="410" t="s">
        <v>206</v>
      </c>
      <c r="C45" s="410" t="s">
        <v>206</v>
      </c>
      <c r="D45" s="410" t="s">
        <v>206</v>
      </c>
    </row>
    <row r="46" spans="1:11">
      <c r="B46" s="433">
        <v>45</v>
      </c>
      <c r="C46" s="415">
        <v>90</v>
      </c>
      <c r="D46" s="433">
        <v>35</v>
      </c>
      <c r="F46" s="509" t="s">
        <v>426</v>
      </c>
      <c r="G46" s="512"/>
      <c r="H46" s="512"/>
      <c r="I46" s="512"/>
      <c r="J46" s="512"/>
      <c r="K46" s="513"/>
    </row>
    <row r="47" spans="1:11">
      <c r="F47" s="510" t="s">
        <v>480</v>
      </c>
      <c r="G47" s="514"/>
      <c r="H47" s="514"/>
      <c r="I47" s="514"/>
      <c r="J47" s="514"/>
      <c r="K47" s="515"/>
    </row>
    <row r="48" spans="1:11">
      <c r="A48" t="str">
        <f ca="1">_xlfn.FORMULATEXT(B48)</f>
        <v>=SUMA(B44:D44)</v>
      </c>
      <c r="B48" s="508">
        <f>SUM(B44:D44)</f>
        <v>170</v>
      </c>
      <c r="C48" s="444"/>
      <c r="D48" s="444"/>
      <c r="F48" s="510" t="s">
        <v>481</v>
      </c>
      <c r="G48" s="514"/>
      <c r="H48" s="514"/>
      <c r="I48" s="514"/>
      <c r="J48" s="514"/>
      <c r="K48" s="515"/>
    </row>
    <row r="49" spans="3:11" ht="15.75" thickBot="1">
      <c r="C49" s="411" t="s">
        <v>206</v>
      </c>
      <c r="F49" s="511" t="s">
        <v>482</v>
      </c>
      <c r="G49" s="516"/>
      <c r="H49" s="516"/>
      <c r="I49" s="516"/>
      <c r="J49" s="516"/>
      <c r="K49" s="517"/>
    </row>
    <row r="50" spans="3:11" ht="15.75" thickBot="1">
      <c r="C50" s="411">
        <v>170</v>
      </c>
      <c r="F50" s="518" t="s">
        <v>483</v>
      </c>
      <c r="G50" s="516"/>
      <c r="H50" s="516"/>
      <c r="I50" s="516"/>
      <c r="J50" s="516"/>
      <c r="K50" s="517"/>
    </row>
  </sheetData>
  <mergeCells count="2">
    <mergeCell ref="A37:B37"/>
    <mergeCell ref="B48:D4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2" sqref="D12"/>
    </sheetView>
  </sheetViews>
  <sheetFormatPr baseColWidth="10"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78" zoomScaleNormal="78" workbookViewId="0">
      <selection activeCell="P15" sqref="P15"/>
    </sheetView>
  </sheetViews>
  <sheetFormatPr baseColWidth="10" defaultRowHeight="15"/>
  <cols>
    <col min="1" max="1" width="19.42578125" customWidth="1"/>
    <col min="2" max="2" width="26.28515625" customWidth="1"/>
    <col min="5" max="5" width="15.7109375" customWidth="1"/>
  </cols>
  <sheetData>
    <row r="1" spans="1:9" ht="15.75" thickBot="1">
      <c r="A1" s="444" t="s">
        <v>4</v>
      </c>
      <c r="B1" s="444"/>
      <c r="C1" s="444" t="s">
        <v>3</v>
      </c>
      <c r="D1" s="444"/>
      <c r="E1" s="445" t="s">
        <v>7</v>
      </c>
      <c r="F1" s="444"/>
      <c r="G1" s="8"/>
      <c r="H1" s="446" t="s">
        <v>2</v>
      </c>
      <c r="I1" s="447"/>
    </row>
    <row r="2" spans="1:9" ht="15.75" thickBot="1">
      <c r="A2" s="1" t="s">
        <v>0</v>
      </c>
      <c r="B2" s="2" t="s">
        <v>1</v>
      </c>
      <c r="C2" s="1" t="s">
        <v>5</v>
      </c>
      <c r="D2" s="23" t="s">
        <v>6</v>
      </c>
      <c r="E2" s="25" t="s">
        <v>5</v>
      </c>
      <c r="F2" s="24" t="s">
        <v>6</v>
      </c>
      <c r="H2" s="15" t="s">
        <v>8</v>
      </c>
      <c r="I2" s="16" t="s">
        <v>9</v>
      </c>
    </row>
    <row r="3" spans="1:9">
      <c r="A3" s="3">
        <v>1</v>
      </c>
      <c r="B3" s="4">
        <v>218.6</v>
      </c>
      <c r="C3" s="9">
        <f>$I$3*EXP($I$4*A3)</f>
        <v>214.07807824032759</v>
      </c>
      <c r="D3" s="9">
        <f>$I$8*A3^$I$9</f>
        <v>170.97</v>
      </c>
      <c r="E3" s="11">
        <f>ABS(C3-B3)/B3</f>
        <v>2.0685826896946063E-2</v>
      </c>
      <c r="F3" s="10">
        <f>ABS(D3-B3)/B3</f>
        <v>0.2178865507776761</v>
      </c>
      <c r="H3" s="17" t="s">
        <v>11</v>
      </c>
      <c r="I3" s="18">
        <v>103.59</v>
      </c>
    </row>
    <row r="4" spans="1:9" ht="15.75" thickBot="1">
      <c r="A4" s="5">
        <v>2</v>
      </c>
      <c r="B4" s="4">
        <v>435</v>
      </c>
      <c r="C4" s="9">
        <f t="shared" ref="C4:C9" si="0">$I$3*EXP($I$4*A4)</f>
        <v>442.41165733248204</v>
      </c>
      <c r="D4" s="9">
        <f t="shared" ref="D4:D9" si="1">$I$8*A4^$I$9</f>
        <v>575.51087833709835</v>
      </c>
      <c r="E4" s="11">
        <f t="shared" ref="E4:E7" si="2">ABS(C4-B4)/B4</f>
        <v>1.7038292718349508E-2</v>
      </c>
      <c r="F4" s="10">
        <f t="shared" ref="F4:F7" si="3">ABS(D4-B4)/B4</f>
        <v>0.32301351341861689</v>
      </c>
      <c r="H4" s="19" t="s">
        <v>10</v>
      </c>
      <c r="I4" s="20">
        <v>0.72589999999999999</v>
      </c>
    </row>
    <row r="5" spans="1:9">
      <c r="A5" s="5">
        <v>3</v>
      </c>
      <c r="B5" s="4">
        <v>915</v>
      </c>
      <c r="C5" s="9">
        <f t="shared" si="0"/>
        <v>914.28359294194479</v>
      </c>
      <c r="D5" s="9">
        <f t="shared" si="1"/>
        <v>1170.5957441095538</v>
      </c>
      <c r="E5" s="11">
        <f t="shared" si="2"/>
        <v>7.8295853339367281E-4</v>
      </c>
      <c r="F5" s="10">
        <f t="shared" si="3"/>
        <v>0.2793396110486927</v>
      </c>
    </row>
    <row r="6" spans="1:9">
      <c r="A6" s="5">
        <v>4</v>
      </c>
      <c r="B6" s="4">
        <v>1825.9</v>
      </c>
      <c r="C6" s="9">
        <f t="shared" si="0"/>
        <v>1889.449508096086</v>
      </c>
      <c r="D6" s="9">
        <f t="shared" si="1"/>
        <v>1937.2566595562869</v>
      </c>
      <c r="E6" s="11">
        <f t="shared" si="2"/>
        <v>3.4804484416499207E-2</v>
      </c>
      <c r="F6" s="10">
        <f t="shared" si="3"/>
        <v>6.0987271787220979E-2</v>
      </c>
      <c r="H6" s="444" t="s">
        <v>12</v>
      </c>
      <c r="I6" s="444"/>
    </row>
    <row r="7" spans="1:9">
      <c r="A7" s="5">
        <v>5</v>
      </c>
      <c r="B7" s="4">
        <v>4021.8</v>
      </c>
      <c r="C7" s="9">
        <f t="shared" si="0"/>
        <v>3904.7178262896268</v>
      </c>
      <c r="D7" s="9">
        <f t="shared" si="1"/>
        <v>2863.4281246022297</v>
      </c>
      <c r="E7" s="11">
        <f t="shared" si="2"/>
        <v>2.9111883661637413E-2</v>
      </c>
      <c r="F7" s="10">
        <f t="shared" si="3"/>
        <v>0.28802324217956399</v>
      </c>
      <c r="H7" s="5" t="s">
        <v>13</v>
      </c>
      <c r="I7" s="5"/>
    </row>
    <row r="8" spans="1:9">
      <c r="A8" s="3">
        <v>6</v>
      </c>
      <c r="B8" s="31">
        <v>3582.1</v>
      </c>
      <c r="C8" s="30">
        <f t="shared" si="0"/>
        <v>8069.4515718006751</v>
      </c>
      <c r="D8" s="9">
        <f t="shared" si="1"/>
        <v>3940.4023212853626</v>
      </c>
      <c r="E8" s="11">
        <f>SUM(E3:E7)/5</f>
        <v>2.0484689245365173E-2</v>
      </c>
      <c r="F8" s="22">
        <f>SUM(F3:F7)/5</f>
        <v>0.23385003784235411</v>
      </c>
      <c r="H8" s="5" t="s">
        <v>11</v>
      </c>
      <c r="I8" s="5">
        <v>170.97</v>
      </c>
    </row>
    <row r="9" spans="1:9">
      <c r="A9" s="6">
        <v>7</v>
      </c>
      <c r="C9" s="30">
        <f t="shared" si="0"/>
        <v>16676.24949265836</v>
      </c>
      <c r="D9" s="9">
        <f t="shared" si="1"/>
        <v>5161.4424527966221</v>
      </c>
      <c r="E9" s="21" t="s">
        <v>14</v>
      </c>
      <c r="H9" s="5" t="s">
        <v>10</v>
      </c>
      <c r="I9" s="5">
        <v>1.7511000000000001</v>
      </c>
    </row>
    <row r="11" spans="1:9">
      <c r="A11" s="1" t="s">
        <v>0</v>
      </c>
      <c r="B11" s="2" t="s">
        <v>1</v>
      </c>
      <c r="C11" s="1" t="s">
        <v>5</v>
      </c>
    </row>
    <row r="12" spans="1:9" ht="15.75">
      <c r="A12" s="3">
        <v>1</v>
      </c>
      <c r="B12" s="4">
        <v>218.6</v>
      </c>
      <c r="C12" s="9">
        <f>$I$3*EXP($I$4*A12)</f>
        <v>214.07807824032759</v>
      </c>
      <c r="D12" s="7"/>
    </row>
    <row r="13" spans="1:9">
      <c r="A13" s="5">
        <v>2</v>
      </c>
      <c r="B13" s="4">
        <v>435</v>
      </c>
      <c r="C13" s="9">
        <f t="shared" ref="C13:C16" si="4">$I$3*EXP($I$4*A13)</f>
        <v>442.41165733248204</v>
      </c>
    </row>
    <row r="14" spans="1:9">
      <c r="A14" s="5">
        <v>3</v>
      </c>
      <c r="B14" s="4">
        <v>915</v>
      </c>
      <c r="C14" s="9">
        <f t="shared" si="4"/>
        <v>914.28359294194479</v>
      </c>
    </row>
    <row r="15" spans="1:9">
      <c r="A15" s="5">
        <v>4</v>
      </c>
      <c r="B15" s="4">
        <v>1825.9</v>
      </c>
      <c r="C15" s="9">
        <f t="shared" si="4"/>
        <v>1889.449508096086</v>
      </c>
    </row>
    <row r="16" spans="1:9">
      <c r="A16" s="5">
        <v>5</v>
      </c>
      <c r="B16" s="4">
        <v>4021.8</v>
      </c>
      <c r="C16" s="9">
        <f t="shared" si="4"/>
        <v>3904.7178262896268</v>
      </c>
    </row>
    <row r="17" spans="1:4" ht="15.75" thickBot="1"/>
    <row r="18" spans="1:4" ht="15.75" thickBot="1">
      <c r="A18" s="26" t="s">
        <v>15</v>
      </c>
    </row>
    <row r="19" spans="1:4">
      <c r="A19" t="s">
        <v>16</v>
      </c>
      <c r="B19" s="12">
        <v>250</v>
      </c>
    </row>
    <row r="20" spans="1:4">
      <c r="A20" t="s">
        <v>22</v>
      </c>
      <c r="B20" s="12">
        <v>16000</v>
      </c>
    </row>
    <row r="21" spans="1:4" ht="49.5" customHeight="1">
      <c r="A21" s="13" t="s">
        <v>21</v>
      </c>
      <c r="B21" s="9" t="e">
        <f>$I$3*EXP($I$4*B20)</f>
        <v>#NUM!</v>
      </c>
      <c r="C21" s="29" t="s">
        <v>8</v>
      </c>
      <c r="D21" s="16" t="s">
        <v>9</v>
      </c>
    </row>
    <row r="22" spans="1:4">
      <c r="A22" t="s">
        <v>17</v>
      </c>
      <c r="B22" s="14" t="e">
        <f>B21*1000000</f>
        <v>#NUM!</v>
      </c>
      <c r="C22" s="17" t="s">
        <v>11</v>
      </c>
      <c r="D22" s="18">
        <v>103.59</v>
      </c>
    </row>
    <row r="23" spans="1:4" ht="15.75" thickBot="1">
      <c r="C23" s="19" t="s">
        <v>10</v>
      </c>
      <c r="D23" s="20">
        <v>0.72589999999999999</v>
      </c>
    </row>
    <row r="24" spans="1:4">
      <c r="A24" t="s">
        <v>18</v>
      </c>
      <c r="B24" s="12" t="e">
        <f>B22*B19</f>
        <v>#NUM!</v>
      </c>
    </row>
    <row r="25" spans="1:4" ht="15.75" thickBot="1">
      <c r="A25" t="s">
        <v>19</v>
      </c>
      <c r="B25" s="12" t="e">
        <f>B22*B20</f>
        <v>#NUM!</v>
      </c>
    </row>
    <row r="26" spans="1:4" ht="15.75" thickBot="1">
      <c r="A26" s="27" t="s">
        <v>20</v>
      </c>
      <c r="B26" s="28" t="e">
        <f>B25-B24</f>
        <v>#NUM!</v>
      </c>
    </row>
  </sheetData>
  <mergeCells count="5">
    <mergeCell ref="H6:I6"/>
    <mergeCell ref="C1:D1"/>
    <mergeCell ref="A1:B1"/>
    <mergeCell ref="E1:F1"/>
    <mergeCell ref="H1:I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zoomScaleNormal="100" workbookViewId="0">
      <selection activeCell="I6" sqref="I6"/>
    </sheetView>
  </sheetViews>
  <sheetFormatPr baseColWidth="10" defaultRowHeight="15"/>
  <cols>
    <col min="1" max="1" width="18.7109375" customWidth="1"/>
    <col min="2" max="2" width="15.42578125" customWidth="1"/>
    <col min="3" max="3" width="13.28515625" customWidth="1"/>
    <col min="5" max="5" width="19.5703125" style="32" customWidth="1"/>
    <col min="6" max="6" width="19.140625" customWidth="1"/>
    <col min="7" max="7" width="19.5703125" customWidth="1"/>
    <col min="8" max="8" width="23.5703125" customWidth="1"/>
    <col min="10" max="10" width="17" customWidth="1"/>
  </cols>
  <sheetData>
    <row r="1" spans="1:8" ht="23.25" customHeight="1">
      <c r="A1" s="48" t="s">
        <v>25</v>
      </c>
    </row>
    <row r="2" spans="1:8" ht="12.75" customHeight="1" thickBot="1"/>
    <row r="3" spans="1:8" s="39" customFormat="1" ht="18" customHeight="1">
      <c r="A3" s="452" t="s">
        <v>53</v>
      </c>
      <c r="B3" s="453"/>
      <c r="C3" s="453"/>
      <c r="D3" s="453"/>
      <c r="E3" s="453"/>
      <c r="F3" s="43"/>
      <c r="G3" s="44"/>
    </row>
    <row r="4" spans="1:8" ht="37.5" customHeight="1">
      <c r="A4" s="454" t="s">
        <v>38</v>
      </c>
      <c r="B4" s="440"/>
      <c r="C4" s="440"/>
      <c r="D4" s="440"/>
      <c r="E4" s="440"/>
      <c r="F4" s="440"/>
      <c r="G4" s="455"/>
    </row>
    <row r="5" spans="1:8">
      <c r="A5" s="35"/>
      <c r="B5" s="42"/>
      <c r="C5" s="42"/>
      <c r="D5" s="42"/>
      <c r="E5" s="45"/>
      <c r="F5" s="42"/>
      <c r="G5" s="46"/>
    </row>
    <row r="6" spans="1:8" ht="27.75" customHeight="1">
      <c r="A6" s="456" t="s">
        <v>39</v>
      </c>
      <c r="B6" s="457"/>
      <c r="C6" s="457"/>
      <c r="D6" s="457"/>
      <c r="E6" s="457"/>
      <c r="F6" s="457"/>
      <c r="G6" s="458"/>
    </row>
    <row r="7" spans="1:8" ht="9.75" customHeight="1">
      <c r="A7" s="40"/>
      <c r="B7" s="41"/>
      <c r="C7" s="41"/>
      <c r="D7" s="41"/>
      <c r="E7" s="41"/>
      <c r="F7" s="41"/>
      <c r="G7" s="47"/>
    </row>
    <row r="8" spans="1:8" ht="31.5" customHeight="1">
      <c r="A8" s="459" t="s">
        <v>23</v>
      </c>
      <c r="B8" s="460"/>
      <c r="C8" s="460"/>
      <c r="D8" s="460"/>
      <c r="E8" s="460"/>
      <c r="F8" s="460"/>
      <c r="G8" s="461"/>
    </row>
    <row r="9" spans="1:8" ht="21" customHeight="1" thickBot="1">
      <c r="A9" s="462" t="s">
        <v>24</v>
      </c>
      <c r="B9" s="463"/>
      <c r="C9" s="463"/>
      <c r="D9" s="463"/>
      <c r="E9" s="463"/>
      <c r="F9" s="463"/>
      <c r="G9" s="464"/>
      <c r="H9" s="42"/>
    </row>
    <row r="11" spans="1:8">
      <c r="E11" s="449" t="s">
        <v>36</v>
      </c>
      <c r="F11" s="449"/>
      <c r="G11" s="449"/>
    </row>
    <row r="12" spans="1:8">
      <c r="A12" s="49" t="s">
        <v>26</v>
      </c>
      <c r="B12" s="9">
        <v>9.3000000000000007</v>
      </c>
      <c r="C12" s="5" t="s">
        <v>27</v>
      </c>
      <c r="E12" s="33" t="s">
        <v>35</v>
      </c>
      <c r="F12" s="448" t="s">
        <v>37</v>
      </c>
      <c r="G12" s="448"/>
    </row>
    <row r="13" spans="1:8">
      <c r="A13" s="49" t="s">
        <v>28</v>
      </c>
      <c r="B13" s="5">
        <v>20</v>
      </c>
      <c r="C13" s="5" t="s">
        <v>29</v>
      </c>
      <c r="E13" s="34">
        <v>1</v>
      </c>
      <c r="F13" s="54">
        <v>1.2</v>
      </c>
      <c r="G13" s="5"/>
    </row>
    <row r="14" spans="1:8">
      <c r="A14" s="49" t="s">
        <v>30</v>
      </c>
      <c r="B14" s="5">
        <v>1.2</v>
      </c>
      <c r="C14" s="5" t="s">
        <v>27</v>
      </c>
      <c r="E14" s="34">
        <v>2</v>
      </c>
      <c r="F14" s="55">
        <f>F13+(F13*0.1)</f>
        <v>1.3199999999999998</v>
      </c>
      <c r="G14" s="5" t="str">
        <f ca="1">_xlfn.FORMULATEXT(F14)</f>
        <v>=F13+(F13*0,1)</v>
      </c>
    </row>
    <row r="15" spans="1:8">
      <c r="A15" s="49" t="s">
        <v>32</v>
      </c>
      <c r="B15" s="5">
        <v>8</v>
      </c>
      <c r="C15" s="5"/>
      <c r="E15" s="34">
        <v>3</v>
      </c>
      <c r="F15" s="56">
        <f t="shared" ref="F15:F20" si="0">F14+(F14*0.1)</f>
        <v>1.4519999999999997</v>
      </c>
      <c r="G15" s="5" t="str">
        <f t="shared" ref="G15:H32" ca="1" si="1">_xlfn.FORMULATEXT(F15)</f>
        <v>=F14+(F14*0,1)</v>
      </c>
    </row>
    <row r="16" spans="1:8">
      <c r="A16" s="49" t="s">
        <v>31</v>
      </c>
      <c r="B16" s="36">
        <v>0.1</v>
      </c>
      <c r="C16" s="5"/>
      <c r="E16" s="34">
        <v>4</v>
      </c>
      <c r="F16" s="56">
        <f t="shared" si="0"/>
        <v>1.5971999999999997</v>
      </c>
      <c r="G16" s="5" t="str">
        <f t="shared" ca="1" si="1"/>
        <v>=F15+(F15*0,1)</v>
      </c>
    </row>
    <row r="17" spans="1:9">
      <c r="A17" s="49" t="s">
        <v>33</v>
      </c>
      <c r="B17" s="9">
        <v>0.05</v>
      </c>
      <c r="C17" s="5"/>
      <c r="E17" s="34">
        <v>5</v>
      </c>
      <c r="F17" s="56">
        <f t="shared" si="0"/>
        <v>1.7569199999999996</v>
      </c>
      <c r="G17" s="5" t="str">
        <f t="shared" ca="1" si="1"/>
        <v>=F16+(F16*0,1)</v>
      </c>
    </row>
    <row r="18" spans="1:9">
      <c r="A18" s="49" t="s">
        <v>34</v>
      </c>
      <c r="B18" s="9">
        <v>0.12</v>
      </c>
      <c r="C18" s="5"/>
      <c r="E18" s="34">
        <v>6</v>
      </c>
      <c r="F18" s="56">
        <f t="shared" si="0"/>
        <v>1.9326119999999996</v>
      </c>
      <c r="G18" s="5" t="str">
        <f t="shared" ca="1" si="1"/>
        <v>=F17+(F17*0,1)</v>
      </c>
    </row>
    <row r="19" spans="1:9">
      <c r="E19" s="34">
        <v>7</v>
      </c>
      <c r="F19" s="56">
        <f t="shared" si="0"/>
        <v>2.1258731999999996</v>
      </c>
      <c r="G19" s="5" t="str">
        <f t="shared" ca="1" si="1"/>
        <v>=F18+(F18*0,1)</v>
      </c>
    </row>
    <row r="20" spans="1:9">
      <c r="A20" s="50" t="s">
        <v>40</v>
      </c>
      <c r="B20" s="37">
        <f>NPV($B$18,F13:F32)</f>
        <v>12.600290735832383</v>
      </c>
      <c r="C20" t="str">
        <f ca="1">_xlfn.FORMULATEXT(B20)</f>
        <v>=VNA($B$18;F13:F32)</v>
      </c>
      <c r="E20" s="34">
        <v>8</v>
      </c>
      <c r="F20" s="56">
        <f t="shared" si="0"/>
        <v>2.3384605199999995</v>
      </c>
      <c r="G20" s="5" t="str">
        <f t="shared" ca="1" si="1"/>
        <v>=F19+(F19*0,1)</v>
      </c>
      <c r="H20" s="5" t="str">
        <f t="shared" ca="1" si="1"/>
        <v>=FORMULATEXTO(F20)</v>
      </c>
    </row>
    <row r="21" spans="1:9" ht="15.75" thickBot="1">
      <c r="A21" s="51" t="s">
        <v>26</v>
      </c>
      <c r="B21" s="38">
        <v>9.3000000000000007</v>
      </c>
      <c r="E21" s="34">
        <v>9</v>
      </c>
      <c r="F21" s="57">
        <f t="shared" ref="F21:F32" si="2">F20-(F20*$B$17)</f>
        <v>2.2215374939999997</v>
      </c>
      <c r="G21" s="5" t="str">
        <f t="shared" ca="1" si="1"/>
        <v>=F20-(F20*$B$17)</v>
      </c>
    </row>
    <row r="22" spans="1:9" ht="15.75" thickBot="1">
      <c r="A22" s="52" t="s">
        <v>41</v>
      </c>
      <c r="B22" s="53">
        <f>B20-B21</f>
        <v>3.3002907358323821</v>
      </c>
      <c r="C22" t="str">
        <f ca="1">_xlfn.FORMULATEXT(B22)</f>
        <v>=B20-B21</v>
      </c>
      <c r="E22" s="34">
        <v>10</v>
      </c>
      <c r="F22" s="57">
        <f t="shared" si="2"/>
        <v>2.1104606192999995</v>
      </c>
      <c r="G22" s="5" t="str">
        <f t="shared" ca="1" si="1"/>
        <v>=F21-(F21*$B$17)</v>
      </c>
    </row>
    <row r="23" spans="1:9">
      <c r="E23" s="34">
        <v>11</v>
      </c>
      <c r="F23" s="57">
        <f t="shared" si="2"/>
        <v>2.0049375883349994</v>
      </c>
      <c r="G23" s="5" t="str">
        <f t="shared" ca="1" si="1"/>
        <v>=F22-(F22*$B$17)</v>
      </c>
      <c r="I23" s="65"/>
    </row>
    <row r="24" spans="1:9" ht="17.25">
      <c r="B24" s="450" t="s">
        <v>42</v>
      </c>
      <c r="C24" s="451"/>
      <c r="D24" s="61"/>
      <c r="E24" s="34">
        <v>12</v>
      </c>
      <c r="F24" s="57">
        <f t="shared" si="2"/>
        <v>1.9046907089182494</v>
      </c>
      <c r="G24" s="5" t="str">
        <f t="shared" ca="1" si="1"/>
        <v>=F23-(F23*$B$17)</v>
      </c>
    </row>
    <row r="25" spans="1:9">
      <c r="A25" s="58"/>
      <c r="B25" s="62" t="s">
        <v>43</v>
      </c>
      <c r="C25" s="60"/>
      <c r="E25" s="34">
        <v>13</v>
      </c>
      <c r="F25" s="57">
        <f t="shared" si="2"/>
        <v>1.8094561734723369</v>
      </c>
      <c r="G25" s="5" t="str">
        <f t="shared" ca="1" si="1"/>
        <v>=F24-(F24*$B$17)</v>
      </c>
    </row>
    <row r="26" spans="1:9">
      <c r="C26" s="59"/>
      <c r="E26" s="34">
        <v>14</v>
      </c>
      <c r="F26" s="57">
        <f t="shared" si="2"/>
        <v>1.71898336479872</v>
      </c>
      <c r="G26" s="5" t="str">
        <f t="shared" ca="1" si="1"/>
        <v>=F25-(F25*$B$17)</v>
      </c>
    </row>
    <row r="27" spans="1:9">
      <c r="E27" s="34">
        <v>15</v>
      </c>
      <c r="F27" s="57">
        <f t="shared" si="2"/>
        <v>1.633034196558784</v>
      </c>
      <c r="G27" s="5" t="str">
        <f t="shared" ca="1" si="1"/>
        <v>=F26-(F26*$B$17)</v>
      </c>
    </row>
    <row r="28" spans="1:9">
      <c r="E28" s="34">
        <v>16</v>
      </c>
      <c r="F28" s="57">
        <f t="shared" si="2"/>
        <v>1.5513824867308448</v>
      </c>
      <c r="G28" s="5" t="str">
        <f t="shared" ca="1" si="1"/>
        <v>=F27-(F27*$B$17)</v>
      </c>
    </row>
    <row r="29" spans="1:9">
      <c r="C29" s="37"/>
      <c r="E29" s="34">
        <v>17</v>
      </c>
      <c r="F29" s="57">
        <f t="shared" si="2"/>
        <v>1.4738133623943026</v>
      </c>
      <c r="G29" s="5" t="str">
        <f t="shared" ca="1" si="1"/>
        <v>=F28-(F28*$B$17)</v>
      </c>
    </row>
    <row r="30" spans="1:9">
      <c r="E30" s="34">
        <v>18</v>
      </c>
      <c r="F30" s="57">
        <f t="shared" si="2"/>
        <v>1.4001226942745875</v>
      </c>
      <c r="G30" s="5" t="str">
        <f t="shared" ca="1" si="1"/>
        <v>=F29-(F29*$B$17)</v>
      </c>
    </row>
    <row r="31" spans="1:9">
      <c r="E31" s="34">
        <v>19</v>
      </c>
      <c r="F31" s="57">
        <f t="shared" si="2"/>
        <v>1.3301165595608582</v>
      </c>
      <c r="G31" s="5" t="str">
        <f t="shared" ca="1" si="1"/>
        <v>=F30-(F30*$B$17)</v>
      </c>
    </row>
    <row r="32" spans="1:9">
      <c r="E32" s="34">
        <v>20</v>
      </c>
      <c r="F32" s="57">
        <f t="shared" si="2"/>
        <v>1.2636107315828153</v>
      </c>
      <c r="G32" s="5" t="str">
        <f t="shared" ca="1" si="1"/>
        <v>=F31-(F31*$B$17)</v>
      </c>
    </row>
    <row r="33" spans="3:5">
      <c r="C33" s="42"/>
      <c r="D33" s="63"/>
      <c r="E33"/>
    </row>
    <row r="34" spans="3:5">
      <c r="E34"/>
    </row>
  </sheetData>
  <mergeCells count="8">
    <mergeCell ref="F12:G12"/>
    <mergeCell ref="E11:G11"/>
    <mergeCell ref="B24:C24"/>
    <mergeCell ref="A3:E3"/>
    <mergeCell ref="A4:G4"/>
    <mergeCell ref="A6:G6"/>
    <mergeCell ref="A8:G8"/>
    <mergeCell ref="A9:G9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37" zoomScaleNormal="37" workbookViewId="0">
      <selection activeCell="M42" sqref="M42"/>
    </sheetView>
  </sheetViews>
  <sheetFormatPr baseColWidth="10" defaultRowHeight="15"/>
  <sheetData>
    <row r="1" spans="1:1" ht="31.5">
      <c r="A1" s="64" t="s">
        <v>44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zoomScale="84" zoomScaleNormal="84" workbookViewId="0">
      <selection activeCell="O7" sqref="O7"/>
    </sheetView>
  </sheetViews>
  <sheetFormatPr baseColWidth="10" defaultRowHeight="15"/>
  <cols>
    <col min="2" max="2" width="11.42578125" style="65"/>
    <col min="3" max="3" width="34.42578125" bestFit="1" customWidth="1"/>
    <col min="4" max="4" width="20" customWidth="1"/>
    <col min="5" max="5" width="12.140625" customWidth="1"/>
    <col min="6" max="6" width="17.42578125" customWidth="1"/>
    <col min="7" max="7" width="18.28515625" customWidth="1"/>
    <col min="8" max="8" width="12.85546875" customWidth="1"/>
  </cols>
  <sheetData>
    <row r="1" spans="1:14" ht="32.25" customHeight="1">
      <c r="A1" s="69" t="s">
        <v>45</v>
      </c>
      <c r="B1" s="69" t="s">
        <v>47</v>
      </c>
      <c r="C1" s="70" t="s">
        <v>46</v>
      </c>
      <c r="D1" s="71" t="s">
        <v>49</v>
      </c>
      <c r="E1" s="78" t="s">
        <v>50</v>
      </c>
      <c r="F1" s="80" t="s">
        <v>51</v>
      </c>
    </row>
    <row r="2" spans="1:14" ht="19.5">
      <c r="A2" s="66">
        <v>1992</v>
      </c>
      <c r="B2" s="66">
        <v>1</v>
      </c>
      <c r="C2" s="67">
        <v>150781.16666666666</v>
      </c>
      <c r="D2" s="72">
        <f>158193*EXP(0.043*B2)</f>
        <v>165143.66740010298</v>
      </c>
      <c r="E2" s="10">
        <f>ABS((D2-C2)/C2)</f>
        <v>9.5253943519270107E-2</v>
      </c>
      <c r="F2" s="466" t="s">
        <v>52</v>
      </c>
      <c r="G2" s="466"/>
      <c r="H2" s="466"/>
      <c r="I2" s="466"/>
      <c r="J2" s="466"/>
      <c r="K2" s="466"/>
      <c r="L2" s="466"/>
      <c r="M2" s="466"/>
      <c r="N2" s="466"/>
    </row>
    <row r="3" spans="1:14">
      <c r="A3" s="68">
        <v>1993</v>
      </c>
      <c r="B3" s="68">
        <v>2</v>
      </c>
      <c r="C3" s="67">
        <v>161696.25</v>
      </c>
      <c r="D3" s="72">
        <f>158193*EXP(0.043*B3)</f>
        <v>172399.73249357322</v>
      </c>
      <c r="E3" s="10">
        <f t="shared" ref="E3:E21" si="0">ABS((D3-C3)/C3)</f>
        <v>6.6194995205969331E-2</v>
      </c>
    </row>
    <row r="4" spans="1:14">
      <c r="A4" s="68">
        <v>1994</v>
      </c>
      <c r="B4" s="66">
        <v>3</v>
      </c>
      <c r="C4" s="67">
        <v>175688.83333333334</v>
      </c>
      <c r="D4" s="72">
        <f t="shared" ref="D4:D35" si="1">158193*EXP(0.043*B4)</f>
        <v>179974.61381214956</v>
      </c>
      <c r="E4" s="10">
        <f t="shared" si="0"/>
        <v>2.4394154127512661E-2</v>
      </c>
      <c r="G4" s="83">
        <f>C21-C2</f>
        <v>173183.00000000003</v>
      </c>
      <c r="H4" s="81" t="str">
        <f ca="1">_xlfn.FORMULATEXT(G4)</f>
        <v>=C21-C2</v>
      </c>
      <c r="I4" s="81"/>
      <c r="J4" s="81"/>
    </row>
    <row r="5" spans="1:14" ht="15.75" thickBot="1">
      <c r="A5" s="68">
        <v>1995</v>
      </c>
      <c r="B5" s="68">
        <v>4</v>
      </c>
      <c r="C5" s="67">
        <v>185437.25</v>
      </c>
      <c r="D5" s="72">
        <f t="shared" si="1"/>
        <v>187882.31946960744</v>
      </c>
      <c r="E5" s="10">
        <f t="shared" si="0"/>
        <v>1.3185427790842644E-2</v>
      </c>
      <c r="G5">
        <f>G4/C2</f>
        <v>1.1485718264991098</v>
      </c>
      <c r="H5" t="str">
        <f ca="1">_xlfn.FORMULATEXT(G5)</f>
        <v>=G4/C2</v>
      </c>
      <c r="I5" s="81"/>
      <c r="J5" s="81"/>
    </row>
    <row r="6" spans="1:14" ht="15.75" thickBot="1">
      <c r="A6" s="68">
        <v>1996</v>
      </c>
      <c r="B6" s="66">
        <v>5</v>
      </c>
      <c r="C6" s="67">
        <v>196728.16666666666</v>
      </c>
      <c r="D6" s="72">
        <f t="shared" si="1"/>
        <v>196137.47306675219</v>
      </c>
      <c r="E6" s="10">
        <f t="shared" si="0"/>
        <v>3.0025878343863449E-3</v>
      </c>
      <c r="G6" s="82">
        <f>G5*100</f>
        <v>114.85718264991098</v>
      </c>
      <c r="H6" s="81" t="str">
        <f ca="1">_xlfn.FORMULATEXT(G6)</f>
        <v>=G5*100</v>
      </c>
    </row>
    <row r="7" spans="1:14">
      <c r="A7" s="68">
        <v>1997</v>
      </c>
      <c r="B7" s="68">
        <v>6</v>
      </c>
      <c r="C7" s="67">
        <v>206334.08333333334</v>
      </c>
      <c r="D7" s="72">
        <f t="shared" si="1"/>
        <v>204755.34073462404</v>
      </c>
      <c r="E7" s="10">
        <f t="shared" si="0"/>
        <v>7.6513902754439152E-3</v>
      </c>
    </row>
    <row r="8" spans="1:14">
      <c r="A8" s="68">
        <v>1998</v>
      </c>
      <c r="B8" s="66">
        <v>7</v>
      </c>
      <c r="C8" s="67">
        <v>215657.66666666666</v>
      </c>
      <c r="D8" s="72">
        <f t="shared" si="1"/>
        <v>213751.8593659233</v>
      </c>
      <c r="E8" s="10">
        <f t="shared" si="0"/>
        <v>8.8371877995373337E-3</v>
      </c>
    </row>
    <row r="9" spans="1:14" ht="15.75" thickBot="1">
      <c r="A9" s="68">
        <v>1999</v>
      </c>
      <c r="B9" s="68">
        <v>8</v>
      </c>
      <c r="C9" s="67">
        <v>233872</v>
      </c>
      <c r="D9" s="72">
        <f t="shared" si="1"/>
        <v>223143.66608686617</v>
      </c>
      <c r="E9" s="10">
        <f t="shared" si="0"/>
        <v>4.5872673569875101E-2</v>
      </c>
    </row>
    <row r="10" spans="1:14">
      <c r="A10" s="68">
        <v>2000</v>
      </c>
      <c r="B10" s="66">
        <v>9</v>
      </c>
      <c r="C10" s="67">
        <v>248748.25</v>
      </c>
      <c r="D10" s="72">
        <f t="shared" si="1"/>
        <v>232948.12902397109</v>
      </c>
      <c r="E10" s="10">
        <f t="shared" si="0"/>
        <v>6.3518521139460909E-2</v>
      </c>
      <c r="F10" s="465" t="s">
        <v>2</v>
      </c>
      <c r="G10" s="447"/>
    </row>
    <row r="11" spans="1:14">
      <c r="A11" s="68">
        <v>2001</v>
      </c>
      <c r="B11" s="68">
        <v>10</v>
      </c>
      <c r="C11" s="67">
        <v>255663.75</v>
      </c>
      <c r="D11" s="72">
        <f t="shared" si="1"/>
        <v>243183.37942267326</v>
      </c>
      <c r="E11" s="10">
        <f t="shared" si="0"/>
        <v>4.88155656690741E-2</v>
      </c>
      <c r="F11" s="73" t="s">
        <v>8</v>
      </c>
      <c r="G11" s="46" t="s">
        <v>48</v>
      </c>
    </row>
    <row r="12" spans="1:14">
      <c r="A12" s="68">
        <v>2002</v>
      </c>
      <c r="B12" s="66">
        <v>11</v>
      </c>
      <c r="C12" s="67">
        <v>261272.41666666666</v>
      </c>
      <c r="D12" s="72">
        <f t="shared" si="1"/>
        <v>253868.34517716331</v>
      </c>
      <c r="E12" s="10">
        <f t="shared" si="0"/>
        <v>2.833851190250028E-2</v>
      </c>
      <c r="F12" s="74" t="s">
        <v>11</v>
      </c>
      <c r="G12" s="18">
        <v>158193</v>
      </c>
    </row>
    <row r="13" spans="1:14" ht="15.75" thickBot="1">
      <c r="A13" s="68">
        <v>2003</v>
      </c>
      <c r="B13" s="68">
        <v>12</v>
      </c>
      <c r="C13" s="67">
        <v>272232.5</v>
      </c>
      <c r="D13" s="72">
        <f t="shared" si="1"/>
        <v>265022.78583345655</v>
      </c>
      <c r="E13" s="10">
        <f t="shared" si="0"/>
        <v>2.6483664391810113E-2</v>
      </c>
      <c r="F13" s="75" t="s">
        <v>10</v>
      </c>
      <c r="G13" s="20">
        <v>4.2999999999999997E-2</v>
      </c>
    </row>
    <row r="14" spans="1:14">
      <c r="A14" s="68">
        <v>2004</v>
      </c>
      <c r="B14" s="66">
        <v>13</v>
      </c>
      <c r="C14" s="67">
        <v>288987.5</v>
      </c>
      <c r="D14" s="72">
        <f t="shared" si="1"/>
        <v>276667.32913042337</v>
      </c>
      <c r="E14" s="10">
        <f t="shared" si="0"/>
        <v>4.2632192982660591E-2</v>
      </c>
    </row>
    <row r="15" spans="1:14">
      <c r="A15" s="68">
        <v>2005</v>
      </c>
      <c r="B15" s="68">
        <v>14</v>
      </c>
      <c r="C15" s="67">
        <v>307826.08333333331</v>
      </c>
      <c r="D15" s="72">
        <f t="shared" si="1"/>
        <v>288823.50914635573</v>
      </c>
      <c r="E15" s="10">
        <f t="shared" si="0"/>
        <v>6.1731527040222924E-2</v>
      </c>
    </row>
    <row r="16" spans="1:14">
      <c r="A16" s="68">
        <v>2006</v>
      </c>
      <c r="B16" s="66">
        <v>15</v>
      </c>
      <c r="C16" s="67">
        <v>323823.08333333331</v>
      </c>
      <c r="D16" s="72">
        <f t="shared" si="1"/>
        <v>301513.80612161325</v>
      </c>
      <c r="E16" s="10">
        <f t="shared" si="0"/>
        <v>6.8893412359845876E-2</v>
      </c>
    </row>
    <row r="17" spans="1:5">
      <c r="A17" s="68">
        <v>2007</v>
      </c>
      <c r="B17" s="68">
        <v>16</v>
      </c>
      <c r="C17" s="67">
        <v>334008</v>
      </c>
      <c r="D17" s="72">
        <f t="shared" si="1"/>
        <v>314761.68803099269</v>
      </c>
      <c r="E17" s="10">
        <f t="shared" si="0"/>
        <v>5.7622308354911583E-2</v>
      </c>
    </row>
    <row r="18" spans="1:5">
      <c r="A18" s="68">
        <v>2008</v>
      </c>
      <c r="B18" s="66">
        <v>17</v>
      </c>
      <c r="C18" s="67">
        <v>328780.33333333331</v>
      </c>
      <c r="D18" s="72">
        <f t="shared" si="1"/>
        <v>328591.65398269973</v>
      </c>
      <c r="E18" s="10">
        <f t="shared" si="0"/>
        <v>5.7387663282855005E-4</v>
      </c>
    </row>
    <row r="19" spans="1:5">
      <c r="A19" s="68">
        <v>2009</v>
      </c>
      <c r="B19" s="68">
        <v>18</v>
      </c>
      <c r="C19" s="67">
        <v>303288.91666666669</v>
      </c>
      <c r="D19" s="72">
        <f t="shared" si="1"/>
        <v>343029.27952418046</v>
      </c>
      <c r="E19" s="10">
        <f t="shared" si="0"/>
        <v>0.13103137198116241</v>
      </c>
    </row>
    <row r="20" spans="1:5">
      <c r="A20" s="68">
        <v>2010</v>
      </c>
      <c r="B20" s="66">
        <v>19</v>
      </c>
      <c r="C20" s="67">
        <v>323964.16666666669</v>
      </c>
      <c r="D20" s="72">
        <f t="shared" si="1"/>
        <v>358101.26393859531</v>
      </c>
      <c r="E20" s="10">
        <f t="shared" si="0"/>
        <v>0.10537306524722216</v>
      </c>
    </row>
    <row r="21" spans="1:5">
      <c r="A21" s="68">
        <v>2011</v>
      </c>
      <c r="B21" s="68">
        <v>20</v>
      </c>
      <c r="C21" s="67">
        <v>323964.16666666669</v>
      </c>
      <c r="D21" s="72">
        <f t="shared" si="1"/>
        <v>373835.47961940081</v>
      </c>
      <c r="E21" s="10">
        <f t="shared" si="0"/>
        <v>0.15394083075875403</v>
      </c>
    </row>
    <row r="22" spans="1:5" ht="15" customHeight="1">
      <c r="A22" s="68">
        <v>2012</v>
      </c>
      <c r="B22" s="76">
        <v>21</v>
      </c>
      <c r="D22" s="72">
        <f t="shared" si="1"/>
        <v>390261.02361434634</v>
      </c>
      <c r="E22" s="79">
        <f>AVERAGE(E2:E21)</f>
        <v>5.2667360429164548E-2</v>
      </c>
    </row>
    <row r="23" spans="1:5">
      <c r="A23" s="68">
        <v>2013</v>
      </c>
      <c r="B23" s="77">
        <v>22</v>
      </c>
      <c r="D23" s="72">
        <f t="shared" si="1"/>
        <v>407408.27143420593</v>
      </c>
    </row>
    <row r="24" spans="1:5">
      <c r="A24" s="68">
        <v>2014</v>
      </c>
      <c r="B24" s="76">
        <v>23</v>
      </c>
      <c r="D24" s="72">
        <f t="shared" si="1"/>
        <v>425308.93322575185</v>
      </c>
    </row>
    <row r="25" spans="1:5">
      <c r="A25" s="68">
        <v>2015</v>
      </c>
      <c r="B25" s="77">
        <v>24</v>
      </c>
      <c r="D25" s="72">
        <f t="shared" si="1"/>
        <v>443996.1124128513</v>
      </c>
    </row>
    <row r="26" spans="1:5">
      <c r="A26" s="68">
        <v>2016</v>
      </c>
      <c r="B26" s="76">
        <v>25</v>
      </c>
      <c r="D26" s="72">
        <f t="shared" si="1"/>
        <v>463504.36691412784</v>
      </c>
    </row>
    <row r="27" spans="1:5">
      <c r="A27" s="68">
        <v>2017</v>
      </c>
      <c r="B27" s="77">
        <v>26</v>
      </c>
      <c r="D27" s="72">
        <f t="shared" si="1"/>
        <v>483869.77305040054</v>
      </c>
    </row>
    <row r="28" spans="1:5">
      <c r="A28" s="68">
        <v>2018</v>
      </c>
      <c r="B28" s="76">
        <v>27</v>
      </c>
      <c r="D28" s="72">
        <f t="shared" si="1"/>
        <v>505129.99226007872</v>
      </c>
    </row>
    <row r="29" spans="1:5">
      <c r="A29" s="68">
        <v>2019</v>
      </c>
      <c r="B29" s="77">
        <v>28</v>
      </c>
      <c r="D29" s="72">
        <f t="shared" si="1"/>
        <v>527324.34074589284</v>
      </c>
    </row>
    <row r="30" spans="1:5">
      <c r="A30" s="68">
        <v>2020</v>
      </c>
      <c r="B30" s="76">
        <v>29</v>
      </c>
      <c r="D30" s="72">
        <f t="shared" si="1"/>
        <v>550493.86218175455</v>
      </c>
    </row>
    <row r="31" spans="1:5">
      <c r="A31" s="68">
        <v>2021</v>
      </c>
      <c r="B31" s="77">
        <v>30</v>
      </c>
      <c r="D31" s="72">
        <f t="shared" si="1"/>
        <v>574681.40361420403</v>
      </c>
    </row>
    <row r="32" spans="1:5">
      <c r="A32" s="68">
        <v>2022</v>
      </c>
      <c r="B32" s="76">
        <v>31</v>
      </c>
      <c r="D32" s="72">
        <f t="shared" si="1"/>
        <v>599931.69469880743</v>
      </c>
    </row>
    <row r="33" spans="1:4">
      <c r="A33" s="68">
        <v>2023</v>
      </c>
      <c r="B33" s="77">
        <v>32</v>
      </c>
      <c r="D33" s="72">
        <f t="shared" si="1"/>
        <v>626291.43041803339</v>
      </c>
    </row>
    <row r="34" spans="1:4">
      <c r="A34" s="68">
        <v>2024</v>
      </c>
      <c r="B34" s="76">
        <v>33</v>
      </c>
      <c r="D34" s="72">
        <f t="shared" si="1"/>
        <v>653809.35743358068</v>
      </c>
    </row>
    <row r="35" spans="1:4">
      <c r="A35" s="68">
        <v>2025</v>
      </c>
      <c r="B35" s="77">
        <v>34</v>
      </c>
      <c r="D35" s="72">
        <f t="shared" si="1"/>
        <v>682536.36423284397</v>
      </c>
    </row>
    <row r="36" spans="1:4">
      <c r="A36" s="68">
        <v>2026</v>
      </c>
      <c r="B36" s="77">
        <v>35</v>
      </c>
      <c r="C36" s="65"/>
      <c r="D36" s="72">
        <f t="shared" ref="D36:D53" si="2">158193*EXP(0.043*B36)</f>
        <v>712525.57523622608</v>
      </c>
    </row>
    <row r="37" spans="1:4">
      <c r="A37" s="68">
        <v>2027</v>
      </c>
      <c r="B37" s="77">
        <v>36</v>
      </c>
      <c r="C37" s="65"/>
      <c r="D37" s="72">
        <f t="shared" si="2"/>
        <v>743832.44903932756</v>
      </c>
    </row>
    <row r="38" spans="1:4">
      <c r="A38" s="68">
        <v>2028</v>
      </c>
      <c r="B38" s="77">
        <v>37</v>
      </c>
      <c r="C38" s="65"/>
      <c r="D38" s="72">
        <f t="shared" si="2"/>
        <v>776514.88097169134</v>
      </c>
    </row>
    <row r="39" spans="1:4">
      <c r="A39" s="68">
        <v>2029</v>
      </c>
      <c r="B39" s="77">
        <v>38</v>
      </c>
      <c r="C39" s="65"/>
      <c r="D39" s="72">
        <f t="shared" si="2"/>
        <v>810633.31016176147</v>
      </c>
    </row>
    <row r="40" spans="1:4">
      <c r="A40" s="68">
        <v>2030</v>
      </c>
      <c r="B40" s="77">
        <v>39</v>
      </c>
      <c r="C40" s="65"/>
      <c r="D40" s="72">
        <f t="shared" si="2"/>
        <v>846250.83130605274</v>
      </c>
    </row>
    <row r="41" spans="1:4">
      <c r="A41" s="68">
        <v>2031</v>
      </c>
      <c r="B41" s="77">
        <v>40</v>
      </c>
      <c r="C41" s="65"/>
      <c r="D41" s="72">
        <f t="shared" si="2"/>
        <v>883433.31134922162</v>
      </c>
    </row>
    <row r="42" spans="1:4">
      <c r="A42" s="68">
        <v>2032</v>
      </c>
      <c r="B42" s="77">
        <v>41</v>
      </c>
      <c r="C42" s="65"/>
      <c r="D42" s="72">
        <f t="shared" si="2"/>
        <v>922249.5112908124</v>
      </c>
    </row>
    <row r="43" spans="1:4">
      <c r="A43" s="68">
        <v>2033</v>
      </c>
      <c r="B43" s="77">
        <v>42</v>
      </c>
      <c r="C43" s="65"/>
      <c r="D43" s="72">
        <f t="shared" si="2"/>
        <v>962771.21334393672</v>
      </c>
    </row>
    <row r="44" spans="1:4">
      <c r="A44" s="68">
        <v>2034</v>
      </c>
      <c r="B44" s="77">
        <v>43</v>
      </c>
      <c r="C44" s="65"/>
      <c r="D44" s="72">
        <f t="shared" si="2"/>
        <v>1005073.3536810393</v>
      </c>
    </row>
    <row r="45" spans="1:4">
      <c r="A45" s="68">
        <v>2035</v>
      </c>
      <c r="B45" s="77">
        <v>44</v>
      </c>
      <c r="C45" s="65"/>
      <c r="D45" s="72">
        <f t="shared" si="2"/>
        <v>1049234.1610122295</v>
      </c>
    </row>
    <row r="46" spans="1:4">
      <c r="A46" s="68">
        <v>2036</v>
      </c>
      <c r="B46" s="77">
        <v>45</v>
      </c>
      <c r="C46" s="65"/>
      <c r="D46" s="72">
        <f t="shared" si="2"/>
        <v>1095335.3012524555</v>
      </c>
    </row>
    <row r="47" spans="1:4">
      <c r="A47" s="68">
        <v>2037</v>
      </c>
      <c r="B47" s="77">
        <v>46</v>
      </c>
      <c r="C47" s="65"/>
      <c r="D47" s="72">
        <f t="shared" si="2"/>
        <v>1143462.02854505</v>
      </c>
    </row>
    <row r="48" spans="1:4">
      <c r="A48" s="68">
        <v>2038</v>
      </c>
      <c r="B48" s="77">
        <v>47</v>
      </c>
      <c r="C48" s="65"/>
      <c r="D48" s="72">
        <f t="shared" si="2"/>
        <v>1193703.3429209306</v>
      </c>
    </row>
    <row r="49" spans="1:4">
      <c r="A49" s="68">
        <v>2039</v>
      </c>
      <c r="B49" s="77">
        <v>48</v>
      </c>
      <c r="C49" s="65"/>
      <c r="D49" s="72">
        <f t="shared" si="2"/>
        <v>1246152.1548850155</v>
      </c>
    </row>
    <row r="50" spans="1:4">
      <c r="A50" s="68">
        <v>2040</v>
      </c>
      <c r="B50" s="77">
        <v>49</v>
      </c>
      <c r="C50" s="65"/>
      <c r="D50" s="72">
        <f t="shared" si="2"/>
        <v>1300905.4572342171</v>
      </c>
    </row>
    <row r="51" spans="1:4">
      <c r="A51" s="68">
        <v>2041</v>
      </c>
      <c r="B51" s="77">
        <v>50</v>
      </c>
      <c r="C51" s="65"/>
      <c r="D51" s="72">
        <f t="shared" si="2"/>
        <v>1358064.5044247624</v>
      </c>
    </row>
    <row r="52" spans="1:4">
      <c r="A52" s="68">
        <v>2042</v>
      </c>
      <c r="B52" s="77">
        <v>51</v>
      </c>
      <c r="C52" s="65"/>
      <c r="D52" s="72">
        <f t="shared" si="2"/>
        <v>1417734.9998205265</v>
      </c>
    </row>
    <row r="53" spans="1:4">
      <c r="A53" s="68">
        <v>2043</v>
      </c>
      <c r="B53" s="77">
        <v>52</v>
      </c>
      <c r="C53" s="65"/>
      <c r="D53" s="72">
        <f t="shared" si="2"/>
        <v>1480027.2911686744</v>
      </c>
    </row>
    <row r="54" spans="1:4">
      <c r="A54" s="68">
        <v>2044</v>
      </c>
      <c r="B54" s="77">
        <v>53</v>
      </c>
      <c r="C54" s="65"/>
      <c r="D54" s="72">
        <f t="shared" ref="D54:D60" si="3">158193*EXP(0.043*B54)</f>
        <v>1545056.5746640807</v>
      </c>
    </row>
    <row r="55" spans="1:4">
      <c r="A55" s="68">
        <v>2045</v>
      </c>
      <c r="B55" s="77">
        <v>54</v>
      </c>
      <c r="C55" s="65"/>
      <c r="D55" s="72">
        <f t="shared" si="3"/>
        <v>1612943.1079799184</v>
      </c>
    </row>
    <row r="56" spans="1:4">
      <c r="A56" s="68">
        <v>2046</v>
      </c>
      <c r="B56" s="77">
        <v>55</v>
      </c>
      <c r="C56" s="65"/>
      <c r="D56" s="72">
        <f t="shared" si="3"/>
        <v>1683812.4326583603</v>
      </c>
    </row>
    <row r="57" spans="1:4">
      <c r="A57" s="68">
        <v>2047</v>
      </c>
      <c r="B57" s="77">
        <v>56</v>
      </c>
      <c r="C57" s="65"/>
      <c r="D57" s="72">
        <f t="shared" si="3"/>
        <v>1757795.6062726579</v>
      </c>
    </row>
    <row r="58" spans="1:4">
      <c r="A58" s="68">
        <v>2048</v>
      </c>
      <c r="B58" s="77">
        <v>57</v>
      </c>
      <c r="C58" s="65"/>
      <c r="D58" s="72">
        <f t="shared" si="3"/>
        <v>1835029.4447899342</v>
      </c>
    </row>
    <row r="59" spans="1:4">
      <c r="A59" s="68">
        <v>2049</v>
      </c>
      <c r="B59" s="77">
        <v>58</v>
      </c>
      <c r="C59" s="65"/>
      <c r="D59" s="72">
        <f t="shared" si="3"/>
        <v>1915656.7755828928</v>
      </c>
    </row>
    <row r="60" spans="1:4">
      <c r="A60" s="68">
        <v>2050</v>
      </c>
      <c r="B60" s="77">
        <v>59</v>
      </c>
      <c r="C60" s="65"/>
      <c r="D60" s="72">
        <f t="shared" si="3"/>
        <v>1999826.7015583178</v>
      </c>
    </row>
  </sheetData>
  <mergeCells count="2">
    <mergeCell ref="F10:G10"/>
    <mergeCell ref="F2:N2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zoomScale="86" zoomScaleNormal="86" workbookViewId="0">
      <selection activeCell="D48" sqref="D48"/>
    </sheetView>
  </sheetViews>
  <sheetFormatPr baseColWidth="10" defaultRowHeight="15"/>
  <cols>
    <col min="1" max="1" width="54.7109375" style="86" customWidth="1"/>
    <col min="2" max="2" width="19.5703125" customWidth="1"/>
    <col min="3" max="3" width="14.140625" style="65" customWidth="1"/>
    <col min="4" max="4" width="15" customWidth="1"/>
    <col min="5" max="5" width="15" style="65" customWidth="1"/>
    <col min="6" max="6" width="14.140625" bestFit="1" customWidth="1"/>
    <col min="7" max="7" width="15.140625" customWidth="1"/>
    <col min="9" max="9" width="13.7109375" bestFit="1" customWidth="1"/>
  </cols>
  <sheetData>
    <row r="1" spans="1:18" s="65" customFormat="1" ht="18" thickBot="1">
      <c r="A1" s="467" t="s">
        <v>59</v>
      </c>
      <c r="B1" s="468"/>
      <c r="C1" s="85"/>
      <c r="D1" s="85"/>
      <c r="E1" s="85"/>
      <c r="F1" s="85"/>
      <c r="G1" s="85"/>
      <c r="H1" s="85"/>
    </row>
    <row r="2" spans="1:18" s="65" customFormat="1">
      <c r="A2" s="86"/>
    </row>
    <row r="3" spans="1:18">
      <c r="A3" s="87" t="s">
        <v>55</v>
      </c>
    </row>
    <row r="4" spans="1:18">
      <c r="A4" s="87" t="s">
        <v>54</v>
      </c>
    </row>
    <row r="5" spans="1:18" ht="15.75">
      <c r="A5" s="87" t="s">
        <v>57</v>
      </c>
      <c r="I5" s="84"/>
    </row>
    <row r="6" spans="1:18">
      <c r="A6" s="87" t="s">
        <v>56</v>
      </c>
    </row>
    <row r="7" spans="1:18" s="65" customFormat="1" ht="15.75" thickBot="1">
      <c r="A7" s="87"/>
    </row>
    <row r="8" spans="1:18" ht="21.75" customHeight="1">
      <c r="A8" s="130" t="s">
        <v>75</v>
      </c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7"/>
    </row>
    <row r="9" spans="1:18" s="32" customFormat="1" ht="19.5" customHeight="1" thickBot="1">
      <c r="A9" s="469" t="s">
        <v>38</v>
      </c>
      <c r="B9" s="470"/>
      <c r="C9" s="470"/>
      <c r="D9" s="470"/>
      <c r="E9" s="470"/>
      <c r="F9" s="470"/>
      <c r="G9" s="470"/>
      <c r="H9" s="470"/>
      <c r="I9" s="470"/>
      <c r="J9" s="470"/>
      <c r="K9" s="470"/>
      <c r="L9" s="470"/>
      <c r="M9" s="470"/>
      <c r="N9" s="471"/>
    </row>
    <row r="10" spans="1:18" s="32" customFormat="1" ht="19.5" customHeight="1">
      <c r="A10" s="105"/>
    </row>
    <row r="11" spans="1:18">
      <c r="A11" s="86" t="s">
        <v>70</v>
      </c>
      <c r="D11" s="12">
        <f>80000*25</f>
        <v>2000000</v>
      </c>
      <c r="E11" s="12"/>
      <c r="F11" t="s">
        <v>66</v>
      </c>
    </row>
    <row r="12" spans="1:18">
      <c r="A12" s="86" t="s">
        <v>67</v>
      </c>
    </row>
    <row r="13" spans="1:18">
      <c r="A13" s="86" t="s">
        <v>61</v>
      </c>
      <c r="R13" s="32"/>
    </row>
    <row r="14" spans="1:18" ht="17.25">
      <c r="A14" s="89" t="s">
        <v>62</v>
      </c>
    </row>
    <row r="15" spans="1:18" ht="19.5" customHeight="1">
      <c r="A15" s="86" t="s">
        <v>63</v>
      </c>
    </row>
    <row r="16" spans="1:18">
      <c r="A16" s="86" t="s">
        <v>64</v>
      </c>
    </row>
    <row r="17" spans="1:11" ht="17.25">
      <c r="A17" s="89" t="s">
        <v>65</v>
      </c>
    </row>
    <row r="19" spans="1:11" ht="109.5" customHeight="1">
      <c r="A19" s="88" t="s">
        <v>74</v>
      </c>
      <c r="F19" s="32"/>
    </row>
    <row r="21" spans="1:11">
      <c r="A21" s="108" t="s">
        <v>76</v>
      </c>
    </row>
    <row r="22" spans="1:11" ht="17.25" customHeight="1">
      <c r="A22" s="108" t="s">
        <v>77</v>
      </c>
      <c r="K22" s="65"/>
    </row>
    <row r="24" spans="1:11" ht="20.25" customHeight="1" thickBot="1">
      <c r="F24" s="39" t="s">
        <v>78</v>
      </c>
      <c r="G24" s="39"/>
      <c r="H24" s="39"/>
      <c r="I24" s="39"/>
      <c r="J24" s="65"/>
      <c r="K24" s="65"/>
    </row>
    <row r="25" spans="1:11" ht="15.75" thickBot="1">
      <c r="A25" s="104" t="s">
        <v>73</v>
      </c>
    </row>
    <row r="26" spans="1:11" ht="30">
      <c r="A26" s="103" t="s">
        <v>58</v>
      </c>
      <c r="B26" s="111" t="s">
        <v>58</v>
      </c>
      <c r="C26" s="94" t="s">
        <v>69</v>
      </c>
      <c r="D26" s="97" t="s">
        <v>68</v>
      </c>
      <c r="E26" s="123" t="s">
        <v>71</v>
      </c>
      <c r="F26" s="92" t="s">
        <v>79</v>
      </c>
      <c r="G26" s="122"/>
    </row>
    <row r="27" spans="1:11">
      <c r="A27" s="93">
        <v>1</v>
      </c>
      <c r="B27" s="96">
        <v>2000000</v>
      </c>
      <c r="C27" s="95">
        <f>B27*40%</f>
        <v>800000</v>
      </c>
      <c r="D27" s="98">
        <f>C27/2</f>
        <v>400000</v>
      </c>
      <c r="E27" s="120">
        <f>C27+D27</f>
        <v>1200000</v>
      </c>
      <c r="F27" s="91">
        <f>B27-E27</f>
        <v>800000</v>
      </c>
      <c r="G27" s="121"/>
      <c r="I27" s="110"/>
    </row>
    <row r="28" spans="1:11">
      <c r="A28" s="93">
        <v>2</v>
      </c>
      <c r="B28" s="96">
        <f>B27 * (1 + 0.05)</f>
        <v>2100000</v>
      </c>
      <c r="C28" s="74">
        <f>B28*38%</f>
        <v>798000</v>
      </c>
      <c r="D28" s="98">
        <f t="shared" ref="D28:D31" si="0">C28/2</f>
        <v>399000</v>
      </c>
      <c r="E28" s="120">
        <f t="shared" ref="E28:E31" si="1">C28+D28</f>
        <v>1197000</v>
      </c>
      <c r="F28" s="91">
        <f t="shared" ref="F28:F31" si="2">B28-E28</f>
        <v>903000</v>
      </c>
      <c r="G28" s="121"/>
      <c r="I28" s="12"/>
    </row>
    <row r="29" spans="1:11">
      <c r="A29" s="93">
        <v>3</v>
      </c>
      <c r="B29" s="96">
        <f t="shared" ref="B29:B31" si="3">B28 * (1 + 0.05)</f>
        <v>2205000</v>
      </c>
      <c r="C29" s="95">
        <f>B29*36%</f>
        <v>793800</v>
      </c>
      <c r="D29" s="98">
        <f t="shared" si="0"/>
        <v>396900</v>
      </c>
      <c r="E29" s="120">
        <f t="shared" si="1"/>
        <v>1190700</v>
      </c>
      <c r="F29" s="91">
        <f t="shared" si="2"/>
        <v>1014300</v>
      </c>
      <c r="G29" s="121"/>
    </row>
    <row r="30" spans="1:11" ht="15" customHeight="1">
      <c r="A30" s="93">
        <v>4</v>
      </c>
      <c r="B30" s="96">
        <f t="shared" si="3"/>
        <v>2315250</v>
      </c>
      <c r="C30" s="95">
        <f>B30*34%</f>
        <v>787185</v>
      </c>
      <c r="D30" s="98">
        <f t="shared" si="0"/>
        <v>393592.5</v>
      </c>
      <c r="E30" s="120">
        <f t="shared" si="1"/>
        <v>1180777.5</v>
      </c>
      <c r="F30" s="91">
        <f t="shared" si="2"/>
        <v>1134472.5</v>
      </c>
      <c r="G30" s="121"/>
    </row>
    <row r="31" spans="1:11" ht="15.75" thickBot="1">
      <c r="A31" s="93">
        <v>5</v>
      </c>
      <c r="B31" s="99">
        <f t="shared" si="3"/>
        <v>2431012.5</v>
      </c>
      <c r="C31" s="74">
        <f>B31*32%</f>
        <v>777924</v>
      </c>
      <c r="D31" s="98">
        <f t="shared" si="0"/>
        <v>388962</v>
      </c>
      <c r="E31" s="124">
        <f t="shared" si="1"/>
        <v>1166886</v>
      </c>
      <c r="F31" s="91">
        <f t="shared" si="2"/>
        <v>1264126.5</v>
      </c>
      <c r="G31" s="121"/>
    </row>
    <row r="32" spans="1:11" ht="15.75" thickBot="1">
      <c r="B32" s="65"/>
      <c r="D32" s="65"/>
      <c r="E32" s="125">
        <f>SUM(E27:E31)</f>
        <v>5935363.5</v>
      </c>
      <c r="F32" s="65"/>
      <c r="G32" s="90"/>
    </row>
    <row r="33" spans="1:10" s="118" customFormat="1" ht="38.25" customHeight="1">
      <c r="A33" s="117" t="s">
        <v>72</v>
      </c>
      <c r="B33" s="127" t="s">
        <v>82</v>
      </c>
      <c r="F33" s="129" t="s">
        <v>83</v>
      </c>
    </row>
    <row r="34" spans="1:10">
      <c r="A34" s="100" t="s">
        <v>80</v>
      </c>
      <c r="B34" s="119">
        <v>0.05</v>
      </c>
      <c r="C34" s="11"/>
      <c r="D34" s="65"/>
      <c r="G34" s="65"/>
    </row>
    <row r="35" spans="1:10">
      <c r="A35" s="101" t="s">
        <v>81</v>
      </c>
      <c r="B35" s="113">
        <f>NPV($B$34,B27:B31)</f>
        <v>9523809.5238095243</v>
      </c>
      <c r="C35" s="65" t="str">
        <f ca="1">_xlfn.FORMULATEXT(B35)</f>
        <v>=VNA($B$34;B27:B31)</v>
      </c>
      <c r="D35" s="65"/>
      <c r="E35" s="126">
        <f>B35-B36</f>
        <v>5523809.5238095243</v>
      </c>
      <c r="F35" s="65"/>
      <c r="G35" s="65"/>
    </row>
    <row r="36" spans="1:10" ht="15.75" thickBot="1">
      <c r="A36" s="102" t="s">
        <v>60</v>
      </c>
      <c r="B36" s="114">
        <v>4000000</v>
      </c>
      <c r="C36" s="12"/>
      <c r="D36" s="65"/>
      <c r="F36" s="65"/>
      <c r="G36" s="65"/>
      <c r="I36" s="65"/>
      <c r="J36" s="65"/>
    </row>
    <row r="37" spans="1:10" ht="15.75" thickBot="1">
      <c r="A37" s="115" t="s">
        <v>41</v>
      </c>
      <c r="B37" s="116">
        <f>B35-B36</f>
        <v>5523809.5238095243</v>
      </c>
      <c r="C37" s="65" t="str">
        <f ca="1">_xlfn.FORMULATEXT(B37)</f>
        <v>=B35-B36</v>
      </c>
      <c r="D37" s="65" t="str">
        <f ca="1">_xlfn.FORMULATEXT(C37)</f>
        <v>=FORMULATEXTO(B37)</v>
      </c>
      <c r="F37" s="65"/>
      <c r="G37" s="65"/>
      <c r="J37" s="65"/>
    </row>
    <row r="38" spans="1:10">
      <c r="B38" s="128">
        <f>B35-E32</f>
        <v>3588446.0238095243</v>
      </c>
      <c r="C38" s="109"/>
      <c r="D38" s="109"/>
      <c r="E38" s="109"/>
      <c r="F38" s="109"/>
      <c r="G38" s="109"/>
    </row>
    <row r="40" spans="1:10">
      <c r="A40" s="472" t="s">
        <v>56</v>
      </c>
      <c r="B40" s="434"/>
      <c r="C40" s="434"/>
      <c r="D40" s="434"/>
      <c r="E40" s="434"/>
      <c r="F40" s="434"/>
      <c r="G40" s="434"/>
      <c r="H40" s="434"/>
    </row>
    <row r="41" spans="1:10">
      <c r="G41" s="65"/>
    </row>
    <row r="45" spans="1:10">
      <c r="A45" s="112"/>
    </row>
  </sheetData>
  <mergeCells count="3">
    <mergeCell ref="A1:B1"/>
    <mergeCell ref="A9:N9"/>
    <mergeCell ref="A40:H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Index</vt:lpstr>
      <vt:lpstr>VAN Theory</vt:lpstr>
      <vt:lpstr>ROI theory</vt:lpstr>
      <vt:lpstr>Linear Programming theory</vt:lpstr>
      <vt:lpstr>bycicles</vt:lpstr>
      <vt:lpstr> example VAN or NPV </vt:lpstr>
      <vt:lpstr>NPV theory</vt:lpstr>
      <vt:lpstr>% average growing</vt:lpstr>
      <vt:lpstr>VAN example </vt:lpstr>
      <vt:lpstr>table final proyect</vt:lpstr>
      <vt:lpstr>REVISED final table project</vt:lpstr>
      <vt:lpstr>approved line charts</vt:lpstr>
      <vt:lpstr>example linear programming</vt:lpstr>
      <vt:lpstr>example LP</vt:lpstr>
      <vt:lpstr>variants LP</vt:lpstr>
      <vt:lpstr>more variants LP</vt:lpstr>
      <vt:lpstr>example 2 LP</vt:lpstr>
      <vt:lpstr>example 3 LP</vt:lpstr>
      <vt:lpstr>example 4 LP</vt:lpstr>
      <vt:lpstr> shipping transport LP</vt:lpstr>
      <vt:lpstr>example transport LP</vt:lpstr>
      <vt:lpstr>TRANSPORT LP</vt:lpstr>
      <vt:lpstr> assignment problem LP</vt:lpstr>
      <vt:lpstr>assignment LP</vt:lpstr>
      <vt:lpstr>assignment problem</vt:lpstr>
      <vt:lpstr>transport and 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2024-02-20T09:18:06Z</dcterms:created>
  <dcterms:modified xsi:type="dcterms:W3CDTF">2024-03-11T14:30:15Z</dcterms:modified>
</cp:coreProperties>
</file>