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360" yWindow="300" windowWidth="16764" windowHeight="5952" activeTab="12"/>
  </bookViews>
  <sheets>
    <sheet name="Base" sheetId="1" r:id="rId1"/>
    <sheet name="Zombi" sheetId="4" r:id="rId2"/>
    <sheet name="Sentinelle" sheetId="6" r:id="rId3"/>
    <sheet name="1" sheetId="7" r:id="rId4"/>
    <sheet name="2" sheetId="8" r:id="rId5"/>
    <sheet name="4" sheetId="14" r:id="rId6"/>
    <sheet name="5" sheetId="9" r:id="rId7"/>
    <sheet name="8" sheetId="10" r:id="rId8"/>
    <sheet name="9" sheetId="15" r:id="rId9"/>
    <sheet name="10" sheetId="11" r:id="rId10"/>
    <sheet name="11" sheetId="12" r:id="rId11"/>
    <sheet name="12" sheetId="13" r:id="rId12"/>
    <sheet name="Hallgate" sheetId="17" r:id="rId13"/>
    <sheet name="Sulla via del ritorno" sheetId="16" r:id="rId14"/>
  </sheets>
  <calcPr calcId="124519"/>
</workbook>
</file>

<file path=xl/calcChain.xml><?xml version="1.0" encoding="utf-8"?>
<calcChain xmlns="http://schemas.openxmlformats.org/spreadsheetml/2006/main">
  <c r="K7" i="17"/>
  <c r="F8"/>
  <c r="F4"/>
  <c r="A12"/>
  <c r="A4"/>
  <c r="A8"/>
  <c r="F29"/>
  <c r="F30" s="1"/>
  <c r="F7"/>
  <c r="G7" s="1"/>
  <c r="F3"/>
  <c r="G3" s="1"/>
  <c r="A11"/>
  <c r="B11" s="1"/>
  <c r="A7"/>
  <c r="B7" s="1"/>
  <c r="A3"/>
  <c r="L10"/>
  <c r="L7"/>
  <c r="L11"/>
  <c r="L9"/>
  <c r="L8"/>
  <c r="B3"/>
  <c r="F5"/>
  <c r="A5"/>
  <c r="F1"/>
  <c r="D36" i="4"/>
  <c r="B15" i="13"/>
  <c r="B3"/>
  <c r="G3"/>
  <c r="B11"/>
  <c r="I10" i="16"/>
  <c r="I9"/>
  <c r="I8"/>
  <c r="I7"/>
  <c r="H7"/>
  <c r="H8"/>
  <c r="B3"/>
  <c r="A15"/>
  <c r="B15" s="1"/>
  <c r="H10" s="1"/>
  <c r="A11"/>
  <c r="B11" s="1"/>
  <c r="H9" s="1"/>
  <c r="A7"/>
  <c r="B7" s="1"/>
  <c r="A3"/>
  <c r="F3" i="13"/>
  <c r="G23" i="11"/>
  <c r="B11" i="12"/>
  <c r="B3"/>
  <c r="B15"/>
  <c r="B7"/>
  <c r="G3"/>
  <c r="G13"/>
  <c r="H13" s="1"/>
  <c r="H17"/>
  <c r="B7" i="11"/>
  <c r="B11"/>
  <c r="G3" s="1"/>
  <c r="G5"/>
  <c r="G2"/>
  <c r="B3"/>
  <c r="K9" i="17" l="1"/>
  <c r="K10"/>
  <c r="K11"/>
  <c r="K8"/>
  <c r="C33" i="4"/>
  <c r="C34" s="1"/>
  <c r="E33"/>
  <c r="B15" i="8"/>
  <c r="H8" s="1"/>
  <c r="B7"/>
  <c r="H5" s="1"/>
  <c r="B11"/>
  <c r="C11" s="1"/>
  <c r="B3"/>
  <c r="H2"/>
  <c r="H4"/>
  <c r="B3" i="10"/>
  <c r="B11"/>
  <c r="B7"/>
  <c r="H8" s="1"/>
  <c r="J5" i="13"/>
  <c r="J11"/>
  <c r="J7"/>
  <c r="J9"/>
  <c r="J9" i="12"/>
  <c r="J6"/>
  <c r="J5"/>
  <c r="C11" i="11"/>
  <c r="C7"/>
  <c r="C3"/>
  <c r="H9" i="10"/>
  <c r="H7"/>
  <c r="C11"/>
  <c r="C3"/>
  <c r="G7" i="9"/>
  <c r="C3"/>
  <c r="F25" i="6"/>
  <c r="B11" i="7"/>
  <c r="G3" i="6"/>
  <c r="G7"/>
  <c r="B7" i="7"/>
  <c r="B3"/>
  <c r="B11" i="6"/>
  <c r="B7"/>
  <c r="B3"/>
  <c r="C7" i="10" l="1"/>
  <c r="C3" i="8"/>
  <c r="G11" i="6"/>
  <c r="G3" i="4"/>
  <c r="B7"/>
  <c r="B3"/>
  <c r="G11"/>
  <c r="B11"/>
  <c r="G7"/>
  <c r="F29"/>
  <c r="H23" i="13"/>
  <c r="H24" s="1"/>
  <c r="H19" i="12"/>
  <c r="H20" s="1"/>
  <c r="G24" i="11"/>
  <c r="G24" i="10"/>
  <c r="F23" i="9"/>
  <c r="G20" i="8"/>
  <c r="G21" s="1"/>
  <c r="G21" i="7"/>
  <c r="G22" s="1"/>
  <c r="F26" i="6"/>
  <c r="F30" i="4"/>
  <c r="I28" l="1"/>
  <c r="C15" i="8"/>
  <c r="F11" i="6"/>
  <c r="A11"/>
  <c r="A9"/>
  <c r="A10"/>
  <c r="B10"/>
  <c r="F11" i="4"/>
  <c r="A11"/>
  <c r="F9"/>
  <c r="F7"/>
  <c r="F3"/>
  <c r="A7"/>
  <c r="A3"/>
  <c r="J10" i="13"/>
  <c r="B7"/>
  <c r="D11" i="10"/>
  <c r="D7"/>
  <c r="D3"/>
  <c r="A3" i="9"/>
  <c r="B3" s="1"/>
  <c r="C7" i="8"/>
  <c r="A7" i="6"/>
  <c r="A5"/>
  <c r="F3"/>
  <c r="F1"/>
  <c r="F5" i="4"/>
  <c r="F1"/>
  <c r="A5"/>
  <c r="B3" i="1"/>
  <c r="G23"/>
  <c r="B23"/>
  <c r="G19"/>
  <c r="G15"/>
  <c r="G11"/>
  <c r="G7"/>
  <c r="G3"/>
  <c r="B15"/>
  <c r="B7"/>
  <c r="B19"/>
  <c r="B11"/>
</calcChain>
</file>

<file path=xl/sharedStrings.xml><?xml version="1.0" encoding="utf-8"?>
<sst xmlns="http://schemas.openxmlformats.org/spreadsheetml/2006/main" count="468" uniqueCount="167">
  <si>
    <t>PF Max</t>
  </si>
  <si>
    <t>Nome mob</t>
  </si>
  <si>
    <t>PF attuali</t>
  </si>
  <si>
    <t>Mob 1</t>
  </si>
  <si>
    <t>Mob 2</t>
  </si>
  <si>
    <t>Mob 3</t>
  </si>
  <si>
    <t>Mob 4</t>
  </si>
  <si>
    <t>Mob 5</t>
  </si>
  <si>
    <t>Mob 6</t>
  </si>
  <si>
    <t>Mob 7</t>
  </si>
  <si>
    <t>Mob 8</t>
  </si>
  <si>
    <t>Giorgia</t>
  </si>
  <si>
    <t>Emanuele</t>
  </si>
  <si>
    <t>Davide</t>
  </si>
  <si>
    <t>Valerio</t>
  </si>
  <si>
    <t>INIZIATIVA</t>
  </si>
  <si>
    <t>Mob 9</t>
  </si>
  <si>
    <t>Mob 10</t>
  </si>
  <si>
    <t>Mob 11</t>
  </si>
  <si>
    <t>Mob 12</t>
  </si>
  <si>
    <t>Simone</t>
  </si>
  <si>
    <t>Elfo combattente</t>
  </si>
  <si>
    <t>Umano combattente</t>
  </si>
  <si>
    <r>
      <rPr>
        <b/>
        <sz val="11"/>
        <color theme="1"/>
        <rFont val="Calibri"/>
        <family val="2"/>
        <scheme val="minor"/>
      </rPr>
      <t>Arco lungo</t>
    </r>
    <r>
      <rPr>
        <sz val="11"/>
        <color theme="1"/>
        <rFont val="Calibri"/>
        <family val="2"/>
        <scheme val="minor"/>
      </rPr>
      <t xml:space="preserve"> +3, 1d8 x3</t>
    </r>
  </si>
  <si>
    <r>
      <rPr>
        <b/>
        <sz val="11"/>
        <color theme="1"/>
        <rFont val="Calibri"/>
        <family val="2"/>
        <scheme val="minor"/>
      </rPr>
      <t>Arco lungo</t>
    </r>
    <r>
      <rPr>
        <sz val="11"/>
        <color theme="1"/>
        <rFont val="Calibri"/>
        <family val="2"/>
        <scheme val="minor"/>
      </rPr>
      <t xml:space="preserve"> +2, 1d8 x3</t>
    </r>
  </si>
  <si>
    <t xml:space="preserve">     entro 9m +3, 1d8+1 x3</t>
  </si>
  <si>
    <t>Nano combattente</t>
  </si>
  <si>
    <t>Ascia da guerra nanica +3 1d10/x3</t>
  </si>
  <si>
    <t>Arco corto +1 1d6/x3</t>
  </si>
  <si>
    <t>CA = 16 - 10 - 16</t>
  </si>
  <si>
    <t>Tesoro:</t>
  </si>
  <si>
    <t>Ascoltare e osservare +2</t>
  </si>
  <si>
    <t>Goblin combattente</t>
  </si>
  <si>
    <t>Lucertola folgorante</t>
  </si>
  <si>
    <t>Pag. 128</t>
  </si>
  <si>
    <t>Morning star +2 1d6/x2</t>
  </si>
  <si>
    <t>Giavellotto +3 1d4/x2</t>
  </si>
  <si>
    <t>Pag. 165</t>
  </si>
  <si>
    <t>Scarica stordente 1,5 m 1 bersaglio</t>
  </si>
  <si>
    <t>2d8 danni non letali Riflessi CD 12  dimezza</t>
  </si>
  <si>
    <t>Muoversi silenziosamente CD 27</t>
  </si>
  <si>
    <t>Ascoltare 17 (Appena la lucertola sente qualcuno aprire la porta corre a nascondersi in alto</t>
  </si>
  <si>
    <t>Nascosta CD 27 (zona X 2 m da terra, pronta a saltare addosso a chi entra e dopo 3 attacchi scappa via)</t>
  </si>
  <si>
    <t>Nessuno. Era prigioniero dei goblin</t>
  </si>
  <si>
    <t>Pag. 97</t>
  </si>
  <si>
    <t>Monete</t>
  </si>
  <si>
    <t>Tesoro: monete LI 2</t>
  </si>
  <si>
    <t>Vipera minuscola</t>
  </si>
  <si>
    <t>Pag. 282</t>
  </si>
  <si>
    <t>Ascoltare e osservare +6</t>
  </si>
  <si>
    <t>Nascondersi:</t>
  </si>
  <si>
    <t>Morso +5, 1 + 1d6 Cos, +1d6 Cos dopo 1 min CD 10</t>
  </si>
  <si>
    <t>Topo crudele</t>
  </si>
  <si>
    <t>CA: 15 - 14 - 12</t>
  </si>
  <si>
    <t>Vel 12 m / scalare 9 m</t>
  </si>
  <si>
    <t xml:space="preserve">Morso +4, 1d4 + Malattia Tem CD 11 ( o incubazione 1d3 giorni, 1d3 Des + 1d3 Cos) </t>
  </si>
  <si>
    <t>Ascoltare e osservare +4</t>
  </si>
  <si>
    <t>CA = 16, 13, 14</t>
  </si>
  <si>
    <t>CA = 17 -15 - 14</t>
  </si>
  <si>
    <t>CA = 15 - 12 - 14</t>
  </si>
  <si>
    <t>CA = 15 - 11 - 14</t>
  </si>
  <si>
    <t>Vel 12m, scalare 6m</t>
  </si>
  <si>
    <t>Vel 6 m</t>
  </si>
  <si>
    <t>Hobgoblin</t>
  </si>
  <si>
    <t>CA = 15 -11 - 14</t>
  </si>
  <si>
    <t>Bugbear</t>
  </si>
  <si>
    <t>CA = 17 - 11 - 16</t>
  </si>
  <si>
    <t>Morning star +5 1d8+2/x2</t>
  </si>
  <si>
    <t>Giavellotto +3 1d6+2/x2</t>
  </si>
  <si>
    <t>Pag. 34</t>
  </si>
  <si>
    <t>1 Scudo legno leggero perfetto (153 MO)</t>
  </si>
  <si>
    <t>1 Chiave porta (2</t>
  </si>
  <si>
    <t>1 Chiave porta (1</t>
  </si>
  <si>
    <t>1 chiave porta (5; CD 13 per trovarla</t>
  </si>
  <si>
    <t>Zombi popolano</t>
  </si>
  <si>
    <t>pag. 266</t>
  </si>
  <si>
    <r>
      <t>Schianto/Randello</t>
    </r>
    <r>
      <rPr>
        <sz val="11"/>
        <color theme="1"/>
        <rFont val="Calibri"/>
        <family val="2"/>
        <scheme val="minor"/>
      </rPr>
      <t xml:space="preserve"> +2 (1d6+1)</t>
    </r>
  </si>
  <si>
    <t>Capacità speciali:</t>
  </si>
  <si>
    <t xml:space="preserve"> Solo azioni singole: 1 sola az o 1 mov. Se carica mov + att.</t>
  </si>
  <si>
    <t>RD 5/Tagliente</t>
  </si>
  <si>
    <t>Scurovisione 18 m</t>
  </si>
  <si>
    <t>CA = 14 - 9 - 13</t>
  </si>
  <si>
    <t>Arm cuoio + scudo</t>
  </si>
  <si>
    <t>Tratti non morti (317)</t>
  </si>
  <si>
    <t>Tesoro: nessuno</t>
  </si>
  <si>
    <t>Min 6</t>
  </si>
  <si>
    <r>
      <rPr>
        <b/>
        <sz val="11"/>
        <color theme="1"/>
        <rFont val="Calibri"/>
        <family val="2"/>
        <scheme val="minor"/>
      </rPr>
      <t xml:space="preserve">Morning star </t>
    </r>
    <r>
      <rPr>
        <sz val="11"/>
        <color theme="1"/>
        <rFont val="Calibri"/>
        <family val="2"/>
        <scheme val="minor"/>
      </rPr>
      <t>+2 1d6/x2</t>
    </r>
  </si>
  <si>
    <r>
      <rPr>
        <b/>
        <sz val="11"/>
        <color theme="1"/>
        <rFont val="Calibri"/>
        <family val="2"/>
        <scheme val="minor"/>
      </rPr>
      <t>Giavellotto</t>
    </r>
    <r>
      <rPr>
        <sz val="11"/>
        <color theme="1"/>
        <rFont val="Calibri"/>
        <family val="2"/>
        <scheme val="minor"/>
      </rPr>
      <t xml:space="preserve"> +3 1d4/x2</t>
    </r>
  </si>
  <si>
    <r>
      <rPr>
        <b/>
        <sz val="11"/>
        <color theme="1"/>
        <rFont val="Calibri"/>
        <family val="2"/>
        <scheme val="minor"/>
      </rPr>
      <t>Spada lunga</t>
    </r>
    <r>
      <rPr>
        <sz val="11"/>
        <color theme="1"/>
        <rFont val="Calibri"/>
        <family val="2"/>
        <scheme val="minor"/>
      </rPr>
      <t xml:space="preserve"> +2, 1d8+1 / 19-20</t>
    </r>
  </si>
  <si>
    <r>
      <rPr>
        <b/>
        <sz val="11"/>
        <color theme="1"/>
        <rFont val="Calibri"/>
        <family val="2"/>
        <scheme val="minor"/>
      </rPr>
      <t xml:space="preserve">Giavellotto </t>
    </r>
    <r>
      <rPr>
        <sz val="11"/>
        <color theme="1"/>
        <rFont val="Calibri"/>
        <family val="2"/>
        <scheme val="minor"/>
      </rPr>
      <t>+2, 1d6 +1</t>
    </r>
  </si>
  <si>
    <t>PE Totali</t>
  </si>
  <si>
    <t>PE x PG</t>
  </si>
  <si>
    <t>Pag. 191</t>
  </si>
  <si>
    <t>Pag. 18</t>
  </si>
  <si>
    <t>Pag. 140</t>
  </si>
  <si>
    <t>Exp totale a fine quest (senza altri incontri casuali)</t>
  </si>
  <si>
    <r>
      <rPr>
        <b/>
        <sz val="11"/>
        <color theme="1"/>
        <rFont val="Calibri"/>
        <family val="2"/>
        <scheme val="minor"/>
      </rPr>
      <t>Spada lunga</t>
    </r>
    <r>
      <rPr>
        <sz val="11"/>
        <color theme="1"/>
        <rFont val="Calibri"/>
        <family val="2"/>
        <scheme val="minor"/>
      </rPr>
      <t xml:space="preserve"> +2, 1d8+1 19-20 x2</t>
    </r>
  </si>
  <si>
    <t>Popolano</t>
  </si>
  <si>
    <t>Vampiro</t>
  </si>
  <si>
    <t>Diavolo</t>
  </si>
  <si>
    <t>Minotauro</t>
  </si>
  <si>
    <t>Lupo</t>
  </si>
  <si>
    <t>Zombi</t>
  </si>
  <si>
    <t>popolano</t>
  </si>
  <si>
    <t>Capitano</t>
  </si>
  <si>
    <t>Samurai</t>
  </si>
  <si>
    <t>Thiefling</t>
  </si>
  <si>
    <t>Elfo</t>
  </si>
  <si>
    <t>Nano</t>
  </si>
  <si>
    <t>Gnoll</t>
  </si>
  <si>
    <t>Coccodrillo</t>
  </si>
  <si>
    <r>
      <rPr>
        <i/>
        <sz val="14"/>
        <color theme="1"/>
        <rFont val="Calibri"/>
        <family val="2"/>
        <scheme val="minor"/>
      </rPr>
      <t>"Appena aprono la porta avvertono un inspiegabile rumore (suono di un fantasma)".</t>
    </r>
    <r>
      <rPr>
        <sz val="14"/>
        <color theme="1"/>
        <rFont val="Calibri"/>
        <family val="2"/>
        <scheme val="minor"/>
      </rPr>
      <t xml:space="preserve"> Questa stanza è stata scavata dalla nuda roccia e non sembra esserci molto all’interno. Sul lato destro, poggiata su un fianco potete scorgere una clessidra che porta inesorabile i segni del tempo trascorso. Non c’ è più sabbia né nella clessidra, ne tantomeno dentro la stanza, probabilmente è stata spazzata via tempo fa. Al centro della stanza ci sono 3 sedie color bianco grigiastro, ma non a causa del tempo trascorso (Frassino), e disposte in semicerchio e nelle cui vicinanze potete scorgere della cenere, proveniente da delle pipe probabilmente. Subito dietro, appoggiato al muro un ferro per marchiare cattura la vostra attenzione (Sul ferro è inciso un simbolo, con conoscenze Storia CD 25, scoprono che risale al tempo del re e veniva usato per marchiare gli schiavi al lavoro nella miniera).</t>
    </r>
  </si>
  <si>
    <t>Porta di pietra chiusa. CD 28 Sfondare, CD 21 Cercare. Contenuto: 1 tripode (treppiedi) ed un baule (30 MO; 1 Scudo di legno pesante perfetto 157 MO).</t>
  </si>
  <si>
    <t>Questa stanza è molto umida, permeata da un tanfo alquanto sgradevole, un sottile strato di muschio ricopre le pareti a nord ed est. Un sacco logoro giace in terra sulla parete ovest accanto ad una bottiglia piena per metà di liquido trasparente. Una lanterna è appoggiata sul muro est della stanza.</t>
  </si>
  <si>
    <t xml:space="preserve">Un falò sulla parete nord della stanza, pare essere spento da diverse ore una piccola insenatura sul soffitto vi fa intuire che è da li che va via il fumo, ma questo non toglie che all’ interno ci sia un’ odore di carne arrosto misto a fumo. Sullo spiedo è rimasto quello che sembra essere l’avanzo di una cena precedente. Alcuni mobili sono disposti lungo le pareti e un grosso tavolo con delle sedie tutto intorno si ergono al centro della stanza. Sulla parete ovest potete intravedere una porta e accanto al falò una fontana. </t>
  </si>
  <si>
    <t>In questa pare non ci siano nient'altro che letti.</t>
  </si>
  <si>
    <t>Le massicce pareti in muratura di questa stanza larga 8 metri si sono conservate in maniera tutt’altro che buona, ma l’estremità più lontana versa in condizioni pessime, dal momento che è quasi completamente collassata su se stessa riempiendo di macerie la sezione a nord della stanza. Anche qui giace a terra una clessidra segnata dal tempo, un gancio è appeso sul muro a est ed una grossa chiave penzola da esso. Una maracas giace ai suoi piedi. Sul al muro ovest invece vicino un gruppo di sedie c’è un’ ampolla piena.</t>
  </si>
  <si>
    <t>1 Chiave porta (9</t>
  </si>
  <si>
    <t>Con CD 15 Cercare, posso trovare appesa ad una spalliera del letto la chiave della porta (10</t>
  </si>
  <si>
    <t>Chiave porta (4</t>
  </si>
  <si>
    <t>Quando il possessore della chiave, passa vicino alla porta (4, la porta segreta si palesa davanti ai suoi occhi.</t>
  </si>
  <si>
    <t>monete LI 1</t>
  </si>
  <si>
    <t>nessuno</t>
  </si>
  <si>
    <t xml:space="preserve"> monete LI 2</t>
  </si>
  <si>
    <t>zombie</t>
  </si>
  <si>
    <t>Serpente</t>
  </si>
  <si>
    <t>Verme</t>
  </si>
  <si>
    <t>Zombie</t>
  </si>
  <si>
    <t>Goblin</t>
  </si>
  <si>
    <t>PE Totali avventura</t>
  </si>
  <si>
    <t>PE Totali x PG</t>
  </si>
  <si>
    <t>PE x apertura</t>
  </si>
  <si>
    <t>PE x ritrovamento chiave</t>
  </si>
  <si>
    <t>PE x sgombero area</t>
  </si>
  <si>
    <t>PE trappola (2</t>
  </si>
  <si>
    <t>PE trappola (10</t>
  </si>
  <si>
    <t xml:space="preserve">PE riportano +10 kg </t>
  </si>
  <si>
    <t>Oro</t>
  </si>
  <si>
    <t>Mentre aprite il pesante portone di legno, potete udire per un istante (QUESTO LO DEVI FARE TU XD)(Un suono inquietante come di un fantasma. Deve essere solo un istante), e dopo aver aperto per intero la porta potete notare due ratti nella parte nord della stanza, che sono intenti a banchettare con quelli che sembrano dei resti di una creatura minuta e verdastra, forse un goblin. I ratti sembrano non avervi notato subito, ma appena un terzo roditore, intento a saziarsi di alcuni funghi cresciuti nella parte ovest avverte la vostra presenza, squittisce in modo piuttosto fragoroso facendo si che vi notino anche gli altri due. L'ultima cosa che riuscite a vedere prima dell'attacco è una porta sul lato destro della stanza.</t>
  </si>
  <si>
    <t xml:space="preserve">Questa stanza è più grande rispetto alle altre, ma non messa meglio, anzi versa in condizioni peggiori, il soffitto sembra stia cedendo e il pavimento non è messo meglio. In fondo alla stanza potete scorgere una figura poco amichevole, ha tutta l'aria di essere il tipo che guidava la spedizione quando siete arrivati e al suo fianco c'è un piccolo goblin che sembra volersi fare beffe di voi sentendosi al sicuro vicino al suo capo. Due grossi armadi sono posizionati ai due lati della stanza e vicino ad ognuno dei due c' è un goblin pronto ad attaccarvi al primo passo falso. </t>
  </si>
  <si>
    <t>3m, 1d6 danni caduta. Dentro ci sono 2 topi crudeli.</t>
  </si>
  <si>
    <r>
      <rPr>
        <b/>
        <sz val="11"/>
        <color theme="1"/>
        <rFont val="Calibri"/>
        <family val="2"/>
        <scheme val="minor"/>
      </rPr>
      <t>Fossa celata:</t>
    </r>
    <r>
      <rPr>
        <sz val="11"/>
        <color theme="1"/>
        <rFont val="Calibri"/>
        <family val="2"/>
        <scheme val="minor"/>
      </rPr>
      <t xml:space="preserve"> CD 20 Osservare o TS Rif CD 20 evita</t>
    </r>
  </si>
  <si>
    <t>Questa stanza è la più grande che abbiate mai visto, molto più sfarzose e lussuosa rispetto alle altre, versa anche in condizioni migliori, ma l'umidità e la muffa sono presenti anche qui. Sulle pareti sono appesi drappelli, un arazzo rappresentante la grande guerra avvenuta secoli orsono ed un paio di quadri molto rovinati. Ai loro piedi sono disposte dei manichini con appese delle armature logorate dall'ambiente e coperte di sangue raffermo. Ci sono anche alcune armi sparse qui e li anch'esse insanguinate. Un grosso letto vicino la l'angolo nord-est attira la vostra attenzione e vi fa notare una grossa creatura molto pelosa e molto arrabbiata. Di fronte ad essa tre goblin sono pronti a lanciarvi un giavellotto.</t>
  </si>
  <si>
    <t>Scarabei</t>
  </si>
  <si>
    <t>imp</t>
  </si>
  <si>
    <t>Cobodo</t>
  </si>
  <si>
    <t>Imp</t>
  </si>
  <si>
    <t>Coboldo</t>
  </si>
  <si>
    <t>Strega</t>
  </si>
  <si>
    <t>cane</t>
  </si>
  <si>
    <t>Zenythri</t>
  </si>
  <si>
    <t>Pag. 177</t>
  </si>
  <si>
    <t>Scimitarra +3, 1d6+1/18-20x2</t>
  </si>
  <si>
    <t>Balestra leggera +2, 1d8/19-20 x2</t>
  </si>
  <si>
    <t>CA = 11 - 11 - 10</t>
  </si>
  <si>
    <t>Cobra</t>
  </si>
  <si>
    <t>Centipede</t>
  </si>
  <si>
    <t>"-1 txc"</t>
  </si>
  <si>
    <t>Arm cuoio</t>
  </si>
  <si>
    <t>+2 txc e TS</t>
  </si>
  <si>
    <r>
      <t>Schianto</t>
    </r>
    <r>
      <rPr>
        <sz val="11"/>
        <color theme="1"/>
        <rFont val="Calibri"/>
        <family val="2"/>
        <scheme val="minor"/>
      </rPr>
      <t xml:space="preserve"> +6 (1d6+3)</t>
    </r>
  </si>
  <si>
    <t>+4 contro scacciare non morti (Conta come se avessero 6 DV)</t>
  </si>
  <si>
    <t>+2 Arm naturale</t>
  </si>
  <si>
    <t>+8 PF (4 Padronanza dei non morti; 4 Artigiano di cadaveri)</t>
  </si>
  <si>
    <t>For 16 (+3); Des 12 (+1)</t>
  </si>
  <si>
    <r>
      <rPr>
        <b/>
        <sz val="11"/>
        <color theme="1"/>
        <rFont val="Calibri"/>
        <family val="2"/>
        <scheme val="minor"/>
      </rPr>
      <t xml:space="preserve">CA </t>
    </r>
    <r>
      <rPr>
        <sz val="11"/>
        <color theme="1"/>
        <rFont val="Calibri"/>
        <family val="2"/>
        <scheme val="minor"/>
      </rPr>
      <t>= 17 - 11 - 15</t>
    </r>
  </si>
  <si>
    <t xml:space="preserve"> Solo azioni singole: 1 sola az o 1 mov. Se carica mov + att. Ma non può correre (solo 6q)</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</si>
</sst>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sz val="14"/>
      <color theme="1"/>
      <name val="Calibri"/>
      <family val="2"/>
      <scheme val="minor"/>
    </font>
    <font>
      <i/>
      <sz val="14"/>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0" fillId="0" borderId="0" xfId="0"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xf numFmtId="49" fontId="0" fillId="0" borderId="0" xfId="0" applyNumberFormat="1"/>
    <xf numFmtId="0" fontId="0" fillId="0" borderId="0" xfId="0" applyAlignment="1">
      <alignment horizontal="center"/>
    </xf>
    <xf numFmtId="0" fontId="2" fillId="0" borderId="0" xfId="0" applyFont="1" applyAlignment="1">
      <alignment vertical="top" wrapText="1"/>
    </xf>
    <xf numFmtId="0" fontId="4" fillId="0" borderId="0" xfId="0" applyFo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49" fontId="0" fillId="0" borderId="0" xfId="0" applyNumberFormat="1" applyAlignment="1"/>
    <xf numFmtId="49" fontId="1" fillId="0" borderId="0" xfId="0" applyNumberFormat="1" applyFont="1"/>
    <xf numFmtId="49" fontId="1" fillId="0" borderId="0" xfId="0" applyNumberFormat="1" applyFont="1" applyAlignment="1"/>
    <xf numFmtId="4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wrapText="1"/>
    </xf>
  </cellXfs>
  <cellStyles count="1">
    <cellStyle name="Normal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M23"/>
  <sheetViews>
    <sheetView topLeftCell="A4" workbookViewId="0">
      <selection activeCell="D7" sqref="D7"/>
    </sheetView>
  </sheetViews>
  <sheetFormatPr defaultRowHeight="14.4"/>
  <cols>
    <col min="2" max="2" width="18.44140625" customWidth="1"/>
    <col min="5" max="5" width="9.109375" customWidth="1"/>
    <col min="7" max="7" width="18.44140625" customWidth="1"/>
    <col min="12" max="12" width="10.88671875" customWidth="1"/>
  </cols>
  <sheetData>
    <row r="1" spans="1:13">
      <c r="A1" s="24" t="s">
        <v>1</v>
      </c>
      <c r="B1" s="24"/>
      <c r="C1" s="2"/>
      <c r="F1" s="24" t="s">
        <v>1</v>
      </c>
      <c r="G1" s="24"/>
      <c r="H1" s="2"/>
      <c r="I1" s="2"/>
      <c r="L1" s="24" t="s">
        <v>15</v>
      </c>
      <c r="M1" s="24"/>
    </row>
    <row r="2" spans="1:13">
      <c r="A2" s="1" t="s">
        <v>0</v>
      </c>
      <c r="B2" s="1" t="s">
        <v>2</v>
      </c>
      <c r="F2" s="1" t="s">
        <v>0</v>
      </c>
      <c r="G2" s="1" t="s">
        <v>2</v>
      </c>
      <c r="L2" t="s">
        <v>13</v>
      </c>
    </row>
    <row r="3" spans="1:13">
      <c r="A3" s="1"/>
      <c r="B3" s="1">
        <f>A3</f>
        <v>0</v>
      </c>
      <c r="F3" s="1"/>
      <c r="G3" s="1">
        <f>F3</f>
        <v>0</v>
      </c>
      <c r="L3" t="s">
        <v>12</v>
      </c>
    </row>
    <row r="4" spans="1:13">
      <c r="L4" t="s">
        <v>11</v>
      </c>
    </row>
    <row r="5" spans="1:13">
      <c r="A5" s="24" t="s">
        <v>1</v>
      </c>
      <c r="B5" s="24"/>
      <c r="F5" s="24" t="s">
        <v>1</v>
      </c>
      <c r="G5" s="24"/>
      <c r="L5" t="s">
        <v>20</v>
      </c>
    </row>
    <row r="6" spans="1:13">
      <c r="A6" s="1" t="s">
        <v>0</v>
      </c>
      <c r="B6" s="1" t="s">
        <v>2</v>
      </c>
      <c r="F6" s="1" t="s">
        <v>0</v>
      </c>
      <c r="G6" s="1" t="s">
        <v>2</v>
      </c>
      <c r="L6" t="s">
        <v>14</v>
      </c>
    </row>
    <row r="7" spans="1:13">
      <c r="A7" s="1"/>
      <c r="B7" s="1">
        <f>A7</f>
        <v>0</v>
      </c>
      <c r="F7" s="1"/>
      <c r="G7" s="1">
        <f>F7</f>
        <v>0</v>
      </c>
      <c r="L7" t="s">
        <v>3</v>
      </c>
    </row>
    <row r="8" spans="1:13">
      <c r="L8" t="s">
        <v>4</v>
      </c>
    </row>
    <row r="9" spans="1:13">
      <c r="A9" s="24" t="s">
        <v>1</v>
      </c>
      <c r="B9" s="24"/>
      <c r="F9" s="24" t="s">
        <v>1</v>
      </c>
      <c r="G9" s="24"/>
      <c r="L9" t="s">
        <v>5</v>
      </c>
    </row>
    <row r="10" spans="1:13">
      <c r="A10" s="1" t="s">
        <v>0</v>
      </c>
      <c r="B10" s="1" t="s">
        <v>2</v>
      </c>
      <c r="F10" s="1" t="s">
        <v>0</v>
      </c>
      <c r="G10" s="1" t="s">
        <v>2</v>
      </c>
      <c r="L10" t="s">
        <v>6</v>
      </c>
    </row>
    <row r="11" spans="1:13">
      <c r="A11" s="1"/>
      <c r="B11" s="1">
        <f>A11</f>
        <v>0</v>
      </c>
      <c r="F11" s="1"/>
      <c r="G11" s="1">
        <f>F11</f>
        <v>0</v>
      </c>
      <c r="L11" t="s">
        <v>7</v>
      </c>
    </row>
    <row r="12" spans="1:13">
      <c r="L12" t="s">
        <v>8</v>
      </c>
    </row>
    <row r="13" spans="1:13">
      <c r="A13" s="24" t="s">
        <v>1</v>
      </c>
      <c r="B13" s="24"/>
      <c r="F13" s="24" t="s">
        <v>1</v>
      </c>
      <c r="G13" s="24"/>
      <c r="L13" t="s">
        <v>9</v>
      </c>
    </row>
    <row r="14" spans="1:13">
      <c r="A14" s="1" t="s">
        <v>0</v>
      </c>
      <c r="B14" s="1" t="s">
        <v>2</v>
      </c>
      <c r="F14" s="1" t="s">
        <v>0</v>
      </c>
      <c r="G14" s="1" t="s">
        <v>2</v>
      </c>
      <c r="L14" t="s">
        <v>10</v>
      </c>
    </row>
    <row r="15" spans="1:13">
      <c r="A15" s="1"/>
      <c r="B15" s="1">
        <f>A15</f>
        <v>0</v>
      </c>
      <c r="F15" s="1"/>
      <c r="G15" s="1">
        <f>F15</f>
        <v>0</v>
      </c>
      <c r="L15" t="s">
        <v>16</v>
      </c>
    </row>
    <row r="16" spans="1:13">
      <c r="L16" t="s">
        <v>17</v>
      </c>
    </row>
    <row r="17" spans="1:12">
      <c r="A17" s="24" t="s">
        <v>1</v>
      </c>
      <c r="B17" s="24"/>
      <c r="F17" s="24" t="s">
        <v>1</v>
      </c>
      <c r="G17" s="24"/>
      <c r="L17" t="s">
        <v>18</v>
      </c>
    </row>
    <row r="18" spans="1:12">
      <c r="A18" s="1" t="s">
        <v>0</v>
      </c>
      <c r="B18" s="1" t="s">
        <v>2</v>
      </c>
      <c r="F18" s="1" t="s">
        <v>0</v>
      </c>
      <c r="G18" s="1" t="s">
        <v>2</v>
      </c>
      <c r="L18" t="s">
        <v>19</v>
      </c>
    </row>
    <row r="19" spans="1:12">
      <c r="A19" s="1"/>
      <c r="B19" s="1">
        <f>A19</f>
        <v>0</v>
      </c>
      <c r="F19" s="1"/>
      <c r="G19" s="1">
        <f>F19</f>
        <v>0</v>
      </c>
    </row>
    <row r="21" spans="1:12">
      <c r="A21" s="24" t="s">
        <v>1</v>
      </c>
      <c r="B21" s="24"/>
      <c r="F21" s="24" t="s">
        <v>1</v>
      </c>
      <c r="G21" s="24"/>
    </row>
    <row r="22" spans="1:12">
      <c r="A22" s="1" t="s">
        <v>0</v>
      </c>
      <c r="B22" s="1" t="s">
        <v>2</v>
      </c>
      <c r="F22" s="1" t="s">
        <v>0</v>
      </c>
      <c r="G22" s="1" t="s">
        <v>2</v>
      </c>
    </row>
    <row r="23" spans="1:12">
      <c r="A23" s="1"/>
      <c r="B23" s="1">
        <f>A23</f>
        <v>0</v>
      </c>
      <c r="F23" s="1"/>
      <c r="G23" s="1">
        <f>F23</f>
        <v>0</v>
      </c>
    </row>
  </sheetData>
  <sortState ref="L2:M6">
    <sortCondition ref="L6"/>
  </sortState>
  <mergeCells count="13">
    <mergeCell ref="F17:G17"/>
    <mergeCell ref="A21:B21"/>
    <mergeCell ref="F21:G21"/>
    <mergeCell ref="L1:M1"/>
    <mergeCell ref="A5:B5"/>
    <mergeCell ref="A13:B13"/>
    <mergeCell ref="F1:G1"/>
    <mergeCell ref="F5:G5"/>
    <mergeCell ref="F9:G9"/>
    <mergeCell ref="F13:G13"/>
    <mergeCell ref="A1:B1"/>
    <mergeCell ref="A9:B9"/>
    <mergeCell ref="A17:B17"/>
  </mergeCells>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dimension ref="A1:S25"/>
  <sheetViews>
    <sheetView topLeftCell="A13" workbookViewId="0">
      <selection activeCell="G24" sqref="G24"/>
    </sheetView>
  </sheetViews>
  <sheetFormatPr defaultRowHeight="14.4"/>
  <cols>
    <col min="8" max="8" width="9.88671875" bestFit="1" customWidth="1"/>
    <col min="9" max="9" width="9.109375" style="5"/>
  </cols>
  <sheetData>
    <row r="1" spans="1:19">
      <c r="A1" s="24" t="s">
        <v>52</v>
      </c>
      <c r="B1" s="24"/>
      <c r="D1" t="s">
        <v>93</v>
      </c>
      <c r="H1" s="24" t="s">
        <v>15</v>
      </c>
      <c r="I1" s="24"/>
    </row>
    <row r="2" spans="1:19">
      <c r="A2" s="5" t="s">
        <v>0</v>
      </c>
      <c r="B2" s="5" t="s">
        <v>2</v>
      </c>
      <c r="C2" t="s">
        <v>143</v>
      </c>
      <c r="G2" s="8" t="str">
        <f>IF(B3&gt;0,"Vivo","Morto")</f>
        <v>Morto</v>
      </c>
      <c r="H2" t="s">
        <v>143</v>
      </c>
      <c r="I2" s="5">
        <v>0</v>
      </c>
    </row>
    <row r="3" spans="1:19">
      <c r="A3" s="5">
        <v>9</v>
      </c>
      <c r="B3" s="5">
        <f>A3-9</f>
        <v>0</v>
      </c>
      <c r="C3" s="8" t="str">
        <f>IF(B3&gt;0,"Vivo","Morto")</f>
        <v>Morto</v>
      </c>
      <c r="D3" t="s">
        <v>56</v>
      </c>
      <c r="G3" s="8" t="str">
        <f>IF(B11&gt;0,"Vivo","Morto")</f>
        <v>Morto</v>
      </c>
      <c r="H3" t="s">
        <v>147</v>
      </c>
      <c r="I3" s="5">
        <v>12</v>
      </c>
    </row>
    <row r="4" spans="1:19">
      <c r="H4" t="s">
        <v>20</v>
      </c>
      <c r="I4" s="5">
        <v>10</v>
      </c>
    </row>
    <row r="5" spans="1:19">
      <c r="A5" s="24" t="s">
        <v>52</v>
      </c>
      <c r="B5" s="24"/>
      <c r="G5" s="8" t="str">
        <f>IF(B7&gt;0,"Vivo","Morto")</f>
        <v>Morto</v>
      </c>
      <c r="H5" t="s">
        <v>146</v>
      </c>
      <c r="I5" s="5">
        <v>10</v>
      </c>
    </row>
    <row r="6" spans="1:19">
      <c r="A6" s="5" t="s">
        <v>0</v>
      </c>
      <c r="B6" s="5" t="s">
        <v>2</v>
      </c>
      <c r="C6" t="s">
        <v>144</v>
      </c>
      <c r="H6" t="s">
        <v>12</v>
      </c>
      <c r="I6" s="5">
        <v>8</v>
      </c>
    </row>
    <row r="7" spans="1:19">
      <c r="A7" s="5">
        <v>9</v>
      </c>
      <c r="B7" s="5">
        <f>A7-6-8</f>
        <v>-5</v>
      </c>
      <c r="C7" s="8" t="str">
        <f>IF(B7&gt;0,"Vivo","Morto")</f>
        <v>Morto</v>
      </c>
      <c r="H7" t="s">
        <v>13</v>
      </c>
      <c r="I7" s="5">
        <v>5.5</v>
      </c>
    </row>
    <row r="8" spans="1:19">
      <c r="H8" t="s">
        <v>14</v>
      </c>
      <c r="I8" s="5">
        <v>5</v>
      </c>
    </row>
    <row r="9" spans="1:19">
      <c r="A9" s="24" t="s">
        <v>52</v>
      </c>
      <c r="B9" s="24"/>
      <c r="C9" t="s">
        <v>145</v>
      </c>
      <c r="H9" t="s">
        <v>11</v>
      </c>
      <c r="I9" s="5">
        <v>3</v>
      </c>
    </row>
    <row r="10" spans="1:19">
      <c r="A10" s="5" t="s">
        <v>0</v>
      </c>
      <c r="B10" s="5" t="s">
        <v>2</v>
      </c>
    </row>
    <row r="11" spans="1:19">
      <c r="A11" s="5">
        <v>9</v>
      </c>
      <c r="B11" s="5">
        <f>A11-5-5</f>
        <v>-1</v>
      </c>
      <c r="C11" s="8" t="str">
        <f>IF(B11&gt;0,"Vivo","Morto")</f>
        <v>Morto</v>
      </c>
    </row>
    <row r="13" spans="1:19">
      <c r="A13" t="s">
        <v>53</v>
      </c>
    </row>
    <row r="14" spans="1:19">
      <c r="A14" t="s">
        <v>54</v>
      </c>
    </row>
    <row r="16" spans="1:19">
      <c r="A16" t="s">
        <v>55</v>
      </c>
      <c r="J16" s="28" t="s">
        <v>138</v>
      </c>
      <c r="K16" s="28"/>
      <c r="L16" s="28"/>
      <c r="M16" s="28"/>
      <c r="N16" s="28"/>
      <c r="O16" s="28"/>
      <c r="P16" s="28"/>
      <c r="Q16" s="28"/>
      <c r="R16" s="28"/>
      <c r="S16" s="28"/>
    </row>
    <row r="17" spans="6:19">
      <c r="J17" s="28"/>
      <c r="K17" s="28"/>
      <c r="L17" s="28"/>
      <c r="M17" s="28"/>
      <c r="N17" s="28"/>
      <c r="O17" s="28"/>
      <c r="P17" s="28"/>
      <c r="Q17" s="28"/>
      <c r="R17" s="28"/>
      <c r="S17" s="28"/>
    </row>
    <row r="18" spans="6:19">
      <c r="J18" s="28"/>
      <c r="K18" s="28"/>
      <c r="L18" s="28"/>
      <c r="M18" s="28"/>
      <c r="N18" s="28"/>
      <c r="O18" s="28"/>
      <c r="P18" s="28"/>
      <c r="Q18" s="28"/>
      <c r="R18" s="28"/>
      <c r="S18" s="28"/>
    </row>
    <row r="19" spans="6:19">
      <c r="J19" s="28"/>
      <c r="K19" s="28"/>
      <c r="L19" s="28"/>
      <c r="M19" s="28"/>
      <c r="N19" s="28"/>
      <c r="O19" s="28"/>
      <c r="P19" s="28"/>
      <c r="Q19" s="28"/>
      <c r="R19" s="28"/>
      <c r="S19" s="28"/>
    </row>
    <row r="20" spans="6:19">
      <c r="J20" s="28"/>
      <c r="K20" s="28"/>
      <c r="L20" s="28"/>
      <c r="M20" s="28"/>
      <c r="N20" s="28"/>
      <c r="O20" s="28"/>
      <c r="P20" s="28"/>
      <c r="Q20" s="28"/>
      <c r="R20" s="28"/>
      <c r="S20" s="28"/>
    </row>
    <row r="21" spans="6:19">
      <c r="J21" s="28"/>
      <c r="K21" s="28"/>
      <c r="L21" s="28"/>
      <c r="M21" s="28"/>
      <c r="N21" s="28"/>
      <c r="O21" s="28"/>
      <c r="P21" s="28"/>
      <c r="Q21" s="28"/>
      <c r="R21" s="28"/>
      <c r="S21" s="28"/>
    </row>
    <row r="22" spans="6:19">
      <c r="G22">
        <v>3.5</v>
      </c>
      <c r="J22" s="28"/>
      <c r="K22" s="28"/>
      <c r="L22" s="28"/>
      <c r="M22" s="28"/>
      <c r="N22" s="28"/>
      <c r="O22" s="28"/>
      <c r="P22" s="28"/>
      <c r="Q22" s="28"/>
      <c r="R22" s="28"/>
      <c r="S22" s="28"/>
    </row>
    <row r="23" spans="6:19">
      <c r="F23" t="s">
        <v>90</v>
      </c>
      <c r="G23">
        <f>300+200</f>
        <v>500</v>
      </c>
      <c r="J23" s="28"/>
      <c r="K23" s="28"/>
      <c r="L23" s="28"/>
      <c r="M23" s="28"/>
      <c r="N23" s="28"/>
      <c r="O23" s="28"/>
      <c r="P23" s="28"/>
      <c r="Q23" s="28"/>
      <c r="R23" s="28"/>
      <c r="S23" s="28"/>
    </row>
    <row r="24" spans="6:19">
      <c r="F24" t="s">
        <v>91</v>
      </c>
      <c r="G24">
        <f>G23/5</f>
        <v>100</v>
      </c>
      <c r="J24" s="28"/>
      <c r="K24" s="28"/>
      <c r="L24" s="28"/>
      <c r="M24" s="28"/>
      <c r="N24" s="28"/>
      <c r="O24" s="28"/>
      <c r="P24" s="28"/>
      <c r="Q24" s="28"/>
      <c r="R24" s="28"/>
      <c r="S24" s="28"/>
    </row>
    <row r="25" spans="6:19">
      <c r="J25" s="28"/>
      <c r="K25" s="28"/>
      <c r="L25" s="28"/>
      <c r="M25" s="28"/>
      <c r="N25" s="28"/>
      <c r="O25" s="28"/>
      <c r="P25" s="28"/>
      <c r="Q25" s="28"/>
      <c r="R25" s="28"/>
      <c r="S25" s="28"/>
    </row>
  </sheetData>
  <sortState ref="G2:I9">
    <sortCondition descending="1" ref="I9"/>
  </sortState>
  <mergeCells count="5">
    <mergeCell ref="A1:B1"/>
    <mergeCell ref="A5:B5"/>
    <mergeCell ref="A9:B9"/>
    <mergeCell ref="H1:I1"/>
    <mergeCell ref="J16:S25"/>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26"/>
  <sheetViews>
    <sheetView topLeftCell="A10" workbookViewId="0">
      <selection activeCell="G19" sqref="G19:H20"/>
    </sheetView>
  </sheetViews>
  <sheetFormatPr defaultRowHeight="14.4"/>
  <cols>
    <col min="11" max="11" width="9.88671875" bestFit="1" customWidth="1"/>
    <col min="12" max="12" width="9.109375" style="6"/>
  </cols>
  <sheetData>
    <row r="1" spans="1:12">
      <c r="A1" s="24" t="s">
        <v>32</v>
      </c>
      <c r="B1" s="24"/>
      <c r="C1" t="s">
        <v>146</v>
      </c>
      <c r="D1" t="s">
        <v>34</v>
      </c>
      <c r="F1" s="24" t="s">
        <v>63</v>
      </c>
      <c r="G1" s="24"/>
      <c r="I1" t="s">
        <v>94</v>
      </c>
      <c r="K1" s="24" t="s">
        <v>15</v>
      </c>
      <c r="L1" s="24"/>
    </row>
    <row r="2" spans="1:12">
      <c r="A2" s="6" t="s">
        <v>0</v>
      </c>
      <c r="B2" s="6" t="s">
        <v>2</v>
      </c>
      <c r="F2" s="6" t="s">
        <v>0</v>
      </c>
      <c r="G2" s="6" t="s">
        <v>2</v>
      </c>
      <c r="K2" t="s">
        <v>12</v>
      </c>
      <c r="L2" s="6">
        <v>23</v>
      </c>
    </row>
    <row r="3" spans="1:12">
      <c r="A3" s="6">
        <v>9</v>
      </c>
      <c r="B3" s="6">
        <f>A3-5-6</f>
        <v>-2</v>
      </c>
      <c r="F3" s="6">
        <v>10</v>
      </c>
      <c r="G3" s="6">
        <f>F3-9-5</f>
        <v>-4</v>
      </c>
      <c r="K3" t="s">
        <v>11</v>
      </c>
      <c r="L3" s="6">
        <v>19</v>
      </c>
    </row>
    <row r="4" spans="1:12">
      <c r="K4" t="s">
        <v>13</v>
      </c>
      <c r="L4" s="6">
        <v>17</v>
      </c>
    </row>
    <row r="5" spans="1:12">
      <c r="A5" s="24" t="s">
        <v>32</v>
      </c>
      <c r="B5" s="24"/>
      <c r="C5" t="s">
        <v>128</v>
      </c>
      <c r="F5" t="s">
        <v>88</v>
      </c>
      <c r="J5" s="8" t="str">
        <f>IF($B$3&gt;0,"Vivo","Morto")</f>
        <v>Morto</v>
      </c>
      <c r="K5" t="s">
        <v>146</v>
      </c>
      <c r="L5" s="6">
        <v>16.5</v>
      </c>
    </row>
    <row r="6" spans="1:12">
      <c r="A6" s="6" t="s">
        <v>0</v>
      </c>
      <c r="B6" s="6" t="s">
        <v>2</v>
      </c>
      <c r="F6" t="s">
        <v>89</v>
      </c>
      <c r="J6" s="8" t="str">
        <f>IF($B$11&gt;0,"Vivo","Morto")</f>
        <v>Morto</v>
      </c>
      <c r="K6" t="s">
        <v>147</v>
      </c>
      <c r="L6" s="6">
        <v>16</v>
      </c>
    </row>
    <row r="7" spans="1:12">
      <c r="A7" s="6">
        <v>9</v>
      </c>
      <c r="B7" s="6">
        <f>A7-7-7</f>
        <v>-5</v>
      </c>
      <c r="F7" t="s">
        <v>64</v>
      </c>
      <c r="K7" t="s">
        <v>20</v>
      </c>
      <c r="L7" s="6">
        <v>14</v>
      </c>
    </row>
    <row r="8" spans="1:12">
      <c r="K8" t="s">
        <v>14</v>
      </c>
      <c r="L8" s="6">
        <v>8.5</v>
      </c>
    </row>
    <row r="9" spans="1:12">
      <c r="A9" s="24" t="s">
        <v>32</v>
      </c>
      <c r="B9" s="24"/>
      <c r="C9" t="s">
        <v>147</v>
      </c>
      <c r="F9" t="s">
        <v>31</v>
      </c>
      <c r="J9" s="8" t="str">
        <f>IF($B$15&gt;0,"Vivo","Morto")</f>
        <v>Morto</v>
      </c>
      <c r="K9" t="s">
        <v>148</v>
      </c>
      <c r="L9" s="6">
        <v>0</v>
      </c>
    </row>
    <row r="10" spans="1:12">
      <c r="A10" s="6" t="s">
        <v>0</v>
      </c>
      <c r="B10" s="6" t="s">
        <v>2</v>
      </c>
      <c r="J10" s="8"/>
    </row>
    <row r="11" spans="1:12">
      <c r="A11" s="6">
        <v>9</v>
      </c>
      <c r="B11" s="6">
        <f>A11-5-2-7</f>
        <v>-5</v>
      </c>
      <c r="F11" s="24" t="s">
        <v>52</v>
      </c>
      <c r="G11" s="24"/>
    </row>
    <row r="12" spans="1:12">
      <c r="F12" s="17" t="s">
        <v>0</v>
      </c>
      <c r="G12" s="17" t="s">
        <v>2</v>
      </c>
      <c r="H12">
        <v>0</v>
      </c>
    </row>
    <row r="13" spans="1:12">
      <c r="A13" s="24" t="s">
        <v>32</v>
      </c>
      <c r="B13" s="24"/>
      <c r="C13" t="s">
        <v>148</v>
      </c>
      <c r="F13" s="17">
        <v>9</v>
      </c>
      <c r="G13" s="17">
        <f>F13-5-7</f>
        <v>-3</v>
      </c>
      <c r="H13" s="8" t="str">
        <f>IF(G13&gt;0,"Vivo","Morto")</f>
        <v>Morto</v>
      </c>
      <c r="J13" s="8"/>
    </row>
    <row r="14" spans="1:12">
      <c r="A14" s="11" t="s">
        <v>0</v>
      </c>
      <c r="B14" s="11" t="s">
        <v>2</v>
      </c>
    </row>
    <row r="15" spans="1:12">
      <c r="A15" s="11">
        <v>10</v>
      </c>
      <c r="B15" s="11">
        <f>A15-4-4-6</f>
        <v>-4</v>
      </c>
      <c r="F15" s="24" t="s">
        <v>52</v>
      </c>
      <c r="G15" s="24"/>
    </row>
    <row r="16" spans="1:12">
      <c r="F16" s="17" t="s">
        <v>0</v>
      </c>
      <c r="G16" s="17" t="s">
        <v>2</v>
      </c>
    </row>
    <row r="17" spans="1:16" ht="15" customHeight="1">
      <c r="A17" t="s">
        <v>86</v>
      </c>
      <c r="F17" s="17">
        <v>9</v>
      </c>
      <c r="G17" s="17">
        <v>0</v>
      </c>
      <c r="H17" s="8" t="str">
        <f>IF(G17&gt;0,"Vivo","Morto")</f>
        <v>Morto</v>
      </c>
      <c r="K17" s="28" t="s">
        <v>139</v>
      </c>
      <c r="L17" s="28"/>
      <c r="M17" s="28"/>
      <c r="N17" s="28"/>
      <c r="O17" s="28"/>
      <c r="P17" s="28"/>
    </row>
    <row r="18" spans="1:16">
      <c r="A18" t="s">
        <v>87</v>
      </c>
      <c r="H18">
        <v>3.5</v>
      </c>
      <c r="K18" s="28"/>
      <c r="L18" s="28"/>
      <c r="M18" s="28"/>
      <c r="N18" s="28"/>
      <c r="O18" s="28"/>
      <c r="P18" s="28"/>
    </row>
    <row r="19" spans="1:16">
      <c r="A19" t="s">
        <v>59</v>
      </c>
      <c r="G19" t="s">
        <v>90</v>
      </c>
      <c r="H19">
        <f>300+100+150</f>
        <v>550</v>
      </c>
      <c r="K19" s="28"/>
      <c r="L19" s="28"/>
      <c r="M19" s="28"/>
      <c r="N19" s="28"/>
      <c r="O19" s="28"/>
      <c r="P19" s="28"/>
    </row>
    <row r="20" spans="1:16">
      <c r="G20" t="s">
        <v>91</v>
      </c>
      <c r="H20">
        <f>H19/5</f>
        <v>110</v>
      </c>
      <c r="K20" s="28"/>
      <c r="L20" s="28"/>
      <c r="M20" s="28"/>
      <c r="N20" s="28"/>
      <c r="O20" s="28"/>
      <c r="P20" s="28"/>
    </row>
    <row r="21" spans="1:16">
      <c r="A21" t="s">
        <v>31</v>
      </c>
      <c r="K21" s="28"/>
      <c r="L21" s="28"/>
      <c r="M21" s="28"/>
      <c r="N21" s="28"/>
      <c r="O21" s="28"/>
      <c r="P21" s="28"/>
    </row>
    <row r="22" spans="1:16">
      <c r="K22" s="28"/>
      <c r="L22" s="28"/>
      <c r="M22" s="28"/>
      <c r="N22" s="28"/>
      <c r="O22" s="28"/>
      <c r="P22" s="28"/>
    </row>
    <row r="23" spans="1:16">
      <c r="K23" s="28"/>
      <c r="L23" s="28"/>
      <c r="M23" s="28"/>
      <c r="N23" s="28"/>
      <c r="O23" s="28"/>
      <c r="P23" s="28"/>
    </row>
    <row r="24" spans="1:16">
      <c r="K24" s="28"/>
      <c r="L24" s="28"/>
      <c r="M24" s="28"/>
      <c r="N24" s="28"/>
      <c r="O24" s="28"/>
      <c r="P24" s="28"/>
    </row>
    <row r="25" spans="1:16">
      <c r="A25" s="8" t="s">
        <v>30</v>
      </c>
      <c r="D25" t="s">
        <v>141</v>
      </c>
      <c r="K25" s="28"/>
      <c r="L25" s="28"/>
      <c r="M25" s="28"/>
      <c r="N25" s="28"/>
      <c r="O25" s="28"/>
      <c r="P25" s="28"/>
    </row>
    <row r="26" spans="1:16">
      <c r="A26" t="s">
        <v>123</v>
      </c>
      <c r="D26" t="s">
        <v>140</v>
      </c>
      <c r="K26" s="28"/>
      <c r="L26" s="28"/>
      <c r="M26" s="28"/>
      <c r="N26" s="28"/>
      <c r="O26" s="28"/>
      <c r="P26" s="28"/>
    </row>
  </sheetData>
  <sortState ref="J2:L13">
    <sortCondition descending="1" ref="L13"/>
  </sortState>
  <mergeCells count="9">
    <mergeCell ref="K17:P26"/>
    <mergeCell ref="F11:G11"/>
    <mergeCell ref="F15:G15"/>
    <mergeCell ref="K1:L1"/>
    <mergeCell ref="A13:B13"/>
    <mergeCell ref="A1:B1"/>
    <mergeCell ref="A5:B5"/>
    <mergeCell ref="A9:B9"/>
    <mergeCell ref="F1:G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Q30"/>
  <sheetViews>
    <sheetView workbookViewId="0">
      <selection activeCell="J11" sqref="J5:J11"/>
    </sheetView>
  </sheetViews>
  <sheetFormatPr defaultRowHeight="14.4"/>
  <cols>
    <col min="10" max="11" width="9.88671875" bestFit="1" customWidth="1"/>
    <col min="12" max="12" width="9.109375" style="9"/>
  </cols>
  <sheetData>
    <row r="1" spans="1:12">
      <c r="A1" s="24" t="s">
        <v>32</v>
      </c>
      <c r="B1" s="24"/>
      <c r="C1" t="s">
        <v>98</v>
      </c>
      <c r="D1" t="s">
        <v>34</v>
      </c>
      <c r="F1" s="24" t="s">
        <v>65</v>
      </c>
      <c r="G1" s="24"/>
      <c r="H1" t="s">
        <v>109</v>
      </c>
      <c r="I1" t="s">
        <v>69</v>
      </c>
      <c r="K1" s="24" t="s">
        <v>15</v>
      </c>
      <c r="L1" s="24"/>
    </row>
    <row r="2" spans="1:12">
      <c r="A2" s="9" t="s">
        <v>0</v>
      </c>
      <c r="B2" s="9" t="s">
        <v>2</v>
      </c>
      <c r="F2" s="9" t="s">
        <v>0</v>
      </c>
      <c r="G2" s="9" t="s">
        <v>2</v>
      </c>
      <c r="K2" t="s">
        <v>13</v>
      </c>
      <c r="L2" s="9">
        <v>20</v>
      </c>
    </row>
    <row r="3" spans="1:12">
      <c r="A3" s="9">
        <v>9</v>
      </c>
      <c r="B3" s="9">
        <f>A3-1-5-1-4</f>
        <v>-2</v>
      </c>
      <c r="F3" s="9">
        <f>3+8+8+8</f>
        <v>27</v>
      </c>
      <c r="G3" s="9">
        <f>F3-2-8-3-7-7</f>
        <v>0</v>
      </c>
      <c r="K3" t="s">
        <v>14</v>
      </c>
      <c r="L3" s="9">
        <v>16</v>
      </c>
    </row>
    <row r="4" spans="1:12">
      <c r="K4" t="s">
        <v>12</v>
      </c>
      <c r="L4" s="9">
        <v>15</v>
      </c>
    </row>
    <row r="5" spans="1:12">
      <c r="A5" s="24" t="s">
        <v>32</v>
      </c>
      <c r="B5" s="24"/>
      <c r="C5" t="s">
        <v>155</v>
      </c>
      <c r="F5" t="s">
        <v>67</v>
      </c>
      <c r="J5" s="8" t="str">
        <f>IF($B$15&gt;0,"Vivo","Morto")</f>
        <v>Morto</v>
      </c>
      <c r="K5" t="s">
        <v>156</v>
      </c>
      <c r="L5" s="9">
        <v>0</v>
      </c>
    </row>
    <row r="6" spans="1:12">
      <c r="A6" s="9" t="s">
        <v>0</v>
      </c>
      <c r="B6" s="9" t="s">
        <v>2</v>
      </c>
      <c r="F6" t="s">
        <v>68</v>
      </c>
      <c r="K6" t="s">
        <v>20</v>
      </c>
      <c r="L6" s="9">
        <v>10</v>
      </c>
    </row>
    <row r="7" spans="1:12">
      <c r="A7" s="9">
        <v>9</v>
      </c>
      <c r="B7" s="9">
        <f>A7</f>
        <v>9</v>
      </c>
      <c r="F7" t="s">
        <v>66</v>
      </c>
      <c r="J7" s="8" t="str">
        <f>IF($B$7&gt;0,"Vivo","Morto")</f>
        <v>Vivo</v>
      </c>
      <c r="K7" t="s">
        <v>155</v>
      </c>
      <c r="L7" s="9">
        <v>9</v>
      </c>
    </row>
    <row r="8" spans="1:12">
      <c r="K8" t="s">
        <v>11</v>
      </c>
      <c r="L8" s="9">
        <v>8.5</v>
      </c>
    </row>
    <row r="9" spans="1:12">
      <c r="A9" s="24" t="s">
        <v>32</v>
      </c>
      <c r="B9" s="24"/>
      <c r="C9" t="s">
        <v>128</v>
      </c>
      <c r="J9" s="8" t="str">
        <f>IF($B$3&gt;0,"Vivo","Morto")</f>
        <v>Morto</v>
      </c>
      <c r="K9" t="s">
        <v>98</v>
      </c>
      <c r="L9" s="9">
        <v>0</v>
      </c>
    </row>
    <row r="10" spans="1:12">
      <c r="A10" s="11" t="s">
        <v>0</v>
      </c>
      <c r="B10" s="11" t="s">
        <v>2</v>
      </c>
      <c r="F10" t="s">
        <v>56</v>
      </c>
      <c r="J10" s="8" t="str">
        <f>IF($G$3&gt;0,"Vivo","Morto")</f>
        <v>Morto</v>
      </c>
      <c r="K10" t="s">
        <v>109</v>
      </c>
      <c r="L10" s="9">
        <v>0</v>
      </c>
    </row>
    <row r="11" spans="1:12">
      <c r="A11" s="11">
        <v>10</v>
      </c>
      <c r="B11" s="11">
        <f>A11-5-5</f>
        <v>0</v>
      </c>
      <c r="C11" t="s">
        <v>157</v>
      </c>
      <c r="J11" s="8" t="str">
        <f>IF($B$11&gt;0,"Vivo","Morto")</f>
        <v>Morto</v>
      </c>
      <c r="K11" t="s">
        <v>128</v>
      </c>
      <c r="L11" s="9">
        <v>0</v>
      </c>
    </row>
    <row r="12" spans="1:12">
      <c r="F12" s="8" t="s">
        <v>30</v>
      </c>
    </row>
    <row r="13" spans="1:12">
      <c r="A13" s="24" t="s">
        <v>32</v>
      </c>
      <c r="B13" s="24"/>
      <c r="C13" t="s">
        <v>156</v>
      </c>
      <c r="F13" t="s">
        <v>70</v>
      </c>
    </row>
    <row r="14" spans="1:12">
      <c r="A14" s="11" t="s">
        <v>0</v>
      </c>
      <c r="B14" s="11" t="s">
        <v>2</v>
      </c>
      <c r="F14" t="s">
        <v>45</v>
      </c>
    </row>
    <row r="15" spans="1:12">
      <c r="A15" s="11">
        <v>10</v>
      </c>
      <c r="B15" s="11">
        <f>A15-5-7</f>
        <v>-2</v>
      </c>
    </row>
    <row r="17" spans="1:17">
      <c r="K17" s="28" t="s">
        <v>142</v>
      </c>
      <c r="L17" s="28"/>
      <c r="M17" s="28"/>
      <c r="N17" s="28"/>
      <c r="O17" s="28"/>
      <c r="P17" s="28"/>
      <c r="Q17" s="28"/>
    </row>
    <row r="18" spans="1:17">
      <c r="K18" s="28"/>
      <c r="L18" s="28"/>
      <c r="M18" s="28"/>
      <c r="N18" s="28"/>
      <c r="O18" s="28"/>
      <c r="P18" s="28"/>
      <c r="Q18" s="28"/>
    </row>
    <row r="19" spans="1:17">
      <c r="A19" t="s">
        <v>35</v>
      </c>
      <c r="K19" s="28"/>
      <c r="L19" s="28"/>
      <c r="M19" s="28"/>
      <c r="N19" s="28"/>
      <c r="O19" s="28"/>
      <c r="P19" s="28"/>
      <c r="Q19" s="28"/>
    </row>
    <row r="20" spans="1:17">
      <c r="A20" t="s">
        <v>36</v>
      </c>
      <c r="K20" s="28"/>
      <c r="L20" s="28"/>
      <c r="M20" s="28"/>
      <c r="N20" s="28"/>
      <c r="O20" s="28"/>
      <c r="P20" s="28"/>
      <c r="Q20" s="28"/>
    </row>
    <row r="21" spans="1:17">
      <c r="A21" t="s">
        <v>59</v>
      </c>
      <c r="K21" s="28"/>
      <c r="L21" s="28"/>
      <c r="M21" s="28"/>
      <c r="N21" s="28"/>
      <c r="O21" s="28"/>
      <c r="P21" s="28"/>
      <c r="Q21" s="28"/>
    </row>
    <row r="22" spans="1:17">
      <c r="H22">
        <v>3.5</v>
      </c>
      <c r="K22" s="28"/>
      <c r="L22" s="28"/>
      <c r="M22" s="28"/>
      <c r="N22" s="28"/>
      <c r="O22" s="28"/>
      <c r="P22" s="28"/>
      <c r="Q22" s="28"/>
    </row>
    <row r="23" spans="1:17">
      <c r="A23" t="s">
        <v>31</v>
      </c>
      <c r="G23" t="s">
        <v>90</v>
      </c>
      <c r="H23">
        <f>300+100+600</f>
        <v>1000</v>
      </c>
      <c r="K23" s="28"/>
      <c r="L23" s="28"/>
      <c r="M23" s="28"/>
      <c r="N23" s="28"/>
      <c r="O23" s="28"/>
      <c r="P23" s="28"/>
      <c r="Q23" s="28"/>
    </row>
    <row r="24" spans="1:17">
      <c r="G24" t="s">
        <v>91</v>
      </c>
      <c r="H24">
        <f>H23/5</f>
        <v>200</v>
      </c>
      <c r="K24" s="28"/>
      <c r="L24" s="28"/>
      <c r="M24" s="28"/>
      <c r="N24" s="28"/>
      <c r="O24" s="28"/>
      <c r="P24" s="28"/>
      <c r="Q24" s="28"/>
    </row>
    <row r="25" spans="1:17">
      <c r="K25" s="28"/>
      <c r="L25" s="28"/>
      <c r="M25" s="28"/>
      <c r="N25" s="28"/>
      <c r="O25" s="28"/>
      <c r="P25" s="28"/>
      <c r="Q25" s="28"/>
    </row>
    <row r="26" spans="1:17">
      <c r="K26" s="28"/>
      <c r="L26" s="28"/>
      <c r="M26" s="28"/>
      <c r="N26" s="28"/>
      <c r="O26" s="28"/>
      <c r="P26" s="28"/>
      <c r="Q26" s="28"/>
    </row>
    <row r="27" spans="1:17">
      <c r="A27" s="8" t="s">
        <v>30</v>
      </c>
    </row>
    <row r="28" spans="1:17">
      <c r="A28" t="s">
        <v>123</v>
      </c>
    </row>
    <row r="29" spans="1:17">
      <c r="A29" t="s">
        <v>119</v>
      </c>
    </row>
    <row r="30" spans="1:17">
      <c r="A30" t="s">
        <v>120</v>
      </c>
    </row>
  </sheetData>
  <sortState ref="J2:L11">
    <sortCondition descending="1" ref="L11"/>
  </sortState>
  <mergeCells count="7">
    <mergeCell ref="K17:Q26"/>
    <mergeCell ref="A13:B13"/>
    <mergeCell ref="A1:B1"/>
    <mergeCell ref="A5:B5"/>
    <mergeCell ref="F1:G1"/>
    <mergeCell ref="K1:L1"/>
    <mergeCell ref="A9: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51"/>
  <sheetViews>
    <sheetView tabSelected="1" workbookViewId="0">
      <selection activeCell="E29" sqref="E29:F30"/>
    </sheetView>
  </sheetViews>
  <sheetFormatPr defaultRowHeight="14.4"/>
  <cols>
    <col min="12" max="12" width="9.6640625" bestFit="1" customWidth="1"/>
  </cols>
  <sheetData>
    <row r="1" spans="1:14">
      <c r="A1" s="24" t="s">
        <v>74</v>
      </c>
      <c r="B1" s="24"/>
      <c r="C1" s="2"/>
      <c r="D1" t="s">
        <v>75</v>
      </c>
      <c r="F1" s="24" t="str">
        <f>A1</f>
        <v>Zombi popolano</v>
      </c>
      <c r="G1" s="24"/>
      <c r="H1" s="2"/>
      <c r="I1" s="2"/>
      <c r="L1" s="24" t="s">
        <v>15</v>
      </c>
      <c r="M1" s="24"/>
    </row>
    <row r="2" spans="1:14">
      <c r="A2" s="19" t="s">
        <v>0</v>
      </c>
      <c r="B2" s="19" t="s">
        <v>2</v>
      </c>
      <c r="F2" s="19" t="s">
        <v>0</v>
      </c>
      <c r="G2" s="19" t="s">
        <v>2</v>
      </c>
      <c r="L2" t="s">
        <v>12</v>
      </c>
      <c r="M2" s="19"/>
    </row>
    <row r="3" spans="1:14">
      <c r="A3" s="19">
        <f>3+8+12+9</f>
        <v>32</v>
      </c>
      <c r="B3" s="19">
        <f>A3</f>
        <v>32</v>
      </c>
      <c r="F3" s="19">
        <f>3+8+12+8</f>
        <v>31</v>
      </c>
      <c r="G3" s="19">
        <f>F3</f>
        <v>31</v>
      </c>
      <c r="L3" t="s">
        <v>11</v>
      </c>
      <c r="M3" s="19"/>
    </row>
    <row r="4" spans="1:14">
      <c r="A4" t="str">
        <f>IF(B3&lt;0,"Esplosione (1d6 danni negativi, guarisce non morti; Rif CD 15 dimezza)","")</f>
        <v/>
      </c>
      <c r="F4" t="str">
        <f>IF(G3&lt;0,"Esplosione (1d6 danni negativi, guarisce non morti, TS Rif CD 15 dimezza)","")</f>
        <v/>
      </c>
      <c r="L4" t="s">
        <v>13</v>
      </c>
      <c r="M4" s="19"/>
    </row>
    <row r="5" spans="1:14">
      <c r="A5" s="24" t="str">
        <f>A1</f>
        <v>Zombi popolano</v>
      </c>
      <c r="B5" s="24"/>
      <c r="F5" s="24" t="str">
        <f>A1</f>
        <v>Zombi popolano</v>
      </c>
      <c r="G5" s="24"/>
      <c r="L5" s="2" t="s">
        <v>14</v>
      </c>
      <c r="M5" s="19"/>
    </row>
    <row r="6" spans="1:14">
      <c r="A6" s="19" t="s">
        <v>0</v>
      </c>
      <c r="B6" s="19" t="s">
        <v>2</v>
      </c>
      <c r="F6" s="19" t="s">
        <v>0</v>
      </c>
      <c r="G6" s="19" t="s">
        <v>2</v>
      </c>
      <c r="L6" s="2" t="s">
        <v>20</v>
      </c>
      <c r="M6" s="19"/>
    </row>
    <row r="7" spans="1:14">
      <c r="A7" s="19">
        <f>3+8+12+11</f>
        <v>34</v>
      </c>
      <c r="B7" s="19">
        <f>A7</f>
        <v>34</v>
      </c>
      <c r="F7" s="19">
        <f>3+8+2+12</f>
        <v>25</v>
      </c>
      <c r="G7" s="19">
        <f>F7</f>
        <v>25</v>
      </c>
      <c r="K7" s="8" t="str">
        <f>IF($G$3&gt;0,"Vivo","Morto")</f>
        <v>Vivo</v>
      </c>
      <c r="L7" s="2">
        <f>$H$1</f>
        <v>0</v>
      </c>
      <c r="M7" s="19">
        <v>12</v>
      </c>
      <c r="N7" s="19"/>
    </row>
    <row r="8" spans="1:14">
      <c r="A8" t="str">
        <f>IF(B7&lt;0,"Esplosione (1d6 danni negativi, guarisce non morti, TS Rif CD 15 dimezza)","")</f>
        <v/>
      </c>
      <c r="F8" t="str">
        <f>IF(G7&lt;0,"Esplosione (1d6 danni negativi, guarisce non morti, TS Rif CD 15 dimezza)","")</f>
        <v/>
      </c>
      <c r="K8" s="8" t="str">
        <f>IF($B$3&gt;0,"Vivo","Morto")</f>
        <v>Vivo</v>
      </c>
      <c r="L8" s="2">
        <f>$C$1</f>
        <v>0</v>
      </c>
      <c r="M8" s="19">
        <v>9</v>
      </c>
    </row>
    <row r="9" spans="1:14">
      <c r="A9" s="24" t="s">
        <v>74</v>
      </c>
      <c r="B9" s="24"/>
      <c r="C9" s="2"/>
      <c r="D9" s="2"/>
      <c r="E9" s="2"/>
      <c r="F9" s="2"/>
      <c r="G9" s="2"/>
      <c r="I9" s="2"/>
      <c r="K9" s="8" t="str">
        <f>IF($B$7&gt;0,"Vivo","Morto")</f>
        <v>Vivo</v>
      </c>
      <c r="L9" s="2">
        <f>$C$5</f>
        <v>0</v>
      </c>
      <c r="M9" s="19">
        <v>6</v>
      </c>
    </row>
    <row r="10" spans="1:14">
      <c r="A10" s="19" t="s">
        <v>0</v>
      </c>
      <c r="B10" s="19" t="s">
        <v>2</v>
      </c>
      <c r="F10" s="19"/>
      <c r="G10" s="19"/>
      <c r="I10" s="2"/>
      <c r="K10" s="8" t="str">
        <f>IF($G$7&gt;0,"Vivo","Morto")</f>
        <v>Vivo</v>
      </c>
      <c r="L10" s="2">
        <f>$H$5</f>
        <v>0</v>
      </c>
      <c r="M10" s="19">
        <v>5</v>
      </c>
    </row>
    <row r="11" spans="1:14">
      <c r="A11" s="19">
        <f>3+8+12+8</f>
        <v>31</v>
      </c>
      <c r="B11" s="19">
        <f>A11</f>
        <v>31</v>
      </c>
      <c r="F11" s="19"/>
      <c r="G11" s="19"/>
      <c r="I11" s="2"/>
      <c r="K11" s="8" t="str">
        <f>IF($B$11&gt;0,"Vivo","Morto")</f>
        <v>Vivo</v>
      </c>
      <c r="L11" s="2">
        <f>$C$9</f>
        <v>0</v>
      </c>
      <c r="M11" s="19">
        <v>4</v>
      </c>
    </row>
    <row r="12" spans="1:14">
      <c r="A12" t="str">
        <f>IF(B11&lt;0,"Esplosione (1d6 danni negativi, guarisce non morti, TS Rif CD 15 dimezza)","")</f>
        <v/>
      </c>
      <c r="H12" s="2"/>
      <c r="I12" s="2"/>
      <c r="L12" s="2"/>
      <c r="M12" s="19"/>
    </row>
    <row r="13" spans="1:14">
      <c r="H13" s="2"/>
      <c r="I13" s="2"/>
      <c r="M13" s="19"/>
    </row>
    <row r="14" spans="1:14">
      <c r="H14" s="2"/>
      <c r="I14" s="2"/>
      <c r="M14" s="19"/>
    </row>
    <row r="15" spans="1:14">
      <c r="G15" s="2"/>
      <c r="H15" s="2"/>
      <c r="I15" s="2"/>
      <c r="M15" s="19"/>
    </row>
    <row r="16" spans="1:14">
      <c r="G16" s="2"/>
      <c r="H16" s="2"/>
      <c r="I16" s="2"/>
      <c r="M16" s="19"/>
    </row>
    <row r="17" spans="1:13">
      <c r="A17" s="13"/>
      <c r="B17" s="13"/>
      <c r="C17" s="13"/>
      <c r="D17" s="13"/>
      <c r="E17" s="13"/>
      <c r="F17" s="13"/>
      <c r="G17" s="20"/>
      <c r="H17" s="20"/>
      <c r="I17" s="20"/>
      <c r="J17" s="13"/>
      <c r="M17" s="19"/>
    </row>
    <row r="18" spans="1:13">
      <c r="A18" s="13"/>
      <c r="B18" s="13"/>
      <c r="C18" s="13"/>
      <c r="D18" s="13"/>
      <c r="E18" s="13"/>
      <c r="F18" s="13"/>
      <c r="G18" s="20"/>
      <c r="H18" s="20"/>
      <c r="I18" s="20"/>
      <c r="J18" s="13"/>
      <c r="M18" s="19"/>
    </row>
    <row r="19" spans="1:13">
      <c r="A19" s="13"/>
      <c r="B19" s="13"/>
      <c r="C19" s="13"/>
      <c r="D19" s="13"/>
      <c r="E19" s="13"/>
      <c r="F19" s="13"/>
      <c r="G19" s="20"/>
      <c r="H19" s="20"/>
      <c r="I19" s="20"/>
      <c r="J19" s="13"/>
      <c r="M19" s="19"/>
    </row>
    <row r="20" spans="1:13">
      <c r="A20" s="21" t="s">
        <v>160</v>
      </c>
      <c r="B20" s="13"/>
      <c r="C20" s="13"/>
      <c r="D20" s="20"/>
      <c r="E20" s="22" t="s">
        <v>77</v>
      </c>
      <c r="F20" s="20"/>
      <c r="G20" s="20"/>
      <c r="H20" s="20"/>
      <c r="I20" s="20"/>
      <c r="J20" s="13"/>
      <c r="M20" s="19"/>
    </row>
    <row r="21" spans="1:13">
      <c r="A21" t="s">
        <v>164</v>
      </c>
      <c r="B21" s="13"/>
      <c r="C21" s="13"/>
      <c r="D21" s="20"/>
      <c r="E21" s="20" t="s">
        <v>166</v>
      </c>
      <c r="F21" s="20"/>
      <c r="G21" s="20"/>
      <c r="H21" s="13"/>
      <c r="I21" s="13"/>
      <c r="J21" s="13"/>
      <c r="M21" s="19"/>
    </row>
    <row r="22" spans="1:13">
      <c r="A22" s="13" t="s">
        <v>159</v>
      </c>
      <c r="B22" s="13"/>
      <c r="C22" s="13"/>
      <c r="D22" s="20"/>
      <c r="E22" s="20" t="s">
        <v>79</v>
      </c>
      <c r="F22" s="20"/>
      <c r="G22" s="23"/>
      <c r="H22" s="13"/>
      <c r="I22" s="13"/>
      <c r="J22" s="13"/>
      <c r="M22" s="19"/>
    </row>
    <row r="23" spans="1:13">
      <c r="A23" s="13" t="s">
        <v>165</v>
      </c>
      <c r="B23" s="13"/>
      <c r="C23" s="13"/>
      <c r="D23" s="20"/>
      <c r="E23" s="20" t="s">
        <v>80</v>
      </c>
      <c r="F23" s="20"/>
      <c r="G23" s="23"/>
      <c r="H23" s="13"/>
      <c r="I23" s="13"/>
      <c r="J23" s="13"/>
      <c r="M23" s="19"/>
    </row>
    <row r="24" spans="1:13">
      <c r="A24" s="13" t="s">
        <v>158</v>
      </c>
      <c r="B24" s="13"/>
      <c r="C24" s="13"/>
      <c r="D24" s="20"/>
      <c r="E24" s="20" t="s">
        <v>83</v>
      </c>
      <c r="F24" s="20"/>
      <c r="G24" s="13"/>
      <c r="H24" s="13"/>
      <c r="I24" s="13"/>
      <c r="J24" s="13"/>
      <c r="M24" s="19"/>
    </row>
    <row r="25" spans="1:13">
      <c r="A25" s="13" t="s">
        <v>162</v>
      </c>
      <c r="B25" s="13"/>
      <c r="C25" s="13"/>
      <c r="D25" s="13"/>
      <c r="E25" s="20" t="s">
        <v>161</v>
      </c>
      <c r="F25" s="13"/>
      <c r="G25" s="13"/>
      <c r="H25" s="13"/>
      <c r="I25" s="13"/>
      <c r="J25" s="13"/>
    </row>
    <row r="26" spans="1:13">
      <c r="A26" s="13" t="s">
        <v>163</v>
      </c>
      <c r="B26" s="13"/>
      <c r="C26" s="13"/>
      <c r="D26" s="13"/>
      <c r="E26" s="13"/>
      <c r="F26" s="13"/>
      <c r="G26" s="13"/>
      <c r="H26" s="13"/>
      <c r="I26" s="13"/>
      <c r="J26" s="13"/>
    </row>
    <row r="27" spans="1:13">
      <c r="A27" s="13"/>
      <c r="B27" s="13"/>
      <c r="C27" s="13"/>
      <c r="D27" s="13"/>
      <c r="E27" s="13"/>
      <c r="F27" s="13"/>
      <c r="G27" s="13"/>
      <c r="H27" s="13"/>
      <c r="I27" s="13"/>
      <c r="J27" s="13"/>
    </row>
    <row r="28" spans="1:13">
      <c r="A28" s="13"/>
      <c r="B28" s="13"/>
      <c r="C28" s="13"/>
      <c r="D28" s="13"/>
      <c r="E28" s="13"/>
      <c r="F28" s="13"/>
      <c r="G28" s="13"/>
      <c r="H28" s="13"/>
      <c r="I28" s="13"/>
      <c r="J28" s="13"/>
    </row>
    <row r="29" spans="1:13">
      <c r="A29" s="13"/>
      <c r="B29" s="13"/>
      <c r="C29" s="13"/>
      <c r="D29" s="13"/>
      <c r="E29" t="s">
        <v>90</v>
      </c>
      <c r="F29">
        <f>330*5</f>
        <v>1650</v>
      </c>
      <c r="G29" s="13"/>
      <c r="H29" s="13"/>
      <c r="I29" s="13"/>
      <c r="J29" s="13"/>
    </row>
    <row r="30" spans="1:13">
      <c r="A30" s="13"/>
      <c r="B30" s="13"/>
      <c r="C30" s="13"/>
      <c r="D30" s="13"/>
      <c r="E30" t="s">
        <v>91</v>
      </c>
      <c r="F30">
        <f>F29/5</f>
        <v>330</v>
      </c>
      <c r="G30" s="13"/>
      <c r="H30" s="13"/>
      <c r="I30" s="13"/>
      <c r="J30" s="13"/>
    </row>
    <row r="31" spans="1:13">
      <c r="A31" s="13"/>
      <c r="B31" s="13"/>
      <c r="C31" s="13"/>
      <c r="D31" s="13"/>
      <c r="E31" s="13"/>
      <c r="F31" s="13"/>
      <c r="G31" s="13"/>
      <c r="H31" s="13"/>
      <c r="I31" s="13"/>
      <c r="J31" s="13"/>
    </row>
    <row r="32" spans="1:13">
      <c r="A32" s="13"/>
      <c r="B32" s="13"/>
      <c r="C32" s="13"/>
      <c r="D32" s="13"/>
      <c r="E32" s="13"/>
      <c r="F32" s="13"/>
      <c r="G32" s="13"/>
      <c r="H32" s="13"/>
      <c r="I32" s="13"/>
      <c r="J32" s="13"/>
    </row>
    <row r="33" spans="1:10">
      <c r="A33" s="13"/>
      <c r="B33" s="13"/>
      <c r="C33" s="13"/>
      <c r="D33" s="13"/>
      <c r="E33" s="13"/>
      <c r="F33" s="13"/>
      <c r="G33" s="13"/>
      <c r="H33" s="13"/>
      <c r="I33" s="13"/>
      <c r="J33" s="13"/>
    </row>
    <row r="34" spans="1:10">
      <c r="A34" s="13"/>
      <c r="B34" s="13"/>
      <c r="C34" s="13"/>
      <c r="D34" s="13"/>
      <c r="E34" s="13"/>
      <c r="F34" s="13"/>
      <c r="G34" s="13"/>
      <c r="H34" s="13"/>
      <c r="I34" s="13"/>
      <c r="J34" s="13"/>
    </row>
    <row r="35" spans="1:10">
      <c r="A35" s="13"/>
      <c r="B35" s="13"/>
      <c r="C35" s="13"/>
      <c r="D35" s="13"/>
      <c r="E35" s="13"/>
      <c r="F35" s="13"/>
      <c r="G35" s="13"/>
      <c r="H35" s="13"/>
      <c r="I35" s="13"/>
      <c r="J35" s="13"/>
    </row>
    <row r="36" spans="1:10">
      <c r="A36" s="13"/>
      <c r="B36" s="13"/>
      <c r="C36" s="13"/>
      <c r="D36" s="13"/>
      <c r="E36" s="13"/>
      <c r="F36" s="13"/>
      <c r="G36" s="13"/>
      <c r="H36" s="13"/>
      <c r="I36" s="13"/>
      <c r="J36" s="13"/>
    </row>
    <row r="37" spans="1:10">
      <c r="A37" s="13"/>
      <c r="B37" s="13"/>
      <c r="C37" s="13"/>
      <c r="D37" s="13"/>
      <c r="E37" s="13"/>
      <c r="F37" s="13"/>
      <c r="G37" s="13"/>
      <c r="H37" s="13"/>
      <c r="I37" s="13"/>
      <c r="J37" s="13"/>
    </row>
    <row r="38" spans="1:10">
      <c r="A38" s="13"/>
      <c r="B38" s="13"/>
      <c r="C38" s="13"/>
      <c r="D38" s="13"/>
      <c r="E38" s="13"/>
      <c r="F38" s="13"/>
      <c r="G38" s="13"/>
      <c r="H38" s="13"/>
      <c r="I38" s="13"/>
      <c r="J38" s="13"/>
    </row>
    <row r="39" spans="1:10">
      <c r="A39" s="13"/>
      <c r="B39" s="13"/>
      <c r="C39" s="13"/>
      <c r="D39" s="13"/>
      <c r="E39" s="13"/>
      <c r="F39" s="13"/>
      <c r="G39" s="13"/>
      <c r="H39" s="13"/>
      <c r="I39" s="13"/>
      <c r="J39" s="13"/>
    </row>
    <row r="40" spans="1:10">
      <c r="A40" s="13"/>
      <c r="B40" s="13"/>
      <c r="C40" s="13"/>
      <c r="D40" s="13"/>
      <c r="E40" s="13"/>
      <c r="F40" s="13"/>
      <c r="G40" s="13"/>
      <c r="H40" s="13"/>
      <c r="I40" s="13"/>
      <c r="J40" s="13"/>
    </row>
    <row r="41" spans="1:10">
      <c r="A41" s="13"/>
      <c r="B41" s="13"/>
      <c r="C41" s="13"/>
      <c r="D41" s="13"/>
      <c r="E41" s="13"/>
      <c r="F41" s="13"/>
      <c r="G41" s="13"/>
      <c r="H41" s="13"/>
      <c r="I41" s="13"/>
      <c r="J41" s="13"/>
    </row>
    <row r="42" spans="1:10">
      <c r="A42" s="13"/>
      <c r="B42" s="13"/>
      <c r="C42" s="13"/>
      <c r="D42" s="13"/>
      <c r="E42" s="13"/>
      <c r="F42" s="13"/>
      <c r="G42" s="13"/>
      <c r="H42" s="13"/>
      <c r="I42" s="13"/>
      <c r="J42" s="13"/>
    </row>
    <row r="43" spans="1:10">
      <c r="A43" s="13"/>
      <c r="B43" s="13"/>
      <c r="C43" s="13"/>
      <c r="D43" s="13"/>
      <c r="E43" s="13"/>
      <c r="F43" s="13"/>
      <c r="G43" s="13"/>
      <c r="H43" s="13"/>
      <c r="I43" s="13"/>
      <c r="J43" s="13"/>
    </row>
    <row r="44" spans="1:10">
      <c r="A44" s="13"/>
      <c r="B44" s="13"/>
      <c r="C44" s="13"/>
      <c r="D44" s="13"/>
      <c r="E44" s="13"/>
      <c r="F44" s="13"/>
      <c r="G44" s="13"/>
      <c r="H44" s="13"/>
      <c r="I44" s="13"/>
      <c r="J44" s="13"/>
    </row>
    <row r="45" spans="1:10">
      <c r="A45" s="13"/>
      <c r="B45" s="13"/>
      <c r="C45" s="13"/>
      <c r="D45" s="13"/>
      <c r="E45" s="13"/>
      <c r="F45" s="13"/>
      <c r="G45" s="13"/>
      <c r="H45" s="13"/>
      <c r="I45" s="13"/>
      <c r="J45" s="13"/>
    </row>
    <row r="46" spans="1:10">
      <c r="A46" s="13"/>
      <c r="B46" s="13"/>
      <c r="C46" s="13"/>
      <c r="D46" s="13"/>
      <c r="E46" s="13"/>
      <c r="F46" s="13"/>
      <c r="G46" s="13"/>
      <c r="H46" s="13"/>
      <c r="I46" s="13"/>
      <c r="J46" s="13"/>
    </row>
    <row r="47" spans="1:10">
      <c r="A47" s="13"/>
      <c r="B47" s="13"/>
      <c r="C47" s="13"/>
      <c r="D47" s="13"/>
      <c r="E47" s="13"/>
      <c r="F47" s="13"/>
      <c r="G47" s="13"/>
      <c r="H47" s="13"/>
      <c r="I47" s="13"/>
      <c r="J47" s="13"/>
    </row>
    <row r="48" spans="1:10">
      <c r="A48" s="13"/>
      <c r="B48" s="13"/>
      <c r="C48" s="13"/>
      <c r="D48" s="13"/>
      <c r="E48" s="13"/>
      <c r="F48" s="13"/>
      <c r="G48" s="13"/>
      <c r="H48" s="13"/>
      <c r="I48" s="13"/>
      <c r="J48" s="13"/>
    </row>
    <row r="49" spans="1:10">
      <c r="A49" s="13"/>
      <c r="B49" s="13"/>
      <c r="C49" s="13"/>
      <c r="D49" s="13"/>
      <c r="E49" s="13"/>
      <c r="F49" s="13"/>
      <c r="G49" s="13"/>
      <c r="H49" s="13"/>
      <c r="I49" s="13"/>
      <c r="J49" s="13"/>
    </row>
    <row r="50" spans="1:10">
      <c r="A50" s="13"/>
      <c r="B50" s="13"/>
      <c r="C50" s="13"/>
      <c r="D50" s="13"/>
      <c r="E50" s="13"/>
      <c r="F50" s="13"/>
      <c r="G50" s="13"/>
      <c r="H50" s="13"/>
      <c r="I50" s="13"/>
      <c r="J50" s="13"/>
    </row>
    <row r="51" spans="1:10">
      <c r="A51" s="13"/>
      <c r="B51" s="13"/>
      <c r="C51" s="13"/>
      <c r="D51" s="13"/>
      <c r="E51" s="13"/>
      <c r="F51" s="13"/>
      <c r="G51" s="13"/>
      <c r="H51" s="13"/>
      <c r="I51" s="13"/>
      <c r="J51" s="13"/>
    </row>
  </sheetData>
  <sortState ref="K7:M11">
    <sortCondition descending="1" ref="M11"/>
  </sortState>
  <mergeCells count="6">
    <mergeCell ref="A9:B9"/>
    <mergeCell ref="A1:B1"/>
    <mergeCell ref="F1:G1"/>
    <mergeCell ref="L1:M1"/>
    <mergeCell ref="A5:B5"/>
    <mergeCell ref="F5:G5"/>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5"/>
  <sheetViews>
    <sheetView workbookViewId="0">
      <selection activeCell="F7" sqref="F7"/>
    </sheetView>
  </sheetViews>
  <sheetFormatPr defaultRowHeight="14.4"/>
  <sheetData>
    <row r="1" spans="1:10">
      <c r="A1" s="24" t="s">
        <v>150</v>
      </c>
      <c r="B1" s="24"/>
      <c r="C1" t="s">
        <v>149</v>
      </c>
      <c r="D1" t="s">
        <v>151</v>
      </c>
      <c r="I1" s="24" t="s">
        <v>15</v>
      </c>
      <c r="J1" s="24"/>
    </row>
    <row r="2" spans="1:10">
      <c r="A2" s="18" t="s">
        <v>0</v>
      </c>
      <c r="B2" s="18" t="s">
        <v>2</v>
      </c>
      <c r="I2" t="s">
        <v>13</v>
      </c>
      <c r="J2" s="18"/>
    </row>
    <row r="3" spans="1:10">
      <c r="A3" s="18">
        <f>8+5</f>
        <v>13</v>
      </c>
      <c r="B3" s="18">
        <f>A3</f>
        <v>13</v>
      </c>
      <c r="E3" t="s">
        <v>152</v>
      </c>
      <c r="I3" t="s">
        <v>12</v>
      </c>
      <c r="J3" s="18"/>
    </row>
    <row r="4" spans="1:10">
      <c r="E4" t="s">
        <v>153</v>
      </c>
      <c r="I4" t="s">
        <v>11</v>
      </c>
      <c r="J4" s="18"/>
    </row>
    <row r="5" spans="1:10">
      <c r="A5" s="24" t="s">
        <v>150</v>
      </c>
      <c r="B5" s="24"/>
      <c r="E5" t="s">
        <v>154</v>
      </c>
      <c r="I5" t="s">
        <v>20</v>
      </c>
      <c r="J5" s="18"/>
    </row>
    <row r="6" spans="1:10">
      <c r="A6" s="18" t="s">
        <v>0</v>
      </c>
      <c r="B6" s="18" t="s">
        <v>2</v>
      </c>
      <c r="I6" t="s">
        <v>14</v>
      </c>
      <c r="J6" s="18"/>
    </row>
    <row r="7" spans="1:10">
      <c r="A7" s="18">
        <f>8+8</f>
        <v>16</v>
      </c>
      <c r="B7" s="18">
        <f>A7</f>
        <v>16</v>
      </c>
      <c r="H7" s="8" t="str">
        <f>IF($B$3&gt;0,"Vivo","Morto")</f>
        <v>Vivo</v>
      </c>
      <c r="I7" t="str">
        <f>$C$1</f>
        <v>cane</v>
      </c>
      <c r="J7" s="18">
        <v>16</v>
      </c>
    </row>
    <row r="8" spans="1:10">
      <c r="H8" s="8" t="str">
        <f>IF($B$7&gt;0,"Vivo","Morto")</f>
        <v>Vivo</v>
      </c>
      <c r="I8">
        <f>$C$5</f>
        <v>0</v>
      </c>
      <c r="J8" s="18">
        <v>17</v>
      </c>
    </row>
    <row r="9" spans="1:10">
      <c r="A9" s="24" t="s">
        <v>150</v>
      </c>
      <c r="B9" s="24"/>
      <c r="H9" s="8" t="str">
        <f>IF($B$11&gt;0,"Vivo","Morto")</f>
        <v>Vivo</v>
      </c>
      <c r="I9">
        <f>$C$9</f>
        <v>0</v>
      </c>
      <c r="J9" s="18">
        <v>8</v>
      </c>
    </row>
    <row r="10" spans="1:10">
      <c r="A10" s="18" t="s">
        <v>0</v>
      </c>
      <c r="B10" s="18" t="s">
        <v>2</v>
      </c>
      <c r="H10" s="8" t="str">
        <f>IF($B$15&gt;0,"Vivo","Morto")</f>
        <v>Vivo</v>
      </c>
      <c r="I10">
        <f>$C$13</f>
        <v>0</v>
      </c>
      <c r="J10" s="18">
        <v>15</v>
      </c>
    </row>
    <row r="11" spans="1:10">
      <c r="A11" s="18">
        <f>6+8</f>
        <v>14</v>
      </c>
      <c r="B11" s="18">
        <f>A11</f>
        <v>14</v>
      </c>
      <c r="H11" s="8"/>
      <c r="J11" s="18"/>
    </row>
    <row r="13" spans="1:10">
      <c r="A13" s="24" t="s">
        <v>150</v>
      </c>
      <c r="B13" s="24"/>
    </row>
    <row r="14" spans="1:10">
      <c r="A14" s="18" t="s">
        <v>0</v>
      </c>
      <c r="B14" s="18" t="s">
        <v>2</v>
      </c>
    </row>
    <row r="15" spans="1:10">
      <c r="A15" s="18">
        <f>1+8</f>
        <v>9</v>
      </c>
      <c r="B15" s="18">
        <f>A15</f>
        <v>9</v>
      </c>
    </row>
  </sheetData>
  <mergeCells count="5">
    <mergeCell ref="A1:B1"/>
    <mergeCell ref="A5:B5"/>
    <mergeCell ref="A9:B9"/>
    <mergeCell ref="A13:B13"/>
    <mergeCell ref="I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39"/>
  <sheetViews>
    <sheetView workbookViewId="0">
      <selection sqref="A1:N24"/>
    </sheetView>
  </sheetViews>
  <sheetFormatPr defaultRowHeight="14.4"/>
  <cols>
    <col min="2" max="2" width="11" customWidth="1"/>
    <col min="12" max="12" width="12.33203125" customWidth="1"/>
    <col min="13" max="13" width="5" style="10" customWidth="1"/>
  </cols>
  <sheetData>
    <row r="1" spans="1:14">
      <c r="A1" s="24" t="s">
        <v>74</v>
      </c>
      <c r="B1" s="24"/>
      <c r="C1" s="2" t="s">
        <v>97</v>
      </c>
      <c r="D1" t="s">
        <v>75</v>
      </c>
      <c r="F1" s="24" t="str">
        <f>A1</f>
        <v>Zombi popolano</v>
      </c>
      <c r="G1" s="24"/>
      <c r="H1" s="2" t="s">
        <v>99</v>
      </c>
      <c r="I1" s="2"/>
      <c r="L1" s="24" t="s">
        <v>15</v>
      </c>
      <c r="M1" s="24"/>
    </row>
    <row r="2" spans="1:14">
      <c r="A2" s="4" t="s">
        <v>0</v>
      </c>
      <c r="B2" s="4" t="s">
        <v>2</v>
      </c>
      <c r="F2" s="4" t="s">
        <v>0</v>
      </c>
      <c r="G2" s="4" t="s">
        <v>2</v>
      </c>
      <c r="L2" t="s">
        <v>12</v>
      </c>
      <c r="M2" s="10">
        <v>21</v>
      </c>
    </row>
    <row r="3" spans="1:14">
      <c r="A3" s="4">
        <f>3+12+6</f>
        <v>21</v>
      </c>
      <c r="B3" s="4">
        <f>A3-7-4-3-7</f>
        <v>0</v>
      </c>
      <c r="F3" s="4">
        <f>3+12+11</f>
        <v>26</v>
      </c>
      <c r="G3" s="4">
        <f>F3-1-1-1-2-4-1-7-1-1-3-1-5</f>
        <v>-2</v>
      </c>
      <c r="L3" t="s">
        <v>11</v>
      </c>
      <c r="M3" s="10">
        <v>20</v>
      </c>
    </row>
    <row r="4" spans="1:14">
      <c r="L4" t="s">
        <v>13</v>
      </c>
      <c r="M4" s="10">
        <v>15</v>
      </c>
    </row>
    <row r="5" spans="1:14">
      <c r="A5" s="24" t="str">
        <f>A1</f>
        <v>Zombi popolano</v>
      </c>
      <c r="B5" s="24"/>
      <c r="C5" t="s">
        <v>103</v>
      </c>
      <c r="F5" s="24" t="str">
        <f>A1</f>
        <v>Zombi popolano</v>
      </c>
      <c r="G5" s="24"/>
      <c r="H5" t="s">
        <v>100</v>
      </c>
      <c r="L5" s="2" t="s">
        <v>14</v>
      </c>
      <c r="M5" s="10">
        <v>10.5</v>
      </c>
    </row>
    <row r="6" spans="1:14">
      <c r="A6" s="4" t="s">
        <v>0</v>
      </c>
      <c r="B6" s="4" t="s">
        <v>2</v>
      </c>
      <c r="F6" s="4" t="s">
        <v>0</v>
      </c>
      <c r="G6" s="4" t="s">
        <v>2</v>
      </c>
      <c r="L6" s="2" t="s">
        <v>99</v>
      </c>
      <c r="M6" s="10">
        <v>0</v>
      </c>
    </row>
    <row r="7" spans="1:14">
      <c r="A7" s="4">
        <f>3+12+2</f>
        <v>17</v>
      </c>
      <c r="B7" s="4">
        <f>A7-1-2-1-1-5-9</f>
        <v>-2</v>
      </c>
      <c r="F7" s="4">
        <f>3+12+8</f>
        <v>23</v>
      </c>
      <c r="G7" s="4">
        <f>F7-1-2-3-4-3-5-4-3</f>
        <v>-2</v>
      </c>
      <c r="L7" s="2" t="s">
        <v>97</v>
      </c>
      <c r="M7" s="10">
        <v>0</v>
      </c>
      <c r="N7" s="14"/>
    </row>
    <row r="8" spans="1:14">
      <c r="L8" s="2" t="s">
        <v>20</v>
      </c>
      <c r="M8" s="10">
        <v>6</v>
      </c>
    </row>
    <row r="9" spans="1:14">
      <c r="A9" s="24" t="s">
        <v>74</v>
      </c>
      <c r="B9" s="24"/>
      <c r="C9" s="2" t="s">
        <v>98</v>
      </c>
      <c r="D9" s="2"/>
      <c r="E9" s="2"/>
      <c r="F9" s="24" t="str">
        <f>A9</f>
        <v>Zombi popolano</v>
      </c>
      <c r="G9" s="24"/>
      <c r="H9" t="s">
        <v>101</v>
      </c>
      <c r="I9" s="2"/>
      <c r="L9" s="2" t="s">
        <v>100</v>
      </c>
      <c r="M9" s="10">
        <v>0</v>
      </c>
    </row>
    <row r="10" spans="1:14">
      <c r="A10" s="11" t="s">
        <v>0</v>
      </c>
      <c r="B10" s="11" t="s">
        <v>2</v>
      </c>
      <c r="F10" s="11" t="s">
        <v>0</v>
      </c>
      <c r="G10" s="11" t="s">
        <v>2</v>
      </c>
      <c r="I10" s="2"/>
      <c r="L10" s="2" t="s">
        <v>98</v>
      </c>
      <c r="M10" s="10">
        <v>0</v>
      </c>
    </row>
    <row r="11" spans="1:14">
      <c r="A11" s="11">
        <f>3+7+10</f>
        <v>20</v>
      </c>
      <c r="B11" s="11">
        <f>A11-1-1-5-1-3-5-1-3</f>
        <v>0</v>
      </c>
      <c r="F11" s="11">
        <f>3+10+7</f>
        <v>20</v>
      </c>
      <c r="G11" s="11">
        <f>F11-1-7-2-4-7</f>
        <v>-1</v>
      </c>
      <c r="I11" s="2"/>
      <c r="L11" s="2" t="s">
        <v>101</v>
      </c>
      <c r="M11" s="10">
        <v>0</v>
      </c>
    </row>
    <row r="12" spans="1:14">
      <c r="H12" s="2"/>
      <c r="I12" s="2"/>
      <c r="L12" s="2" t="s">
        <v>102</v>
      </c>
      <c r="M12" s="10">
        <v>0</v>
      </c>
    </row>
    <row r="13" spans="1:14">
      <c r="H13" s="2"/>
      <c r="I13" s="2"/>
    </row>
    <row r="14" spans="1:14">
      <c r="H14" s="2"/>
      <c r="I14" s="2"/>
    </row>
    <row r="15" spans="1:14">
      <c r="G15" s="2"/>
      <c r="H15" s="2"/>
      <c r="I15" s="2"/>
    </row>
    <row r="16" spans="1:14">
      <c r="G16" s="2"/>
      <c r="H16" s="2"/>
      <c r="I16" s="2"/>
    </row>
    <row r="17" spans="1:9">
      <c r="G17" s="2"/>
      <c r="H17" s="2"/>
      <c r="I17" s="2"/>
    </row>
    <row r="18" spans="1:9">
      <c r="G18" s="2"/>
      <c r="H18" s="2"/>
      <c r="I18" s="2"/>
    </row>
    <row r="19" spans="1:9">
      <c r="G19" s="2"/>
      <c r="H19" s="2"/>
      <c r="I19" s="2"/>
    </row>
    <row r="20" spans="1:9">
      <c r="A20" s="8" t="s">
        <v>76</v>
      </c>
      <c r="D20" s="2"/>
      <c r="E20" s="12" t="s">
        <v>77</v>
      </c>
      <c r="F20" s="2"/>
      <c r="G20" s="2"/>
      <c r="H20" s="2"/>
      <c r="I20" s="2"/>
    </row>
    <row r="21" spans="1:9">
      <c r="A21" t="s">
        <v>81</v>
      </c>
      <c r="D21" s="2"/>
      <c r="E21" s="2" t="s">
        <v>78</v>
      </c>
      <c r="F21" s="2"/>
      <c r="G21" s="2"/>
    </row>
    <row r="22" spans="1:9">
      <c r="A22" t="s">
        <v>82</v>
      </c>
      <c r="D22" s="2"/>
      <c r="E22" s="2" t="s">
        <v>79</v>
      </c>
      <c r="F22" s="2"/>
      <c r="G22" s="3"/>
    </row>
    <row r="23" spans="1:9">
      <c r="D23" s="2"/>
      <c r="E23" s="2" t="s">
        <v>80</v>
      </c>
      <c r="F23" s="2"/>
      <c r="G23" s="3"/>
    </row>
    <row r="24" spans="1:9">
      <c r="D24" s="2"/>
      <c r="E24" s="2" t="s">
        <v>83</v>
      </c>
      <c r="F24" s="2"/>
    </row>
    <row r="25" spans="1:9">
      <c r="C25" s="2"/>
      <c r="D25" s="2"/>
      <c r="E25" s="2"/>
      <c r="F25" s="2"/>
    </row>
    <row r="26" spans="1:9">
      <c r="A26" t="s">
        <v>84</v>
      </c>
      <c r="C26" s="2"/>
      <c r="D26" s="2"/>
      <c r="E26" s="2"/>
      <c r="F26" s="2"/>
    </row>
    <row r="27" spans="1:9">
      <c r="I27" t="s">
        <v>95</v>
      </c>
    </row>
    <row r="28" spans="1:9">
      <c r="F28">
        <v>3.5</v>
      </c>
      <c r="I28">
        <f>F30+Sentinelle!F26+'1'!G22+'2'!G21+'5'!F23+'8'!G24+'10'!G24+'11'!H20+'12'!H24+520</f>
        <v>1730</v>
      </c>
    </row>
    <row r="29" spans="1:9">
      <c r="E29" t="s">
        <v>90</v>
      </c>
      <c r="F29">
        <f>100*9</f>
        <v>900</v>
      </c>
    </row>
    <row r="30" spans="1:9">
      <c r="E30" t="s">
        <v>91</v>
      </c>
      <c r="F30">
        <f>F29/5</f>
        <v>180</v>
      </c>
    </row>
    <row r="31" spans="1:9">
      <c r="F31" s="13"/>
    </row>
    <row r="33" spans="1:8">
      <c r="A33" t="s">
        <v>129</v>
      </c>
      <c r="C33">
        <f>F29+Sentinelle!F25+'1'!G21+'2'!G20+'5'!F22+'8'!G23+'10'!G23+'11'!H19+'12'!H23+'4'!C6+'9'!D6+C36+C37+C38+C39</f>
        <v>7700</v>
      </c>
      <c r="E33">
        <f>1700*5</f>
        <v>8500</v>
      </c>
      <c r="H33" t="s">
        <v>137</v>
      </c>
    </row>
    <row r="34" spans="1:8">
      <c r="A34" t="s">
        <v>130</v>
      </c>
      <c r="C34">
        <f>C33/5</f>
        <v>1540</v>
      </c>
    </row>
    <row r="36" spans="1:8">
      <c r="A36" t="s">
        <v>133</v>
      </c>
      <c r="C36">
        <v>800</v>
      </c>
      <c r="D36">
        <f>C36/5</f>
        <v>160</v>
      </c>
    </row>
    <row r="37" spans="1:8">
      <c r="A37" t="s">
        <v>134</v>
      </c>
      <c r="C37">
        <v>100</v>
      </c>
    </row>
    <row r="38" spans="1:8">
      <c r="A38" t="s">
        <v>135</v>
      </c>
      <c r="C38">
        <v>100</v>
      </c>
    </row>
    <row r="39" spans="1:8">
      <c r="A39" t="s">
        <v>136</v>
      </c>
      <c r="C39">
        <v>50</v>
      </c>
    </row>
  </sheetData>
  <sortState ref="L2:M8">
    <sortCondition descending="1" ref="M8"/>
  </sortState>
  <mergeCells count="7">
    <mergeCell ref="A9:B9"/>
    <mergeCell ref="F9:G9"/>
    <mergeCell ref="A1:B1"/>
    <mergeCell ref="F1:G1"/>
    <mergeCell ref="L1:M1"/>
    <mergeCell ref="A5:B5"/>
    <mergeCell ref="F5:G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M26"/>
  <sheetViews>
    <sheetView topLeftCell="A16" workbookViewId="0">
      <selection activeCell="I5" sqref="I5"/>
    </sheetView>
  </sheetViews>
  <sheetFormatPr defaultRowHeight="14.4"/>
  <cols>
    <col min="7" max="7" width="9.88671875" customWidth="1"/>
    <col min="13" max="13" width="9.109375" style="4"/>
  </cols>
  <sheetData>
    <row r="1" spans="1:13">
      <c r="A1" s="24" t="s">
        <v>21</v>
      </c>
      <c r="B1" s="24"/>
      <c r="C1" s="2" t="s">
        <v>104</v>
      </c>
      <c r="D1" t="s">
        <v>44</v>
      </c>
      <c r="F1" s="24" t="str">
        <f>A1</f>
        <v>Elfo combattente</v>
      </c>
      <c r="G1" s="24"/>
      <c r="H1" s="2" t="s">
        <v>106</v>
      </c>
      <c r="I1" s="2"/>
      <c r="L1" s="24" t="s">
        <v>15</v>
      </c>
      <c r="M1" s="24"/>
    </row>
    <row r="2" spans="1:13">
      <c r="A2" s="4" t="s">
        <v>0</v>
      </c>
      <c r="B2" s="4" t="s">
        <v>2</v>
      </c>
      <c r="F2" s="4" t="s">
        <v>0</v>
      </c>
      <c r="G2" s="4" t="s">
        <v>2</v>
      </c>
      <c r="L2" t="s">
        <v>11</v>
      </c>
      <c r="M2" s="4">
        <v>21.5</v>
      </c>
    </row>
    <row r="3" spans="1:13">
      <c r="A3" s="4">
        <v>9</v>
      </c>
      <c r="B3" s="4">
        <f>A3-5-3-3</f>
        <v>-2</v>
      </c>
      <c r="F3" s="4">
        <f>A3</f>
        <v>9</v>
      </c>
      <c r="G3" s="4">
        <f>F3-6-4</f>
        <v>-1</v>
      </c>
      <c r="L3" s="2" t="s">
        <v>14</v>
      </c>
      <c r="M3" s="4">
        <v>18</v>
      </c>
    </row>
    <row r="4" spans="1:13">
      <c r="L4" t="s">
        <v>12</v>
      </c>
      <c r="M4" s="4">
        <v>16.5</v>
      </c>
    </row>
    <row r="5" spans="1:13">
      <c r="A5" s="24" t="str">
        <f>A1</f>
        <v>Elfo combattente</v>
      </c>
      <c r="B5" s="24"/>
      <c r="C5" t="s">
        <v>105</v>
      </c>
      <c r="F5" s="24" t="s">
        <v>22</v>
      </c>
      <c r="G5" s="24"/>
      <c r="H5" t="s">
        <v>107</v>
      </c>
      <c r="L5" t="s">
        <v>13</v>
      </c>
      <c r="M5" s="4">
        <v>14</v>
      </c>
    </row>
    <row r="6" spans="1:13">
      <c r="A6" s="4" t="s">
        <v>0</v>
      </c>
      <c r="B6" s="4" t="s">
        <v>2</v>
      </c>
      <c r="F6" s="4" t="s">
        <v>0</v>
      </c>
      <c r="G6" s="4" t="s">
        <v>2</v>
      </c>
      <c r="L6" s="2" t="s">
        <v>20</v>
      </c>
      <c r="M6" s="4">
        <v>13.8</v>
      </c>
    </row>
    <row r="7" spans="1:13">
      <c r="A7" s="4">
        <f>A3</f>
        <v>9</v>
      </c>
      <c r="B7" s="4">
        <f>A7-6-5</f>
        <v>-2</v>
      </c>
      <c r="F7" s="4">
        <v>9</v>
      </c>
      <c r="G7" s="4">
        <f>F7-6-1-8</f>
        <v>-6</v>
      </c>
      <c r="L7" s="7" t="s">
        <v>106</v>
      </c>
      <c r="M7" s="4">
        <v>0</v>
      </c>
    </row>
    <row r="8" spans="1:13">
      <c r="L8" s="7" t="s">
        <v>109</v>
      </c>
      <c r="M8" s="4">
        <v>13</v>
      </c>
    </row>
    <row r="9" spans="1:13">
      <c r="A9" s="24" t="str">
        <f>A1</f>
        <v>Elfo combattente</v>
      </c>
      <c r="B9" s="24"/>
      <c r="C9" t="s">
        <v>97</v>
      </c>
      <c r="F9" s="24" t="s">
        <v>22</v>
      </c>
      <c r="G9" s="24"/>
      <c r="H9" t="s">
        <v>85</v>
      </c>
      <c r="L9" s="7" t="s">
        <v>107</v>
      </c>
      <c r="M9" s="4">
        <v>0</v>
      </c>
    </row>
    <row r="10" spans="1:13">
      <c r="A10" s="11" t="str">
        <f>A6</f>
        <v>PF Max</v>
      </c>
      <c r="B10" s="11" t="str">
        <f>A10</f>
        <v>PF Max</v>
      </c>
      <c r="F10" s="11" t="s">
        <v>0</v>
      </c>
      <c r="G10" s="11" t="s">
        <v>2</v>
      </c>
      <c r="L10" s="7" t="s">
        <v>110</v>
      </c>
      <c r="M10" s="4">
        <v>0</v>
      </c>
    </row>
    <row r="11" spans="1:13">
      <c r="A11" s="11">
        <f>A7</f>
        <v>9</v>
      </c>
      <c r="B11" s="11">
        <f>A11-9</f>
        <v>0</v>
      </c>
      <c r="F11" s="11">
        <f>F7</f>
        <v>9</v>
      </c>
      <c r="G11" s="11">
        <f>F11-9</f>
        <v>0</v>
      </c>
      <c r="L11" s="7" t="s">
        <v>108</v>
      </c>
      <c r="M11" s="4">
        <v>0</v>
      </c>
    </row>
    <row r="12" spans="1:13">
      <c r="L12" s="7" t="s">
        <v>97</v>
      </c>
      <c r="M12" s="4">
        <v>0</v>
      </c>
    </row>
    <row r="14" spans="1:13">
      <c r="A14" t="s">
        <v>96</v>
      </c>
      <c r="F14" t="s">
        <v>96</v>
      </c>
    </row>
    <row r="15" spans="1:13">
      <c r="A15" t="s">
        <v>23</v>
      </c>
      <c r="F15" t="s">
        <v>24</v>
      </c>
    </row>
    <row r="16" spans="1:13">
      <c r="A16" t="s">
        <v>60</v>
      </c>
      <c r="F16" t="s">
        <v>25</v>
      </c>
    </row>
    <row r="18" spans="1:6">
      <c r="A18" t="s">
        <v>31</v>
      </c>
    </row>
    <row r="21" spans="1:6">
      <c r="A21" t="s">
        <v>46</v>
      </c>
      <c r="F21" t="s">
        <v>73</v>
      </c>
    </row>
    <row r="24" spans="1:6">
      <c r="F24">
        <v>3.5</v>
      </c>
    </row>
    <row r="25" spans="1:6">
      <c r="E25" t="s">
        <v>90</v>
      </c>
      <c r="F25">
        <f>900+'1'!G21</f>
        <v>1350</v>
      </c>
    </row>
    <row r="26" spans="1:6">
      <c r="E26" t="s">
        <v>91</v>
      </c>
      <c r="F26">
        <f>F25/5</f>
        <v>270</v>
      </c>
    </row>
  </sheetData>
  <sortState ref="L3:M9">
    <sortCondition descending="1" ref="M9"/>
  </sortState>
  <mergeCells count="7">
    <mergeCell ref="A9:B9"/>
    <mergeCell ref="F9:G9"/>
    <mergeCell ref="A1:B1"/>
    <mergeCell ref="F1:G1"/>
    <mergeCell ref="L1:M1"/>
    <mergeCell ref="A5:B5"/>
    <mergeCell ref="F5:G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V26"/>
  <sheetViews>
    <sheetView workbookViewId="0">
      <selection activeCell="A27" sqref="A27"/>
    </sheetView>
  </sheetViews>
  <sheetFormatPr defaultRowHeight="14.4"/>
  <cols>
    <col min="7" max="7" width="9.88671875" bestFit="1" customWidth="1"/>
    <col min="8" max="8" width="9.109375" style="5"/>
    <col min="9" max="9" width="9.88671875" bestFit="1" customWidth="1"/>
  </cols>
  <sheetData>
    <row r="1" spans="1:22">
      <c r="A1" s="25" t="s">
        <v>26</v>
      </c>
      <c r="B1" s="25"/>
      <c r="C1" t="s">
        <v>108</v>
      </c>
      <c r="D1" t="s">
        <v>92</v>
      </c>
      <c r="I1" s="24" t="s">
        <v>15</v>
      </c>
      <c r="J1" s="24"/>
    </row>
    <row r="2" spans="1:22">
      <c r="A2" s="5" t="s">
        <v>0</v>
      </c>
      <c r="B2" s="5" t="s">
        <v>2</v>
      </c>
      <c r="I2" t="s">
        <v>13</v>
      </c>
      <c r="J2" s="5"/>
    </row>
    <row r="3" spans="1:22">
      <c r="A3" s="5">
        <v>10</v>
      </c>
      <c r="B3" s="5">
        <f>A3-10</f>
        <v>0</v>
      </c>
      <c r="E3" t="s">
        <v>31</v>
      </c>
      <c r="I3" t="s">
        <v>12</v>
      </c>
      <c r="J3" s="5"/>
    </row>
    <row r="4" spans="1:22">
      <c r="I4" t="s">
        <v>11</v>
      </c>
      <c r="J4" s="5"/>
    </row>
    <row r="5" spans="1:22">
      <c r="A5" s="25" t="s">
        <v>26</v>
      </c>
      <c r="B5" s="25"/>
      <c r="C5" t="s">
        <v>110</v>
      </c>
      <c r="I5" t="s">
        <v>20</v>
      </c>
      <c r="J5" s="5"/>
    </row>
    <row r="6" spans="1:22">
      <c r="A6" s="5" t="s">
        <v>0</v>
      </c>
      <c r="B6" s="5" t="s">
        <v>2</v>
      </c>
      <c r="I6" t="s">
        <v>14</v>
      </c>
      <c r="J6" s="5"/>
    </row>
    <row r="7" spans="1:22">
      <c r="A7" s="5">
        <v>10</v>
      </c>
      <c r="B7" s="5">
        <f>A7-6-12</f>
        <v>-8</v>
      </c>
      <c r="I7" t="s">
        <v>3</v>
      </c>
      <c r="J7" s="5">
        <v>11</v>
      </c>
    </row>
    <row r="8" spans="1:22">
      <c r="I8" t="s">
        <v>4</v>
      </c>
      <c r="J8" s="5">
        <v>13</v>
      </c>
    </row>
    <row r="9" spans="1:22">
      <c r="A9" s="25" t="s">
        <v>26</v>
      </c>
      <c r="B9" s="25"/>
      <c r="C9" t="s">
        <v>109</v>
      </c>
      <c r="I9" t="s">
        <v>5</v>
      </c>
      <c r="J9" s="11">
        <v>2</v>
      </c>
    </row>
    <row r="10" spans="1:22">
      <c r="A10" s="11" t="s">
        <v>0</v>
      </c>
      <c r="B10" s="11" t="s">
        <v>2</v>
      </c>
    </row>
    <row r="11" spans="1:22">
      <c r="A11" s="11">
        <v>10</v>
      </c>
      <c r="B11" s="11">
        <f>A11-5-5</f>
        <v>0</v>
      </c>
    </row>
    <row r="14" spans="1:22" ht="15" customHeight="1">
      <c r="J14" s="26" t="s">
        <v>111</v>
      </c>
      <c r="K14" s="26"/>
      <c r="L14" s="26"/>
      <c r="M14" s="26"/>
      <c r="N14" s="26"/>
      <c r="O14" s="26"/>
      <c r="P14" s="26"/>
      <c r="Q14" s="26"/>
      <c r="R14" s="26"/>
      <c r="S14" s="26"/>
      <c r="T14" s="26"/>
      <c r="U14" s="26"/>
      <c r="V14" s="26"/>
    </row>
    <row r="15" spans="1:22">
      <c r="J15" s="26"/>
      <c r="K15" s="26"/>
      <c r="L15" s="26"/>
      <c r="M15" s="26"/>
      <c r="N15" s="26"/>
      <c r="O15" s="26"/>
      <c r="P15" s="26"/>
      <c r="Q15" s="26"/>
      <c r="R15" s="26"/>
      <c r="S15" s="26"/>
      <c r="T15" s="26"/>
      <c r="U15" s="26"/>
      <c r="V15" s="26"/>
    </row>
    <row r="16" spans="1:22">
      <c r="J16" s="26"/>
      <c r="K16" s="26"/>
      <c r="L16" s="26"/>
      <c r="M16" s="26"/>
      <c r="N16" s="26"/>
      <c r="O16" s="26"/>
      <c r="P16" s="26"/>
      <c r="Q16" s="26"/>
      <c r="R16" s="26"/>
      <c r="S16" s="26"/>
      <c r="T16" s="26"/>
      <c r="U16" s="26"/>
      <c r="V16" s="26"/>
    </row>
    <row r="17" spans="1:22">
      <c r="A17" t="s">
        <v>62</v>
      </c>
      <c r="J17" s="26"/>
      <c r="K17" s="26"/>
      <c r="L17" s="26"/>
      <c r="M17" s="26"/>
      <c r="N17" s="26"/>
      <c r="O17" s="26"/>
      <c r="P17" s="26"/>
      <c r="Q17" s="26"/>
      <c r="R17" s="26"/>
      <c r="S17" s="26"/>
      <c r="T17" s="26"/>
      <c r="U17" s="26"/>
      <c r="V17" s="26"/>
    </row>
    <row r="18" spans="1:22">
      <c r="J18" s="26"/>
      <c r="K18" s="26"/>
      <c r="L18" s="26"/>
      <c r="M18" s="26"/>
      <c r="N18" s="26"/>
      <c r="O18" s="26"/>
      <c r="P18" s="26"/>
      <c r="Q18" s="26"/>
      <c r="R18" s="26"/>
      <c r="S18" s="26"/>
      <c r="T18" s="26"/>
      <c r="U18" s="26"/>
      <c r="V18" s="26"/>
    </row>
    <row r="19" spans="1:22">
      <c r="A19" t="s">
        <v>27</v>
      </c>
      <c r="J19" s="26"/>
      <c r="K19" s="26"/>
      <c r="L19" s="26"/>
      <c r="M19" s="26"/>
      <c r="N19" s="26"/>
      <c r="O19" s="26"/>
      <c r="P19" s="26"/>
      <c r="Q19" s="26"/>
      <c r="R19" s="26"/>
      <c r="S19" s="26"/>
      <c r="T19" s="26"/>
      <c r="U19" s="26"/>
      <c r="V19" s="26"/>
    </row>
    <row r="20" spans="1:22">
      <c r="A20" t="s">
        <v>28</v>
      </c>
      <c r="G20">
        <v>3.5</v>
      </c>
      <c r="J20" s="26"/>
      <c r="K20" s="26"/>
      <c r="L20" s="26"/>
      <c r="M20" s="26"/>
      <c r="N20" s="26"/>
      <c r="O20" s="26"/>
      <c r="P20" s="26"/>
      <c r="Q20" s="26"/>
      <c r="R20" s="26"/>
      <c r="S20" s="26"/>
      <c r="T20" s="26"/>
      <c r="U20" s="26"/>
      <c r="V20" s="26"/>
    </row>
    <row r="21" spans="1:22">
      <c r="A21" t="s">
        <v>29</v>
      </c>
      <c r="F21" t="s">
        <v>90</v>
      </c>
      <c r="G21">
        <f>300+150</f>
        <v>450</v>
      </c>
      <c r="J21" s="26"/>
      <c r="K21" s="26"/>
      <c r="L21" s="26"/>
      <c r="M21" s="26"/>
      <c r="N21" s="26"/>
      <c r="O21" s="26"/>
      <c r="P21" s="26"/>
      <c r="Q21" s="26"/>
      <c r="R21" s="26"/>
      <c r="S21" s="26"/>
      <c r="T21" s="26"/>
      <c r="U21" s="26"/>
      <c r="V21" s="26"/>
    </row>
    <row r="22" spans="1:22">
      <c r="F22" t="s">
        <v>91</v>
      </c>
      <c r="G22">
        <f>G21/5</f>
        <v>90</v>
      </c>
      <c r="J22" s="26"/>
      <c r="K22" s="26"/>
      <c r="L22" s="26"/>
      <c r="M22" s="26"/>
      <c r="N22" s="26"/>
      <c r="O22" s="26"/>
      <c r="P22" s="26"/>
      <c r="Q22" s="26"/>
      <c r="R22" s="26"/>
      <c r="S22" s="26"/>
      <c r="T22" s="26"/>
      <c r="U22" s="26"/>
      <c r="V22" s="26"/>
    </row>
    <row r="23" spans="1:22">
      <c r="A23" s="8" t="s">
        <v>30</v>
      </c>
      <c r="J23" s="26"/>
      <c r="K23" s="26"/>
      <c r="L23" s="26"/>
      <c r="M23" s="26"/>
      <c r="N23" s="26"/>
      <c r="O23" s="26"/>
      <c r="P23" s="26"/>
      <c r="Q23" s="26"/>
      <c r="R23" s="26"/>
      <c r="S23" s="26"/>
      <c r="T23" s="26"/>
      <c r="U23" s="26"/>
      <c r="V23" s="26"/>
    </row>
    <row r="24" spans="1:22">
      <c r="A24" t="s">
        <v>45</v>
      </c>
      <c r="J24" s="26"/>
      <c r="K24" s="26"/>
      <c r="L24" s="26"/>
      <c r="M24" s="26"/>
      <c r="N24" s="26"/>
      <c r="O24" s="26"/>
      <c r="P24" s="26"/>
      <c r="Q24" s="26"/>
      <c r="R24" s="26"/>
      <c r="S24" s="26"/>
      <c r="T24" s="26"/>
      <c r="U24" s="26"/>
      <c r="V24" s="26"/>
    </row>
    <row r="25" spans="1:22">
      <c r="A25" t="s">
        <v>72</v>
      </c>
    </row>
    <row r="26" spans="1:22">
      <c r="A26" t="s">
        <v>117</v>
      </c>
    </row>
  </sheetData>
  <sortState ref="I2:J7">
    <sortCondition ref="I6"/>
  </sortState>
  <mergeCells count="5">
    <mergeCell ref="A1:B1"/>
    <mergeCell ref="I1:J1"/>
    <mergeCell ref="A5:B5"/>
    <mergeCell ref="A9:B9"/>
    <mergeCell ref="J14:V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V24"/>
  <sheetViews>
    <sheetView topLeftCell="A4" workbookViewId="0">
      <selection activeCell="E15" sqref="E15:F16"/>
    </sheetView>
  </sheetViews>
  <sheetFormatPr defaultRowHeight="14.4"/>
  <cols>
    <col min="9" max="9" width="9.88671875" bestFit="1" customWidth="1"/>
    <col min="10" max="10" width="9.109375" style="5"/>
  </cols>
  <sheetData>
    <row r="1" spans="1:22">
      <c r="A1" s="24" t="s">
        <v>32</v>
      </c>
      <c r="B1" s="24"/>
      <c r="C1" t="s">
        <v>124</v>
      </c>
      <c r="E1" t="s">
        <v>34</v>
      </c>
      <c r="I1" s="24" t="s">
        <v>15</v>
      </c>
      <c r="J1" s="24"/>
    </row>
    <row r="2" spans="1:22">
      <c r="A2" s="5" t="s">
        <v>0</v>
      </c>
      <c r="B2" s="5" t="s">
        <v>2</v>
      </c>
      <c r="H2" s="8" t="str">
        <f>IF($B$11&gt;0,"Vivo","Morto")</f>
        <v>Morto</v>
      </c>
      <c r="I2" t="s">
        <v>126</v>
      </c>
      <c r="J2" s="5">
        <v>21</v>
      </c>
    </row>
    <row r="3" spans="1:22">
      <c r="A3" s="5">
        <v>9</v>
      </c>
      <c r="B3" s="5">
        <f>A3-4-7</f>
        <v>-2</v>
      </c>
      <c r="C3" s="8" t="str">
        <f>IF(B3&gt;0,"Vivo","Morto")</f>
        <v>Morto</v>
      </c>
      <c r="E3" t="s">
        <v>31</v>
      </c>
      <c r="I3" t="s">
        <v>12</v>
      </c>
      <c r="J3" s="5">
        <v>19</v>
      </c>
    </row>
    <row r="4" spans="1:22">
      <c r="H4" s="8" t="str">
        <f>IF($B$3&gt;0,"Vivo","Morto")</f>
        <v>Morto</v>
      </c>
      <c r="I4" t="s">
        <v>127</v>
      </c>
      <c r="J4" s="5">
        <v>16.5</v>
      </c>
    </row>
    <row r="5" spans="1:22">
      <c r="A5" s="24" t="s">
        <v>32</v>
      </c>
      <c r="B5" s="24"/>
      <c r="C5" t="s">
        <v>125</v>
      </c>
      <c r="H5" s="8" t="str">
        <f>IF($B$7&gt;0,"Vivo","Morto")</f>
        <v>Morto</v>
      </c>
      <c r="I5" t="s">
        <v>125</v>
      </c>
      <c r="J5" s="5">
        <v>16</v>
      </c>
    </row>
    <row r="6" spans="1:22">
      <c r="A6" s="5" t="s">
        <v>0</v>
      </c>
      <c r="B6" s="5" t="s">
        <v>2</v>
      </c>
      <c r="I6" t="s">
        <v>13</v>
      </c>
      <c r="J6" s="5">
        <v>10</v>
      </c>
    </row>
    <row r="7" spans="1:22">
      <c r="A7" s="5">
        <v>9</v>
      </c>
      <c r="B7" s="5">
        <f>A7-1-6-7</f>
        <v>-5</v>
      </c>
      <c r="C7" s="8" t="str">
        <f>IF(B7&gt;0,"Vivo","Morto")</f>
        <v>Morto</v>
      </c>
      <c r="I7" t="s">
        <v>11</v>
      </c>
      <c r="J7" s="5">
        <v>7</v>
      </c>
    </row>
    <row r="8" spans="1:22">
      <c r="H8" s="8" t="str">
        <f>IF($B$15&gt;0,"Vivo","Morto")</f>
        <v>Morto</v>
      </c>
      <c r="I8" t="s">
        <v>128</v>
      </c>
      <c r="J8" s="5">
        <v>6</v>
      </c>
    </row>
    <row r="9" spans="1:22">
      <c r="A9" s="24" t="s">
        <v>32</v>
      </c>
      <c r="B9" s="24"/>
      <c r="C9" t="s">
        <v>126</v>
      </c>
      <c r="I9" t="s">
        <v>20</v>
      </c>
      <c r="J9" s="5">
        <v>4</v>
      </c>
    </row>
    <row r="10" spans="1:22">
      <c r="A10" s="5" t="s">
        <v>0</v>
      </c>
      <c r="B10" s="5" t="s">
        <v>2</v>
      </c>
      <c r="I10" t="s">
        <v>14</v>
      </c>
      <c r="J10" s="5">
        <v>3</v>
      </c>
    </row>
    <row r="11" spans="1:22">
      <c r="A11" s="5">
        <v>9</v>
      </c>
      <c r="B11" s="5">
        <f>A11-8-6</f>
        <v>-5</v>
      </c>
      <c r="C11" s="8" t="str">
        <f>IF(B11&gt;0,"Vivo","Morto")</f>
        <v>Morto</v>
      </c>
    </row>
    <row r="13" spans="1:22">
      <c r="A13" s="24" t="s">
        <v>32</v>
      </c>
      <c r="B13" s="24"/>
      <c r="C13" t="s">
        <v>128</v>
      </c>
    </row>
    <row r="14" spans="1:22" ht="18.149999999999999" customHeight="1">
      <c r="A14" s="11" t="s">
        <v>0</v>
      </c>
      <c r="B14" s="11" t="s">
        <v>2</v>
      </c>
      <c r="I14" s="26" t="s">
        <v>116</v>
      </c>
      <c r="J14" s="26"/>
      <c r="K14" s="26"/>
      <c r="L14" s="26"/>
      <c r="M14" s="26"/>
      <c r="N14" s="26"/>
      <c r="O14" s="26"/>
      <c r="P14" s="26"/>
      <c r="Q14" s="26"/>
      <c r="R14" s="26"/>
      <c r="S14" s="26"/>
      <c r="T14" s="26"/>
      <c r="U14" s="26"/>
      <c r="V14" s="26"/>
    </row>
    <row r="15" spans="1:22">
      <c r="A15" s="11">
        <v>9</v>
      </c>
      <c r="B15" s="11">
        <f>A15-4-12</f>
        <v>-7</v>
      </c>
      <c r="C15" s="8" t="str">
        <f>IF(B15&gt;0,"Vivo","Morto")</f>
        <v>Morto</v>
      </c>
      <c r="I15" s="26"/>
      <c r="J15" s="26"/>
      <c r="K15" s="26"/>
      <c r="L15" s="26"/>
      <c r="M15" s="26"/>
      <c r="N15" s="26"/>
      <c r="O15" s="26"/>
      <c r="P15" s="26"/>
      <c r="Q15" s="26"/>
      <c r="R15" s="26"/>
      <c r="S15" s="26"/>
      <c r="T15" s="26"/>
      <c r="U15" s="26"/>
      <c r="V15" s="26"/>
    </row>
    <row r="16" spans="1:22">
      <c r="I16" s="26"/>
      <c r="J16" s="26"/>
      <c r="K16" s="26"/>
      <c r="L16" s="26"/>
      <c r="M16" s="26"/>
      <c r="N16" s="26"/>
      <c r="O16" s="26"/>
      <c r="P16" s="26"/>
      <c r="Q16" s="26"/>
      <c r="R16" s="26"/>
      <c r="S16" s="26"/>
      <c r="T16" s="26"/>
      <c r="U16" s="26"/>
      <c r="V16" s="26"/>
    </row>
    <row r="17" spans="1:22">
      <c r="A17" t="s">
        <v>35</v>
      </c>
      <c r="I17" s="26"/>
      <c r="J17" s="26"/>
      <c r="K17" s="26"/>
      <c r="L17" s="26"/>
      <c r="M17" s="26"/>
      <c r="N17" s="26"/>
      <c r="O17" s="26"/>
      <c r="P17" s="26"/>
      <c r="Q17" s="26"/>
      <c r="R17" s="26"/>
      <c r="S17" s="26"/>
      <c r="T17" s="26"/>
      <c r="U17" s="26"/>
      <c r="V17" s="26"/>
    </row>
    <row r="18" spans="1:22">
      <c r="A18" t="s">
        <v>36</v>
      </c>
      <c r="I18" s="26"/>
      <c r="J18" s="26"/>
      <c r="K18" s="26"/>
      <c r="L18" s="26"/>
      <c r="M18" s="26"/>
      <c r="N18" s="26"/>
      <c r="O18" s="26"/>
      <c r="P18" s="26"/>
      <c r="Q18" s="26"/>
      <c r="R18" s="26"/>
      <c r="S18" s="26"/>
      <c r="T18" s="26"/>
      <c r="U18" s="26"/>
      <c r="V18" s="26"/>
    </row>
    <row r="19" spans="1:22">
      <c r="A19" t="s">
        <v>59</v>
      </c>
      <c r="G19">
        <v>3.5</v>
      </c>
      <c r="I19" s="26"/>
      <c r="J19" s="26"/>
      <c r="K19" s="26"/>
      <c r="L19" s="26"/>
      <c r="M19" s="26"/>
      <c r="N19" s="26"/>
      <c r="O19" s="26"/>
      <c r="P19" s="26"/>
      <c r="Q19" s="26"/>
      <c r="R19" s="26"/>
      <c r="S19" s="26"/>
      <c r="T19" s="26"/>
      <c r="U19" s="26"/>
      <c r="V19" s="26"/>
    </row>
    <row r="20" spans="1:22">
      <c r="F20" t="s">
        <v>90</v>
      </c>
      <c r="G20">
        <f>300+100</f>
        <v>400</v>
      </c>
    </row>
    <row r="21" spans="1:22">
      <c r="A21" s="8" t="s">
        <v>30</v>
      </c>
      <c r="F21" t="s">
        <v>91</v>
      </c>
      <c r="G21">
        <f>G20/5</f>
        <v>80</v>
      </c>
    </row>
    <row r="22" spans="1:22">
      <c r="A22" s="7" t="s">
        <v>121</v>
      </c>
    </row>
    <row r="23" spans="1:22">
      <c r="A23" t="s">
        <v>71</v>
      </c>
    </row>
    <row r="24" spans="1:22">
      <c r="A24" t="s">
        <v>117</v>
      </c>
    </row>
  </sheetData>
  <sortState ref="H2:J10">
    <sortCondition descending="1" ref="J10"/>
  </sortState>
  <mergeCells count="6">
    <mergeCell ref="I14:V19"/>
    <mergeCell ref="A1:B1"/>
    <mergeCell ref="A5:B5"/>
    <mergeCell ref="A9:B9"/>
    <mergeCell ref="I1:J1"/>
    <mergeCell ref="A13:B13"/>
  </mergeCells>
  <conditionalFormatting sqref="C1">
    <cfRule type="iconSet" priority="1">
      <iconSet iconSet="4Rating">
        <cfvo type="percent" val="0"/>
        <cfvo type="percent" val="25"/>
        <cfvo type="percent" val="50"/>
        <cfvo type="percent" val="75"/>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L6"/>
  <sheetViews>
    <sheetView workbookViewId="0">
      <selection activeCell="C6" sqref="C6"/>
    </sheetView>
  </sheetViews>
  <sheetFormatPr defaultRowHeight="14.4"/>
  <sheetData>
    <row r="1" spans="1:12" ht="18.149999999999999" customHeight="1">
      <c r="A1" s="27" t="s">
        <v>112</v>
      </c>
      <c r="B1" s="27"/>
      <c r="C1" s="27"/>
      <c r="D1" s="27"/>
      <c r="E1" s="27"/>
      <c r="F1" s="27"/>
      <c r="G1" s="27"/>
      <c r="H1" s="27"/>
      <c r="I1" s="27"/>
      <c r="J1" s="27"/>
      <c r="K1" s="27"/>
      <c r="L1" s="27"/>
    </row>
    <row r="2" spans="1:12">
      <c r="A2" s="27"/>
      <c r="B2" s="27"/>
      <c r="C2" s="27"/>
      <c r="D2" s="27"/>
      <c r="E2" s="27"/>
      <c r="F2" s="27"/>
      <c r="G2" s="27"/>
      <c r="H2" s="27"/>
      <c r="I2" s="27"/>
      <c r="J2" s="27"/>
      <c r="K2" s="27"/>
      <c r="L2" s="27"/>
    </row>
    <row r="3" spans="1:12">
      <c r="A3" s="27"/>
      <c r="B3" s="27"/>
      <c r="C3" s="27"/>
      <c r="D3" s="27"/>
      <c r="E3" s="27"/>
      <c r="F3" s="27"/>
      <c r="G3" s="27"/>
      <c r="H3" s="27"/>
      <c r="I3" s="27"/>
      <c r="J3" s="27"/>
      <c r="K3" s="27"/>
      <c r="L3" s="27"/>
    </row>
    <row r="6" spans="1:12">
      <c r="A6" t="s">
        <v>131</v>
      </c>
      <c r="C6">
        <v>500</v>
      </c>
    </row>
  </sheetData>
  <mergeCells count="1">
    <mergeCell ref="A1:L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5"/>
  <sheetViews>
    <sheetView topLeftCell="A7" workbookViewId="0">
      <selection activeCell="F15" sqref="F15"/>
    </sheetView>
  </sheetViews>
  <sheetFormatPr defaultRowHeight="14.4"/>
  <cols>
    <col min="8" max="8" width="9.88671875" bestFit="1" customWidth="1"/>
  </cols>
  <sheetData>
    <row r="1" spans="1:9">
      <c r="A1" s="24" t="s">
        <v>33</v>
      </c>
      <c r="B1" s="24"/>
      <c r="D1" t="s">
        <v>37</v>
      </c>
      <c r="H1" s="24" t="s">
        <v>15</v>
      </c>
      <c r="I1" s="24"/>
    </row>
    <row r="2" spans="1:9">
      <c r="A2" s="5" t="s">
        <v>0</v>
      </c>
      <c r="B2" s="5" t="s">
        <v>2</v>
      </c>
      <c r="H2" t="s">
        <v>13</v>
      </c>
      <c r="I2" s="5"/>
    </row>
    <row r="3" spans="1:9">
      <c r="A3" s="5">
        <f>2+10+4</f>
        <v>16</v>
      </c>
      <c r="B3" s="5">
        <f>A3</f>
        <v>16</v>
      </c>
      <c r="C3" s="8" t="str">
        <f>IF(B3&gt;0,"Vivo","Morto")</f>
        <v>Vivo</v>
      </c>
      <c r="H3" t="s">
        <v>12</v>
      </c>
      <c r="I3" s="5"/>
    </row>
    <row r="4" spans="1:9">
      <c r="H4" t="s">
        <v>11</v>
      </c>
      <c r="I4" s="5"/>
    </row>
    <row r="5" spans="1:9">
      <c r="A5" t="s">
        <v>61</v>
      </c>
      <c r="H5" t="s">
        <v>20</v>
      </c>
      <c r="I5" s="5"/>
    </row>
    <row r="6" spans="1:9">
      <c r="H6" t="s">
        <v>14</v>
      </c>
      <c r="I6" s="5"/>
    </row>
    <row r="7" spans="1:9">
      <c r="A7" t="s">
        <v>38</v>
      </c>
      <c r="G7" s="8" t="str">
        <f>IF(F7&gt;0,"Vivo","Morto")</f>
        <v>Morto</v>
      </c>
      <c r="H7" t="s">
        <v>3</v>
      </c>
      <c r="I7" s="5">
        <v>17</v>
      </c>
    </row>
    <row r="8" spans="1:9">
      <c r="A8" t="s">
        <v>39</v>
      </c>
    </row>
    <row r="9" spans="1:9">
      <c r="A9" t="s">
        <v>57</v>
      </c>
    </row>
    <row r="11" spans="1:9">
      <c r="A11" t="s">
        <v>41</v>
      </c>
    </row>
    <row r="12" spans="1:9">
      <c r="A12" t="s">
        <v>40</v>
      </c>
    </row>
    <row r="13" spans="1:9">
      <c r="A13" t="s">
        <v>42</v>
      </c>
    </row>
    <row r="16" spans="1:9">
      <c r="A16" s="8" t="s">
        <v>30</v>
      </c>
    </row>
    <row r="17" spans="1:17" ht="18.149999999999999" customHeight="1">
      <c r="A17" t="s">
        <v>43</v>
      </c>
      <c r="I17" s="26" t="s">
        <v>113</v>
      </c>
      <c r="J17" s="26"/>
      <c r="K17" s="26"/>
      <c r="L17" s="26"/>
      <c r="M17" s="26"/>
      <c r="N17" s="26"/>
      <c r="O17" s="26"/>
      <c r="P17" s="15"/>
      <c r="Q17" s="15"/>
    </row>
    <row r="18" spans="1:17" ht="15" customHeight="1">
      <c r="I18" s="26"/>
      <c r="J18" s="26"/>
      <c r="K18" s="26"/>
      <c r="L18" s="26"/>
      <c r="M18" s="26"/>
      <c r="N18" s="26"/>
      <c r="O18" s="26"/>
      <c r="P18" s="15"/>
      <c r="Q18" s="15"/>
    </row>
    <row r="19" spans="1:17" ht="15" customHeight="1">
      <c r="I19" s="26"/>
      <c r="J19" s="26"/>
      <c r="K19" s="26"/>
      <c r="L19" s="26"/>
      <c r="M19" s="26"/>
      <c r="N19" s="26"/>
      <c r="O19" s="26"/>
      <c r="P19" s="15"/>
      <c r="Q19" s="15"/>
    </row>
    <row r="20" spans="1:17" ht="15" customHeight="1">
      <c r="I20" s="26"/>
      <c r="J20" s="26"/>
      <c r="K20" s="26"/>
      <c r="L20" s="26"/>
      <c r="M20" s="26"/>
      <c r="N20" s="26"/>
      <c r="O20" s="26"/>
      <c r="P20" s="15"/>
      <c r="Q20" s="15"/>
    </row>
    <row r="21" spans="1:17" ht="15" customHeight="1">
      <c r="F21">
        <v>3.5</v>
      </c>
      <c r="I21" s="26"/>
      <c r="J21" s="26"/>
      <c r="K21" s="26"/>
      <c r="L21" s="26"/>
      <c r="M21" s="26"/>
      <c r="N21" s="26"/>
      <c r="O21" s="26"/>
      <c r="P21" s="15"/>
      <c r="Q21" s="15"/>
    </row>
    <row r="22" spans="1:17" ht="15" customHeight="1">
      <c r="E22" t="s">
        <v>90</v>
      </c>
      <c r="F22">
        <v>600</v>
      </c>
      <c r="I22" s="26"/>
      <c r="J22" s="26"/>
      <c r="K22" s="26"/>
      <c r="L22" s="26"/>
      <c r="M22" s="26"/>
      <c r="N22" s="26"/>
      <c r="O22" s="26"/>
      <c r="P22" s="15"/>
      <c r="Q22" s="15"/>
    </row>
    <row r="23" spans="1:17" ht="15" customHeight="1">
      <c r="E23" t="s">
        <v>91</v>
      </c>
      <c r="F23">
        <f>F22/5</f>
        <v>120</v>
      </c>
      <c r="I23" s="15"/>
      <c r="J23" s="15"/>
      <c r="K23" s="15"/>
      <c r="L23" s="15"/>
      <c r="M23" s="15"/>
      <c r="N23" s="15"/>
      <c r="O23" s="15"/>
      <c r="P23" s="15"/>
      <c r="Q23" s="15"/>
    </row>
    <row r="24" spans="1:17" ht="15" customHeight="1">
      <c r="I24" s="15"/>
      <c r="J24" s="15"/>
      <c r="K24" s="15"/>
      <c r="L24" s="15"/>
      <c r="M24" s="15"/>
      <c r="N24" s="15"/>
      <c r="O24" s="15"/>
      <c r="P24" s="15"/>
      <c r="Q24" s="15"/>
    </row>
    <row r="25" spans="1:17" ht="15" customHeight="1">
      <c r="I25" s="15"/>
      <c r="J25" s="15"/>
      <c r="K25" s="15"/>
      <c r="L25" s="15"/>
      <c r="M25" s="15"/>
      <c r="N25" s="15"/>
      <c r="O25" s="15"/>
      <c r="P25" s="15"/>
      <c r="Q25" s="15"/>
    </row>
  </sheetData>
  <mergeCells count="3">
    <mergeCell ref="A1:B1"/>
    <mergeCell ref="H1:I1"/>
    <mergeCell ref="I17:O2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Q24"/>
  <sheetViews>
    <sheetView workbookViewId="0">
      <selection activeCell="B4" sqref="B4"/>
    </sheetView>
  </sheetViews>
  <sheetFormatPr defaultRowHeight="14.4"/>
  <sheetData>
    <row r="1" spans="1:17">
      <c r="A1" s="24" t="s">
        <v>47</v>
      </c>
      <c r="B1" s="24"/>
      <c r="F1" t="s">
        <v>48</v>
      </c>
      <c r="I1" s="24" t="s">
        <v>15</v>
      </c>
      <c r="J1" s="24"/>
    </row>
    <row r="2" spans="1:17">
      <c r="A2" s="5" t="s">
        <v>0</v>
      </c>
      <c r="B2" s="5" t="s">
        <v>2</v>
      </c>
      <c r="D2" t="s">
        <v>50</v>
      </c>
      <c r="I2" t="s">
        <v>3</v>
      </c>
      <c r="J2" s="5">
        <v>23</v>
      </c>
    </row>
    <row r="3" spans="1:17">
      <c r="A3" s="5">
        <v>2</v>
      </c>
      <c r="B3" s="5">
        <f>A3-8</f>
        <v>-6</v>
      </c>
      <c r="C3" s="8" t="str">
        <f>IF(B3&gt;0,"Vivo","Morto")</f>
        <v>Morto</v>
      </c>
      <c r="D3" s="5">
        <f>15+11</f>
        <v>26</v>
      </c>
      <c r="I3" t="s">
        <v>12</v>
      </c>
      <c r="J3" s="5">
        <v>19</v>
      </c>
    </row>
    <row r="4" spans="1:17">
      <c r="F4" t="s">
        <v>49</v>
      </c>
      <c r="I4" t="s">
        <v>5</v>
      </c>
      <c r="J4" s="5">
        <v>0</v>
      </c>
    </row>
    <row r="5" spans="1:17">
      <c r="A5" s="24" t="s">
        <v>47</v>
      </c>
      <c r="B5" s="24"/>
      <c r="I5" t="s">
        <v>14</v>
      </c>
      <c r="J5" s="5">
        <v>16</v>
      </c>
    </row>
    <row r="6" spans="1:17">
      <c r="A6" s="5" t="s">
        <v>0</v>
      </c>
      <c r="B6" s="5" t="s">
        <v>2</v>
      </c>
      <c r="D6" t="s">
        <v>50</v>
      </c>
      <c r="I6" t="s">
        <v>13</v>
      </c>
      <c r="J6" s="5">
        <v>15</v>
      </c>
    </row>
    <row r="7" spans="1:17">
      <c r="A7" s="5">
        <v>2</v>
      </c>
      <c r="B7" s="5">
        <f>A7-3</f>
        <v>-1</v>
      </c>
      <c r="C7" s="8" t="str">
        <f>IF(B7&gt;0,"Vivo","Morto")</f>
        <v>Morto</v>
      </c>
      <c r="D7" s="5">
        <f>15+9</f>
        <v>24</v>
      </c>
      <c r="H7" s="8" t="str">
        <f>IF(B3&gt;0,"Vivo","Morto")</f>
        <v>Morto</v>
      </c>
      <c r="I7" t="s">
        <v>20</v>
      </c>
      <c r="J7" s="5">
        <v>12</v>
      </c>
    </row>
    <row r="8" spans="1:17">
      <c r="H8" s="8" t="str">
        <f>IF(B7&gt;0,"Vivo","Morto")</f>
        <v>Morto</v>
      </c>
      <c r="I8" t="s">
        <v>11</v>
      </c>
      <c r="J8" s="5">
        <v>10</v>
      </c>
    </row>
    <row r="9" spans="1:17">
      <c r="A9" s="24" t="s">
        <v>47</v>
      </c>
      <c r="B9" s="24"/>
      <c r="H9" s="8" t="str">
        <f>IF(B11&gt;0,"Vivo","Morto")</f>
        <v>Morto</v>
      </c>
      <c r="I9" t="s">
        <v>4</v>
      </c>
      <c r="J9" s="5">
        <v>9</v>
      </c>
    </row>
    <row r="10" spans="1:17">
      <c r="A10" s="5" t="s">
        <v>0</v>
      </c>
      <c r="B10" s="5" t="s">
        <v>2</v>
      </c>
      <c r="D10" t="s">
        <v>50</v>
      </c>
      <c r="J10" s="5"/>
    </row>
    <row r="11" spans="1:17">
      <c r="A11" s="5">
        <v>2</v>
      </c>
      <c r="B11" s="5">
        <f>A11-7</f>
        <v>-5</v>
      </c>
      <c r="C11" s="8" t="str">
        <f>IF(B11&gt;0,"Vivo","Morto")</f>
        <v>Morto</v>
      </c>
      <c r="D11" s="5">
        <f>15+2</f>
        <v>17</v>
      </c>
      <c r="J11" s="5"/>
    </row>
    <row r="12" spans="1:17" ht="18.149999999999999" customHeight="1">
      <c r="H12" s="26" t="s">
        <v>114</v>
      </c>
      <c r="I12" s="26"/>
      <c r="J12" s="26"/>
      <c r="K12" s="26"/>
      <c r="L12" s="26"/>
      <c r="M12" s="26"/>
      <c r="N12" s="26"/>
      <c r="O12" s="26"/>
      <c r="P12" s="26"/>
      <c r="Q12" s="26"/>
    </row>
    <row r="13" spans="1:17">
      <c r="A13" t="s">
        <v>51</v>
      </c>
      <c r="H13" s="26"/>
      <c r="I13" s="26"/>
      <c r="J13" s="26"/>
      <c r="K13" s="26"/>
      <c r="L13" s="26"/>
      <c r="M13" s="26"/>
      <c r="N13" s="26"/>
      <c r="O13" s="26"/>
      <c r="P13" s="26"/>
      <c r="Q13" s="26"/>
    </row>
    <row r="14" spans="1:17" ht="18.149999999999999" customHeight="1">
      <c r="A14" t="s">
        <v>58</v>
      </c>
      <c r="H14" s="26"/>
      <c r="I14" s="26"/>
      <c r="J14" s="26"/>
      <c r="K14" s="26"/>
      <c r="L14" s="26"/>
      <c r="M14" s="26"/>
      <c r="N14" s="26"/>
      <c r="O14" s="26"/>
      <c r="P14" s="26"/>
      <c r="Q14" s="26"/>
    </row>
    <row r="15" spans="1:17" ht="15" customHeight="1">
      <c r="H15" s="26"/>
      <c r="I15" s="26"/>
      <c r="J15" s="26"/>
      <c r="K15" s="26"/>
      <c r="L15" s="26"/>
      <c r="M15" s="26"/>
      <c r="N15" s="26"/>
      <c r="O15" s="26"/>
      <c r="P15" s="26"/>
      <c r="Q15" s="26"/>
    </row>
    <row r="16" spans="1:17" ht="15" customHeight="1">
      <c r="H16" s="26"/>
      <c r="I16" s="26"/>
      <c r="J16" s="26"/>
      <c r="K16" s="26"/>
      <c r="L16" s="26"/>
      <c r="M16" s="26"/>
      <c r="N16" s="26"/>
      <c r="O16" s="26"/>
      <c r="P16" s="26"/>
      <c r="Q16" s="26"/>
    </row>
    <row r="17" spans="1:17" ht="15" customHeight="1">
      <c r="H17" s="26"/>
      <c r="I17" s="26"/>
      <c r="J17" s="26"/>
      <c r="K17" s="26"/>
      <c r="L17" s="26"/>
      <c r="M17" s="26"/>
      <c r="N17" s="26"/>
      <c r="O17" s="26"/>
      <c r="P17" s="26"/>
      <c r="Q17" s="26"/>
    </row>
    <row r="18" spans="1:17" ht="15" customHeight="1">
      <c r="H18" s="26"/>
      <c r="I18" s="26"/>
      <c r="J18" s="26"/>
      <c r="K18" s="26"/>
      <c r="L18" s="26"/>
      <c r="M18" s="26"/>
      <c r="N18" s="26"/>
      <c r="O18" s="26"/>
      <c r="P18" s="26"/>
      <c r="Q18" s="26"/>
    </row>
    <row r="19" spans="1:17" ht="15" customHeight="1">
      <c r="H19" s="26"/>
      <c r="I19" s="26"/>
      <c r="J19" s="26"/>
      <c r="K19" s="26"/>
      <c r="L19" s="26"/>
      <c r="M19" s="26"/>
      <c r="N19" s="26"/>
      <c r="O19" s="26"/>
      <c r="P19" s="26"/>
      <c r="Q19" s="26"/>
    </row>
    <row r="20" spans="1:17" ht="15" customHeight="1">
      <c r="A20" s="8" t="s">
        <v>30</v>
      </c>
      <c r="H20" s="26"/>
      <c r="I20" s="26"/>
      <c r="J20" s="26"/>
      <c r="K20" s="26"/>
      <c r="L20" s="26"/>
      <c r="M20" s="26"/>
      <c r="N20" s="26"/>
      <c r="O20" s="26"/>
      <c r="P20" s="26"/>
      <c r="Q20" s="26"/>
    </row>
    <row r="21" spans="1:17">
      <c r="A21" t="s">
        <v>122</v>
      </c>
    </row>
    <row r="22" spans="1:17">
      <c r="G22">
        <v>3.5</v>
      </c>
    </row>
    <row r="23" spans="1:17">
      <c r="F23" t="s">
        <v>90</v>
      </c>
      <c r="G23">
        <v>300</v>
      </c>
    </row>
    <row r="24" spans="1:17">
      <c r="F24" t="s">
        <v>91</v>
      </c>
      <c r="G24">
        <f>G23/5</f>
        <v>60</v>
      </c>
    </row>
  </sheetData>
  <sortState ref="I2:J9">
    <sortCondition descending="1" ref="J9"/>
  </sortState>
  <mergeCells count="5">
    <mergeCell ref="H12:Q20"/>
    <mergeCell ref="A1:B1"/>
    <mergeCell ref="I1:J1"/>
    <mergeCell ref="A5:B5"/>
    <mergeCell ref="A9:B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6"/>
  <sheetViews>
    <sheetView workbookViewId="0">
      <selection activeCell="D7" sqref="D7"/>
    </sheetView>
  </sheetViews>
  <sheetFormatPr defaultRowHeight="14.4"/>
  <sheetData>
    <row r="1" spans="1:4" ht="23.4">
      <c r="A1" s="16" t="s">
        <v>115</v>
      </c>
    </row>
    <row r="3" spans="1:4">
      <c r="A3" t="s">
        <v>118</v>
      </c>
    </row>
    <row r="6" spans="1:4">
      <c r="A6" t="s">
        <v>132</v>
      </c>
      <c r="D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Base</vt:lpstr>
      <vt:lpstr>Zombi</vt:lpstr>
      <vt:lpstr>Sentinelle</vt:lpstr>
      <vt:lpstr>1</vt:lpstr>
      <vt:lpstr>2</vt:lpstr>
      <vt:lpstr>4</vt:lpstr>
      <vt:lpstr>5</vt:lpstr>
      <vt:lpstr>8</vt:lpstr>
      <vt:lpstr>9</vt:lpstr>
      <vt:lpstr>10</vt:lpstr>
      <vt:lpstr>11</vt:lpstr>
      <vt:lpstr>12</vt:lpstr>
      <vt:lpstr>Hallgate</vt:lpstr>
      <vt:lpstr>Sulla via del ritorno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2018-12-17T18:11:38Z</dcterms:modified>
</cp:coreProperties>
</file>