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Hp\Downloads\"/>
    </mc:Choice>
  </mc:AlternateContent>
  <xr:revisionPtr revIDLastSave="0" documentId="13_ncr:1_{F54F7DA6-5F17-4FED-8461-DF7B1D05A876}" xr6:coauthVersionLast="47" xr6:coauthVersionMax="47" xr10:uidLastSave="{00000000-0000-0000-0000-000000000000}"/>
  <bookViews>
    <workbookView xWindow="-120" yWindow="-120" windowWidth="29040" windowHeight="15720" xr2:uid="{00000000-000D-0000-FFFF-FFFF00000000}"/>
  </bookViews>
  <sheets>
    <sheet name="ProjectsListF24" sheetId="3" r:id="rId1"/>
    <sheet name="ForNewGCR" sheetId="6" state="hidden" r:id="rId2"/>
    <sheet name="Sheet12" sheetId="8" state="hidden" r:id="rId3"/>
    <sheet name="Tempuse" sheetId="9" state="hidden" r:id="rId4"/>
    <sheet name="TotalFYPLoadFall2024" sheetId="11" state="hidden" r:id="rId5"/>
    <sheet name="FYP_Pannel_Check" sheetId="14" state="hidden" r:id="rId6"/>
    <sheet name="FYP_Pannel_Check(people nt in p" sheetId="15" state="hidden" r:id="rId7"/>
  </sheets>
  <definedNames>
    <definedName name="_xlnm._FilterDatabase" localSheetId="0" hidden="1">ProjectsListF24!$D$1:$D$1000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36" i="15" l="1"/>
  <c r="B135" i="15"/>
  <c r="B134" i="15"/>
  <c r="B133" i="15"/>
  <c r="B132" i="15"/>
  <c r="B131" i="15"/>
  <c r="B130" i="15"/>
  <c r="B129" i="15"/>
  <c r="B128" i="15"/>
  <c r="B127" i="15"/>
  <c r="B126" i="15"/>
  <c r="B125" i="15"/>
  <c r="B124" i="15"/>
  <c r="B123" i="15"/>
  <c r="B122" i="15"/>
  <c r="B121" i="15"/>
  <c r="B120" i="15"/>
  <c r="B119" i="15"/>
  <c r="B118" i="15"/>
  <c r="B117" i="15"/>
  <c r="B116" i="15"/>
  <c r="B115" i="15"/>
  <c r="B114" i="15"/>
  <c r="B113" i="15"/>
  <c r="B112" i="15"/>
  <c r="B111" i="15"/>
  <c r="B110" i="15"/>
  <c r="B109" i="15"/>
  <c r="B108" i="15"/>
  <c r="B107" i="15"/>
  <c r="B106" i="15"/>
  <c r="B105" i="15"/>
  <c r="B104" i="15"/>
  <c r="B103" i="15"/>
  <c r="B102" i="15"/>
  <c r="B101" i="15"/>
  <c r="B100" i="15"/>
  <c r="B99" i="15"/>
  <c r="B98" i="15"/>
  <c r="B97" i="15"/>
  <c r="B96" i="15"/>
  <c r="B95" i="15"/>
  <c r="B94" i="15"/>
  <c r="B93" i="15"/>
  <c r="B92" i="15"/>
  <c r="B91" i="15"/>
  <c r="B90" i="15"/>
  <c r="B89" i="15"/>
  <c r="B88" i="15"/>
  <c r="B87" i="15"/>
  <c r="B86" i="15"/>
  <c r="B85" i="15"/>
  <c r="B84" i="15"/>
  <c r="B83" i="15"/>
  <c r="B82" i="15"/>
  <c r="B81" i="15"/>
  <c r="B80" i="15"/>
  <c r="B79" i="15"/>
  <c r="B78" i="15"/>
  <c r="B77" i="15"/>
  <c r="B76" i="15"/>
  <c r="B75" i="15"/>
  <c r="B74" i="15"/>
  <c r="B73" i="15"/>
  <c r="B72" i="15"/>
  <c r="B71" i="15"/>
  <c r="B70" i="15"/>
  <c r="B69" i="15"/>
  <c r="B68" i="15"/>
  <c r="B67" i="15"/>
  <c r="B66" i="15"/>
  <c r="B65" i="15"/>
  <c r="B64" i="15"/>
  <c r="B63" i="15"/>
  <c r="B62" i="15"/>
  <c r="B61" i="15"/>
  <c r="B60" i="15"/>
  <c r="B59" i="15"/>
  <c r="B58" i="15"/>
  <c r="B57" i="15"/>
  <c r="B56" i="15"/>
  <c r="B55" i="15"/>
  <c r="B54" i="15"/>
  <c r="B53" i="15"/>
  <c r="B52" i="15"/>
  <c r="B51" i="15"/>
  <c r="B50" i="15"/>
  <c r="B49" i="15"/>
  <c r="B48" i="15"/>
  <c r="B47" i="15"/>
  <c r="B46" i="15"/>
  <c r="B45" i="15"/>
  <c r="B44" i="15"/>
  <c r="B43" i="15"/>
  <c r="B42" i="15"/>
  <c r="B41" i="15"/>
  <c r="B40" i="15"/>
  <c r="B39" i="15"/>
  <c r="B38" i="15"/>
  <c r="B37" i="15"/>
  <c r="B36" i="15"/>
  <c r="B35" i="15"/>
  <c r="B34" i="15"/>
  <c r="B33" i="15"/>
  <c r="B32" i="15"/>
  <c r="B31" i="15"/>
  <c r="B30" i="15"/>
  <c r="B29" i="15"/>
  <c r="B28" i="15"/>
  <c r="B27" i="15"/>
  <c r="B26" i="15"/>
  <c r="B25" i="15"/>
  <c r="B24" i="15"/>
  <c r="B23" i="15"/>
  <c r="B22" i="15"/>
  <c r="B21" i="15"/>
  <c r="B20" i="15"/>
  <c r="B19" i="15"/>
  <c r="B18" i="15"/>
  <c r="B17" i="15"/>
  <c r="B16" i="15"/>
  <c r="B15" i="15"/>
  <c r="B14" i="15"/>
  <c r="B13" i="15"/>
  <c r="B12" i="15"/>
  <c r="B11" i="15"/>
  <c r="B10" i="15"/>
  <c r="B9" i="15"/>
  <c r="B8" i="15"/>
  <c r="B7" i="15"/>
  <c r="B6" i="15"/>
  <c r="B5" i="15"/>
  <c r="B4" i="15"/>
  <c r="B3" i="15"/>
  <c r="B2" i="15"/>
  <c r="B127" i="14"/>
  <c r="B126" i="14"/>
  <c r="B125" i="14"/>
  <c r="B124" i="14"/>
  <c r="B123" i="14"/>
  <c r="B122" i="14"/>
  <c r="B121" i="14"/>
  <c r="B120" i="14"/>
  <c r="B119" i="14"/>
  <c r="B118" i="14"/>
  <c r="B117" i="14"/>
  <c r="B116" i="14"/>
  <c r="B115" i="14"/>
  <c r="B114" i="14"/>
  <c r="B113" i="14"/>
  <c r="B112" i="14"/>
  <c r="B111" i="14"/>
  <c r="B110" i="14"/>
  <c r="B109" i="14"/>
  <c r="B108" i="14"/>
  <c r="B107" i="14"/>
  <c r="B106" i="14"/>
  <c r="B105" i="14"/>
  <c r="B104" i="14"/>
  <c r="B103" i="14"/>
  <c r="B102" i="14"/>
  <c r="B101" i="14"/>
  <c r="B100" i="14"/>
  <c r="B99" i="14"/>
  <c r="B98" i="14"/>
  <c r="B97" i="14"/>
  <c r="B96" i="14"/>
  <c r="B95" i="14"/>
  <c r="B94" i="14"/>
  <c r="B93" i="14"/>
  <c r="B92" i="14"/>
  <c r="B91" i="14"/>
  <c r="B90" i="14"/>
  <c r="B89" i="14"/>
  <c r="B88" i="14"/>
  <c r="B87" i="14"/>
  <c r="B86" i="14"/>
  <c r="B85" i="14"/>
  <c r="B84" i="14"/>
  <c r="B83" i="14"/>
  <c r="B82" i="14"/>
  <c r="B81" i="14"/>
  <c r="B80" i="14"/>
  <c r="B79" i="14"/>
  <c r="B78" i="14"/>
  <c r="B77" i="14"/>
  <c r="B76" i="14"/>
  <c r="B75" i="14"/>
  <c r="B74" i="14"/>
  <c r="B73" i="14"/>
  <c r="B72" i="14"/>
  <c r="B71" i="14"/>
  <c r="B70" i="14"/>
  <c r="B69" i="14"/>
  <c r="B68" i="14"/>
  <c r="B67" i="14"/>
  <c r="B66" i="14"/>
  <c r="B65" i="14"/>
  <c r="B64" i="14"/>
  <c r="B63" i="14"/>
  <c r="B62" i="14"/>
  <c r="B61" i="14"/>
  <c r="B60" i="14"/>
  <c r="B59" i="14"/>
  <c r="B58" i="14"/>
  <c r="B57" i="14"/>
  <c r="B56" i="14"/>
  <c r="B55" i="14"/>
  <c r="B54" i="14"/>
  <c r="B53" i="14"/>
  <c r="B52" i="14"/>
  <c r="B51" i="14"/>
  <c r="B50" i="14"/>
  <c r="B49" i="14"/>
  <c r="B48" i="14"/>
  <c r="B47" i="14"/>
  <c r="B46" i="14"/>
  <c r="B45" i="14"/>
  <c r="B44" i="14"/>
  <c r="B43" i="14"/>
  <c r="B42" i="14"/>
  <c r="B41" i="14"/>
  <c r="B40" i="14"/>
  <c r="B39" i="14"/>
  <c r="B38" i="14"/>
  <c r="B37" i="14"/>
  <c r="B36" i="14"/>
  <c r="B35" i="14"/>
  <c r="B34" i="14"/>
  <c r="B33" i="14"/>
  <c r="B32" i="14"/>
  <c r="B31" i="14"/>
  <c r="B30" i="14"/>
  <c r="B29" i="14"/>
  <c r="B28" i="14"/>
  <c r="B27" i="14"/>
  <c r="B26" i="14"/>
  <c r="B25" i="14"/>
  <c r="B24" i="14"/>
  <c r="B23" i="14"/>
  <c r="B22" i="14"/>
  <c r="B21" i="14"/>
  <c r="B20" i="14"/>
  <c r="B19" i="14"/>
  <c r="B18" i="14"/>
  <c r="B17" i="14"/>
  <c r="B16" i="14"/>
  <c r="B15" i="14"/>
  <c r="B14" i="14"/>
  <c r="B13" i="14"/>
  <c r="B12" i="14"/>
  <c r="B11" i="14"/>
  <c r="B10" i="14"/>
  <c r="B9" i="14"/>
  <c r="B8" i="14"/>
  <c r="B7" i="14"/>
  <c r="B6" i="14"/>
  <c r="B5" i="14"/>
  <c r="B4" i="14"/>
  <c r="B3" i="14"/>
  <c r="B2" i="14"/>
  <c r="D230" i="6"/>
  <c r="C230" i="6"/>
  <c r="B230" i="6"/>
  <c r="A230" i="6"/>
  <c r="D229" i="6"/>
  <c r="C229" i="6"/>
  <c r="B229" i="6"/>
  <c r="A229" i="6"/>
  <c r="D228" i="6"/>
  <c r="C228" i="6"/>
  <c r="B228" i="6"/>
  <c r="A228" i="6"/>
  <c r="D227" i="6"/>
  <c r="C227" i="6"/>
  <c r="B227" i="6"/>
  <c r="A227" i="6"/>
  <c r="D226" i="6"/>
  <c r="C226" i="6"/>
  <c r="B226" i="6"/>
  <c r="A226" i="6"/>
  <c r="D225" i="6"/>
  <c r="C225" i="6"/>
  <c r="B225" i="6"/>
  <c r="A225" i="6"/>
  <c r="D224" i="6"/>
  <c r="C224" i="6"/>
  <c r="B224" i="6"/>
  <c r="A224" i="6"/>
  <c r="D223" i="6"/>
  <c r="C223" i="6"/>
  <c r="B223" i="6"/>
  <c r="A223" i="6"/>
  <c r="D222" i="6"/>
  <c r="C222" i="6"/>
  <c r="B222" i="6"/>
  <c r="A222" i="6"/>
  <c r="D221" i="6"/>
  <c r="C221" i="6"/>
  <c r="B221" i="6"/>
  <c r="A221" i="6"/>
  <c r="D220" i="6"/>
  <c r="C220" i="6"/>
  <c r="B220" i="6"/>
  <c r="A220" i="6"/>
  <c r="D219" i="6"/>
  <c r="C219" i="6"/>
  <c r="B219" i="6"/>
  <c r="A219" i="6"/>
  <c r="D218" i="6"/>
  <c r="C218" i="6"/>
  <c r="B218" i="6"/>
  <c r="A218" i="6"/>
  <c r="D217" i="6"/>
  <c r="C217" i="6"/>
  <c r="B217" i="6"/>
  <c r="A217" i="6"/>
  <c r="D216" i="6"/>
  <c r="C216" i="6"/>
  <c r="B216" i="6"/>
  <c r="A216" i="6"/>
  <c r="D215" i="6"/>
  <c r="C215" i="6"/>
  <c r="B215" i="6"/>
  <c r="A215" i="6"/>
  <c r="D214" i="6"/>
  <c r="C214" i="6"/>
  <c r="B214" i="6"/>
  <c r="A214" i="6"/>
  <c r="D213" i="6"/>
  <c r="C213" i="6"/>
  <c r="B213" i="6"/>
  <c r="A213" i="6"/>
  <c r="D212" i="6"/>
  <c r="C212" i="6"/>
  <c r="B212" i="6"/>
  <c r="A212" i="6"/>
  <c r="D211" i="6"/>
  <c r="C211" i="6"/>
  <c r="B211" i="6"/>
  <c r="A211" i="6"/>
  <c r="D210" i="6"/>
  <c r="C210" i="6"/>
  <c r="B210" i="6"/>
  <c r="A210" i="6"/>
  <c r="D209" i="6"/>
  <c r="C209" i="6"/>
  <c r="B209" i="6"/>
  <c r="A209" i="6"/>
  <c r="D208" i="6"/>
  <c r="C208" i="6"/>
  <c r="B208" i="6"/>
  <c r="A208" i="6"/>
  <c r="D207" i="6"/>
  <c r="C207" i="6"/>
  <c r="B207" i="6"/>
  <c r="A207" i="6"/>
  <c r="D206" i="6"/>
  <c r="C206" i="6"/>
  <c r="B206" i="6"/>
  <c r="A206" i="6"/>
  <c r="D205" i="6"/>
  <c r="C205" i="6"/>
  <c r="B205" i="6"/>
  <c r="A205" i="6"/>
  <c r="D204" i="6"/>
  <c r="C204" i="6"/>
  <c r="B204" i="6"/>
  <c r="A204" i="6"/>
  <c r="D203" i="6"/>
  <c r="C203" i="6"/>
  <c r="B203" i="6"/>
  <c r="A203" i="6"/>
  <c r="D202" i="6"/>
  <c r="C202" i="6"/>
  <c r="B202" i="6"/>
  <c r="A202" i="6"/>
  <c r="D201" i="6"/>
  <c r="C201" i="6"/>
  <c r="B201" i="6"/>
  <c r="A201" i="6"/>
  <c r="D200" i="6"/>
  <c r="C200" i="6"/>
  <c r="B200" i="6"/>
  <c r="A200" i="6"/>
  <c r="D199" i="6"/>
  <c r="C199" i="6"/>
  <c r="B199" i="6"/>
  <c r="A199" i="6"/>
  <c r="D198" i="6"/>
  <c r="C198" i="6"/>
  <c r="B198" i="6"/>
  <c r="A198" i="6"/>
  <c r="D197" i="6"/>
  <c r="C197" i="6"/>
  <c r="B197" i="6"/>
  <c r="A197" i="6"/>
  <c r="D196" i="6"/>
  <c r="C196" i="6"/>
  <c r="B196" i="6"/>
  <c r="A196" i="6"/>
  <c r="D195" i="6"/>
  <c r="C195" i="6"/>
  <c r="B195" i="6"/>
  <c r="A195" i="6"/>
  <c r="D194" i="6"/>
  <c r="C194" i="6"/>
  <c r="B194" i="6"/>
  <c r="A194" i="6"/>
  <c r="D193" i="6"/>
  <c r="C193" i="6"/>
  <c r="B193" i="6"/>
  <c r="A193" i="6"/>
  <c r="D192" i="6"/>
  <c r="C192" i="6"/>
  <c r="B192" i="6"/>
  <c r="A192" i="6"/>
  <c r="D191" i="6"/>
  <c r="C191" i="6"/>
  <c r="B191" i="6"/>
  <c r="A191" i="6"/>
  <c r="D190" i="6"/>
  <c r="C190" i="6"/>
  <c r="B190" i="6"/>
  <c r="A190" i="6"/>
  <c r="D189" i="6"/>
  <c r="C189" i="6"/>
  <c r="B189" i="6"/>
  <c r="A189" i="6"/>
  <c r="D188" i="6"/>
  <c r="C188" i="6"/>
  <c r="B188" i="6"/>
  <c r="A188" i="6"/>
  <c r="D187" i="6"/>
  <c r="C187" i="6"/>
  <c r="B187" i="6"/>
  <c r="A187" i="6"/>
  <c r="D186" i="6"/>
  <c r="C186" i="6"/>
  <c r="B186" i="6"/>
  <c r="A186" i="6"/>
  <c r="D185" i="6"/>
  <c r="C185" i="6"/>
  <c r="B185" i="6"/>
  <c r="A185" i="6"/>
  <c r="D184" i="6"/>
  <c r="C184" i="6"/>
  <c r="B184" i="6"/>
  <c r="A184" i="6"/>
  <c r="D183" i="6"/>
  <c r="C183" i="6"/>
  <c r="B183" i="6"/>
  <c r="A183" i="6"/>
  <c r="D182" i="6"/>
  <c r="C182" i="6"/>
  <c r="B182" i="6"/>
  <c r="A182" i="6"/>
  <c r="D181" i="6"/>
  <c r="C181" i="6"/>
  <c r="B181" i="6"/>
  <c r="A181" i="6"/>
  <c r="D180" i="6"/>
  <c r="C180" i="6"/>
  <c r="B180" i="6"/>
  <c r="A180" i="6"/>
  <c r="D179" i="6"/>
  <c r="C179" i="6"/>
  <c r="B179" i="6"/>
  <c r="A179" i="6"/>
  <c r="D178" i="6"/>
  <c r="C178" i="6"/>
  <c r="B178" i="6"/>
  <c r="A178" i="6"/>
  <c r="D177" i="6"/>
  <c r="C177" i="6"/>
  <c r="B177" i="6"/>
  <c r="A177" i="6"/>
  <c r="D176" i="6"/>
  <c r="C176" i="6"/>
  <c r="B176" i="6"/>
  <c r="A176" i="6"/>
  <c r="D175" i="6"/>
  <c r="C175" i="6"/>
  <c r="B175" i="6"/>
  <c r="A175" i="6"/>
  <c r="D174" i="6"/>
  <c r="C174" i="6"/>
  <c r="B174" i="6"/>
  <c r="A174" i="6"/>
  <c r="D173" i="6"/>
  <c r="C173" i="6"/>
  <c r="B173" i="6"/>
  <c r="A173" i="6"/>
  <c r="D172" i="6"/>
  <c r="C172" i="6"/>
  <c r="B172" i="6"/>
  <c r="A172" i="6"/>
  <c r="D171" i="6"/>
  <c r="C171" i="6"/>
  <c r="B171" i="6"/>
  <c r="A171" i="6"/>
  <c r="D170" i="6"/>
  <c r="C170" i="6"/>
  <c r="B170" i="6"/>
  <c r="A170" i="6"/>
  <c r="D169" i="6"/>
  <c r="C169" i="6"/>
  <c r="B169" i="6"/>
  <c r="A169" i="6"/>
  <c r="D168" i="6"/>
  <c r="C168" i="6"/>
  <c r="B168" i="6"/>
  <c r="A168" i="6"/>
  <c r="D167" i="6"/>
  <c r="C167" i="6"/>
  <c r="B167" i="6"/>
  <c r="A167" i="6"/>
  <c r="D166" i="6"/>
  <c r="C166" i="6"/>
  <c r="B166" i="6"/>
  <c r="A166" i="6"/>
  <c r="D165" i="6"/>
  <c r="C165" i="6"/>
  <c r="B165" i="6"/>
  <c r="A165" i="6"/>
  <c r="D164" i="6"/>
  <c r="C164" i="6"/>
  <c r="B164" i="6"/>
  <c r="A164" i="6"/>
  <c r="D163" i="6"/>
  <c r="C163" i="6"/>
  <c r="B163" i="6"/>
  <c r="A163" i="6"/>
  <c r="D162" i="6"/>
  <c r="C162" i="6"/>
  <c r="B162" i="6"/>
  <c r="A162" i="6"/>
  <c r="D161" i="6"/>
  <c r="C161" i="6"/>
  <c r="B161" i="6"/>
  <c r="A161" i="6"/>
  <c r="D160" i="6"/>
  <c r="C160" i="6"/>
  <c r="B160" i="6"/>
  <c r="A160" i="6"/>
  <c r="D159" i="6"/>
  <c r="C159" i="6"/>
  <c r="B159" i="6"/>
  <c r="A159" i="6"/>
  <c r="D158" i="6"/>
  <c r="C158" i="6"/>
  <c r="B158" i="6"/>
  <c r="A158" i="6"/>
  <c r="D157" i="6"/>
  <c r="C157" i="6"/>
  <c r="B157" i="6"/>
  <c r="A157" i="6"/>
  <c r="D156" i="6"/>
  <c r="C156" i="6"/>
  <c r="B156" i="6"/>
  <c r="A156" i="6"/>
  <c r="D155" i="6"/>
  <c r="C155" i="6"/>
  <c r="B155" i="6"/>
  <c r="A155" i="6"/>
  <c r="D154" i="6"/>
  <c r="C154" i="6"/>
  <c r="B154" i="6"/>
  <c r="A154" i="6"/>
  <c r="D153" i="6"/>
  <c r="C153" i="6"/>
  <c r="B153" i="6"/>
  <c r="A153" i="6"/>
  <c r="D152" i="6"/>
  <c r="C152" i="6"/>
  <c r="B152" i="6"/>
  <c r="A152" i="6"/>
  <c r="D151" i="6"/>
  <c r="C151" i="6"/>
  <c r="B151" i="6"/>
  <c r="A151" i="6"/>
  <c r="D150" i="6"/>
  <c r="C150" i="6"/>
  <c r="B150" i="6"/>
  <c r="A150" i="6"/>
  <c r="D149" i="6"/>
  <c r="C149" i="6"/>
  <c r="B149" i="6"/>
  <c r="A149" i="6"/>
  <c r="D148" i="6"/>
  <c r="C148" i="6"/>
  <c r="B148" i="6"/>
  <c r="A148" i="6"/>
  <c r="D147" i="6"/>
  <c r="C147" i="6"/>
  <c r="B147" i="6"/>
  <c r="A147" i="6"/>
  <c r="D146" i="6"/>
  <c r="C146" i="6"/>
  <c r="B146" i="6"/>
  <c r="A146" i="6"/>
  <c r="D145" i="6"/>
  <c r="C145" i="6"/>
  <c r="B145" i="6"/>
  <c r="A145" i="6"/>
  <c r="D144" i="6"/>
  <c r="C144" i="6"/>
  <c r="B144" i="6"/>
  <c r="A144" i="6"/>
  <c r="D143" i="6"/>
  <c r="C143" i="6"/>
  <c r="B143" i="6"/>
  <c r="A143" i="6"/>
  <c r="D142" i="6"/>
  <c r="C142" i="6"/>
  <c r="B142" i="6"/>
  <c r="A142" i="6"/>
  <c r="D141" i="6"/>
  <c r="C141" i="6"/>
  <c r="B141" i="6"/>
  <c r="A141" i="6"/>
  <c r="D140" i="6"/>
  <c r="C140" i="6"/>
  <c r="B140" i="6"/>
  <c r="A140" i="6"/>
  <c r="D139" i="6"/>
  <c r="C139" i="6"/>
  <c r="B139" i="6"/>
  <c r="A139" i="6"/>
  <c r="D138" i="6"/>
  <c r="C138" i="6"/>
  <c r="B138" i="6"/>
  <c r="A138" i="6"/>
  <c r="D137" i="6"/>
  <c r="C137" i="6"/>
  <c r="B137" i="6"/>
  <c r="A137" i="6"/>
  <c r="D136" i="6"/>
  <c r="C136" i="6"/>
  <c r="B136" i="6"/>
  <c r="A136" i="6"/>
  <c r="D135" i="6"/>
  <c r="C135" i="6"/>
  <c r="B135" i="6"/>
  <c r="A135" i="6"/>
  <c r="D134" i="6"/>
  <c r="C134" i="6"/>
  <c r="B134" i="6"/>
  <c r="A134" i="6"/>
  <c r="D133" i="6"/>
  <c r="C133" i="6"/>
  <c r="B133" i="6"/>
  <c r="A133" i="6"/>
  <c r="D132" i="6"/>
  <c r="C132" i="6"/>
  <c r="B132" i="6"/>
  <c r="A132" i="6"/>
  <c r="D131" i="6"/>
  <c r="C131" i="6"/>
  <c r="B131" i="6"/>
  <c r="A131" i="6"/>
  <c r="D130" i="6"/>
  <c r="C130" i="6"/>
  <c r="B130" i="6"/>
  <c r="A130" i="6"/>
  <c r="D129" i="6"/>
  <c r="C129" i="6"/>
  <c r="B129" i="6"/>
  <c r="A129" i="6"/>
  <c r="D128" i="6"/>
  <c r="C128" i="6"/>
  <c r="B128" i="6"/>
  <c r="A128" i="6"/>
  <c r="D127" i="6"/>
  <c r="C127" i="6"/>
  <c r="B127" i="6"/>
  <c r="A127" i="6"/>
  <c r="D126" i="6"/>
  <c r="C126" i="6"/>
  <c r="B126" i="6"/>
  <c r="A126" i="6"/>
  <c r="D125" i="6"/>
  <c r="C125" i="6"/>
  <c r="B125" i="6"/>
  <c r="A125" i="6"/>
  <c r="D124" i="6"/>
  <c r="C124" i="6"/>
  <c r="B124" i="6"/>
  <c r="A124" i="6"/>
  <c r="D123" i="6"/>
  <c r="C123" i="6"/>
  <c r="B123" i="6"/>
  <c r="A123" i="6"/>
  <c r="D122" i="6"/>
  <c r="C122" i="6"/>
  <c r="B122" i="6"/>
  <c r="A122" i="6"/>
  <c r="D121" i="6"/>
  <c r="C121" i="6"/>
  <c r="B121" i="6"/>
  <c r="A121" i="6"/>
  <c r="D120" i="6"/>
  <c r="C120" i="6"/>
  <c r="B120" i="6"/>
  <c r="A120" i="6"/>
  <c r="D119" i="6"/>
  <c r="C119" i="6"/>
  <c r="B119" i="6"/>
  <c r="A119" i="6"/>
  <c r="D118" i="6"/>
  <c r="C118" i="6"/>
  <c r="B118" i="6"/>
  <c r="A118" i="6"/>
  <c r="D117" i="6"/>
  <c r="C117" i="6"/>
  <c r="B117" i="6"/>
  <c r="A117" i="6"/>
  <c r="D116" i="6"/>
  <c r="C116" i="6"/>
  <c r="B116" i="6"/>
  <c r="A116" i="6"/>
  <c r="D115" i="6"/>
  <c r="C115" i="6"/>
  <c r="B115" i="6"/>
  <c r="A115" i="6"/>
  <c r="D114" i="6"/>
  <c r="C114" i="6"/>
  <c r="B114" i="6"/>
  <c r="A114" i="6"/>
  <c r="D113" i="6"/>
  <c r="C113" i="6"/>
  <c r="B113" i="6"/>
  <c r="A113" i="6"/>
  <c r="D112" i="6"/>
  <c r="C112" i="6"/>
  <c r="B112" i="6"/>
  <c r="A112" i="6"/>
  <c r="D111" i="6"/>
  <c r="C111" i="6"/>
  <c r="B111" i="6"/>
  <c r="A111" i="6"/>
  <c r="D110" i="6"/>
  <c r="C110" i="6"/>
  <c r="B110" i="6"/>
  <c r="A110" i="6"/>
  <c r="D109" i="6"/>
  <c r="C109" i="6"/>
  <c r="B109" i="6"/>
  <c r="A109" i="6"/>
  <c r="D108" i="6"/>
  <c r="C108" i="6"/>
  <c r="B108" i="6"/>
  <c r="A108" i="6"/>
  <c r="D107" i="6"/>
  <c r="C107" i="6"/>
  <c r="B107" i="6"/>
  <c r="A107" i="6"/>
  <c r="D106" i="6"/>
  <c r="C106" i="6"/>
  <c r="B106" i="6"/>
  <c r="A106" i="6"/>
  <c r="D105" i="6"/>
  <c r="C105" i="6"/>
  <c r="B105" i="6"/>
  <c r="A105" i="6"/>
  <c r="D104" i="6"/>
  <c r="C104" i="6"/>
  <c r="B104" i="6"/>
  <c r="A104" i="6"/>
  <c r="D103" i="6"/>
  <c r="C103" i="6"/>
  <c r="B103" i="6"/>
  <c r="A103" i="6"/>
  <c r="D102" i="6"/>
  <c r="C102" i="6"/>
  <c r="B102" i="6"/>
  <c r="A102" i="6"/>
  <c r="D101" i="6"/>
  <c r="C101" i="6"/>
  <c r="B101" i="6"/>
  <c r="A101" i="6"/>
  <c r="D100" i="6"/>
  <c r="C100" i="6"/>
  <c r="B100" i="6"/>
  <c r="A100" i="6"/>
  <c r="D99" i="6"/>
  <c r="C99" i="6"/>
  <c r="B99" i="6"/>
  <c r="A99" i="6"/>
  <c r="D98" i="6"/>
  <c r="C98" i="6"/>
  <c r="B98" i="6"/>
  <c r="A98" i="6"/>
  <c r="D97" i="6"/>
  <c r="C97" i="6"/>
  <c r="B97" i="6"/>
  <c r="A97" i="6"/>
  <c r="D96" i="6"/>
  <c r="C96" i="6"/>
  <c r="B96" i="6"/>
  <c r="A96" i="6"/>
  <c r="D95" i="6"/>
  <c r="C95" i="6"/>
  <c r="B95" i="6"/>
  <c r="A95" i="6"/>
  <c r="D94" i="6"/>
  <c r="C94" i="6"/>
  <c r="B94" i="6"/>
  <c r="A94" i="6"/>
  <c r="D93" i="6"/>
  <c r="C93" i="6"/>
  <c r="B93" i="6"/>
  <c r="A93" i="6"/>
  <c r="D92" i="6"/>
  <c r="C92" i="6"/>
  <c r="B92" i="6"/>
  <c r="A92" i="6"/>
  <c r="D91" i="6"/>
  <c r="C91" i="6"/>
  <c r="B91" i="6"/>
  <c r="A91" i="6"/>
  <c r="D90" i="6"/>
  <c r="C90" i="6"/>
  <c r="B90" i="6"/>
  <c r="A90" i="6"/>
  <c r="D89" i="6"/>
  <c r="C89" i="6"/>
  <c r="B89" i="6"/>
  <c r="A89" i="6"/>
  <c r="D88" i="6"/>
  <c r="C88" i="6"/>
  <c r="B88" i="6"/>
  <c r="A88" i="6"/>
  <c r="D87" i="6"/>
  <c r="C87" i="6"/>
  <c r="B87" i="6"/>
  <c r="A87" i="6"/>
  <c r="D86" i="6"/>
  <c r="C86" i="6"/>
  <c r="B86" i="6"/>
  <c r="A86" i="6"/>
  <c r="D85" i="6"/>
  <c r="C85" i="6"/>
  <c r="B85" i="6"/>
  <c r="A85" i="6"/>
  <c r="D84" i="6"/>
  <c r="C84" i="6"/>
  <c r="B84" i="6"/>
  <c r="A84" i="6"/>
  <c r="D83" i="6"/>
  <c r="C83" i="6"/>
  <c r="B83" i="6"/>
  <c r="A83" i="6"/>
  <c r="D82" i="6"/>
  <c r="C82" i="6"/>
  <c r="B82" i="6"/>
  <c r="A82" i="6"/>
  <c r="D81" i="6"/>
  <c r="C81" i="6"/>
  <c r="B81" i="6"/>
  <c r="A81" i="6"/>
  <c r="D80" i="6"/>
  <c r="C80" i="6"/>
  <c r="B80" i="6"/>
  <c r="A80" i="6"/>
  <c r="D79" i="6"/>
  <c r="C79" i="6"/>
  <c r="B79" i="6"/>
  <c r="A79" i="6"/>
  <c r="D78" i="6"/>
  <c r="C78" i="6"/>
  <c r="B78" i="6"/>
  <c r="A78" i="6"/>
  <c r="D77" i="6"/>
  <c r="C77" i="6"/>
  <c r="B77" i="6"/>
  <c r="A77" i="6"/>
  <c r="D76" i="6"/>
  <c r="C76" i="6"/>
  <c r="B76" i="6"/>
  <c r="A76" i="6"/>
  <c r="D75" i="6"/>
  <c r="C75" i="6"/>
  <c r="B75" i="6"/>
  <c r="A75" i="6"/>
  <c r="D74" i="6"/>
  <c r="C74" i="6"/>
  <c r="B74" i="6"/>
  <c r="A74" i="6"/>
  <c r="D73" i="6"/>
  <c r="C73" i="6"/>
  <c r="B73" i="6"/>
  <c r="A73" i="6"/>
  <c r="D72" i="6"/>
  <c r="C72" i="6"/>
  <c r="B72" i="6"/>
  <c r="A72" i="6"/>
  <c r="D71" i="6"/>
  <c r="C71" i="6"/>
  <c r="B71" i="6"/>
  <c r="A71" i="6"/>
  <c r="D70" i="6"/>
  <c r="C70" i="6"/>
  <c r="B70" i="6"/>
  <c r="A70" i="6"/>
  <c r="D69" i="6"/>
  <c r="C69" i="6"/>
  <c r="B69" i="6"/>
  <c r="A69" i="6"/>
  <c r="D68" i="6"/>
  <c r="C68" i="6"/>
  <c r="B68" i="6"/>
  <c r="A68" i="6"/>
  <c r="D67" i="6"/>
  <c r="C67" i="6"/>
  <c r="B67" i="6"/>
  <c r="A67" i="6"/>
  <c r="D66" i="6"/>
  <c r="C66" i="6"/>
  <c r="B66" i="6"/>
  <c r="A66" i="6"/>
  <c r="D65" i="6"/>
  <c r="C65" i="6"/>
  <c r="B65" i="6"/>
  <c r="A65" i="6"/>
  <c r="D64" i="6"/>
  <c r="C64" i="6"/>
  <c r="B64" i="6"/>
  <c r="A64" i="6"/>
  <c r="D63" i="6"/>
  <c r="C63" i="6"/>
  <c r="B63" i="6"/>
  <c r="A63" i="6"/>
  <c r="D62" i="6"/>
  <c r="C62" i="6"/>
  <c r="B62" i="6"/>
  <c r="A62" i="6"/>
  <c r="D61" i="6"/>
  <c r="C61" i="6"/>
  <c r="B61" i="6"/>
  <c r="A61" i="6"/>
  <c r="D60" i="6"/>
  <c r="C60" i="6"/>
  <c r="B60" i="6"/>
  <c r="A60" i="6"/>
  <c r="D59" i="6"/>
  <c r="C59" i="6"/>
  <c r="B59" i="6"/>
  <c r="A59" i="6"/>
  <c r="D58" i="6"/>
  <c r="C58" i="6"/>
  <c r="B58" i="6"/>
  <c r="A58" i="6"/>
  <c r="D57" i="6"/>
  <c r="C57" i="6"/>
  <c r="B57" i="6"/>
  <c r="A57" i="6"/>
  <c r="D56" i="6"/>
  <c r="C56" i="6"/>
  <c r="B56" i="6"/>
  <c r="A56" i="6"/>
  <c r="D55" i="6"/>
  <c r="C55" i="6"/>
  <c r="B55" i="6"/>
  <c r="A55" i="6"/>
  <c r="D54" i="6"/>
  <c r="C54" i="6"/>
  <c r="B54" i="6"/>
  <c r="A54" i="6"/>
  <c r="D53" i="6"/>
  <c r="C53" i="6"/>
  <c r="B53" i="6"/>
  <c r="A53" i="6"/>
  <c r="D52" i="6"/>
  <c r="C52" i="6"/>
  <c r="B52" i="6"/>
  <c r="A52" i="6"/>
  <c r="D51" i="6"/>
  <c r="C51" i="6"/>
  <c r="B51" i="6"/>
  <c r="A51" i="6"/>
  <c r="D50" i="6"/>
  <c r="C50" i="6"/>
  <c r="B50" i="6"/>
  <c r="A50" i="6"/>
  <c r="D49" i="6"/>
  <c r="C49" i="6"/>
  <c r="B49" i="6"/>
  <c r="A49" i="6"/>
  <c r="D48" i="6"/>
  <c r="C48" i="6"/>
  <c r="B48" i="6"/>
  <c r="A48" i="6"/>
  <c r="D47" i="6"/>
  <c r="C47" i="6"/>
  <c r="B47" i="6"/>
  <c r="A47" i="6"/>
  <c r="D46" i="6"/>
  <c r="C46" i="6"/>
  <c r="B46" i="6"/>
  <c r="A46" i="6"/>
  <c r="D45" i="6"/>
  <c r="C45" i="6"/>
  <c r="B45" i="6"/>
  <c r="A45" i="6"/>
  <c r="D44" i="6"/>
  <c r="C44" i="6"/>
  <c r="B44" i="6"/>
  <c r="A44" i="6"/>
  <c r="D43" i="6"/>
  <c r="C43" i="6"/>
  <c r="B43" i="6"/>
  <c r="A43" i="6"/>
  <c r="D42" i="6"/>
  <c r="C42" i="6"/>
  <c r="B42" i="6"/>
  <c r="A42" i="6"/>
  <c r="D41" i="6"/>
  <c r="C41" i="6"/>
  <c r="B41" i="6"/>
  <c r="A41" i="6"/>
  <c r="D40" i="6"/>
  <c r="C40" i="6"/>
  <c r="B40" i="6"/>
  <c r="A40" i="6"/>
  <c r="D39" i="6"/>
  <c r="C39" i="6"/>
  <c r="B39" i="6"/>
  <c r="A39" i="6"/>
  <c r="D38" i="6"/>
  <c r="C38" i="6"/>
  <c r="B38" i="6"/>
  <c r="A38" i="6"/>
  <c r="D37" i="6"/>
  <c r="C37" i="6"/>
  <c r="B37" i="6"/>
  <c r="A37" i="6"/>
  <c r="D36" i="6"/>
  <c r="C36" i="6"/>
  <c r="B36" i="6"/>
  <c r="A36" i="6"/>
  <c r="D35" i="6"/>
  <c r="C35" i="6"/>
  <c r="B35" i="6"/>
  <c r="A35" i="6"/>
  <c r="D34" i="6"/>
  <c r="C34" i="6"/>
  <c r="B34" i="6"/>
  <c r="A34" i="6"/>
  <c r="D33" i="6"/>
  <c r="C33" i="6"/>
  <c r="B33" i="6"/>
  <c r="A33" i="6"/>
  <c r="D32" i="6"/>
  <c r="C32" i="6"/>
  <c r="B32" i="6"/>
  <c r="A32" i="6"/>
  <c r="D31" i="6"/>
  <c r="C31" i="6"/>
  <c r="B31" i="6"/>
  <c r="A31" i="6"/>
  <c r="D30" i="6"/>
  <c r="C30" i="6"/>
  <c r="B30" i="6"/>
  <c r="A30" i="6"/>
  <c r="D29" i="6"/>
  <c r="C29" i="6"/>
  <c r="B29" i="6"/>
  <c r="A29" i="6"/>
  <c r="D28" i="6"/>
  <c r="C28" i="6"/>
  <c r="B28" i="6"/>
  <c r="A28" i="6"/>
  <c r="D27" i="6"/>
  <c r="C27" i="6"/>
  <c r="B27" i="6"/>
  <c r="A27" i="6"/>
  <c r="D26" i="6"/>
  <c r="C26" i="6"/>
  <c r="B26" i="6"/>
  <c r="A26" i="6"/>
  <c r="D25" i="6"/>
  <c r="C25" i="6"/>
  <c r="B25" i="6"/>
  <c r="A25" i="6"/>
  <c r="D24" i="6"/>
  <c r="C24" i="6"/>
  <c r="B24" i="6"/>
  <c r="A24" i="6"/>
  <c r="D23" i="6"/>
  <c r="C23" i="6"/>
  <c r="B23" i="6"/>
  <c r="A23" i="6"/>
  <c r="D22" i="6"/>
  <c r="C22" i="6"/>
  <c r="B22" i="6"/>
  <c r="A22" i="6"/>
  <c r="D21" i="6"/>
  <c r="C21" i="6"/>
  <c r="B21" i="6"/>
  <c r="A21" i="6"/>
  <c r="D20" i="6"/>
  <c r="C20" i="6"/>
  <c r="B20" i="6"/>
  <c r="A20" i="6"/>
  <c r="D19" i="6"/>
  <c r="C19" i="6"/>
  <c r="B19" i="6"/>
  <c r="A19" i="6"/>
  <c r="D18" i="6"/>
  <c r="C18" i="6"/>
  <c r="B18" i="6"/>
  <c r="A18" i="6"/>
  <c r="D17" i="6"/>
  <c r="C17" i="6"/>
  <c r="B17" i="6"/>
  <c r="A17" i="6"/>
  <c r="D16" i="6"/>
  <c r="C16" i="6"/>
  <c r="B16" i="6"/>
  <c r="A16" i="6"/>
  <c r="D15" i="6"/>
  <c r="C15" i="6"/>
  <c r="B15" i="6"/>
  <c r="A15" i="6"/>
  <c r="D14" i="6"/>
  <c r="C14" i="6"/>
  <c r="B14" i="6"/>
  <c r="A14" i="6"/>
  <c r="D13" i="6"/>
  <c r="C13" i="6"/>
  <c r="B13" i="6"/>
  <c r="A13" i="6"/>
  <c r="D12" i="6"/>
  <c r="C12" i="6"/>
  <c r="B12" i="6"/>
  <c r="A12" i="6"/>
  <c r="D11" i="6"/>
  <c r="C11" i="6"/>
  <c r="B11" i="6"/>
  <c r="A11" i="6"/>
  <c r="D10" i="6"/>
  <c r="C10" i="6"/>
  <c r="B10" i="6"/>
  <c r="A10" i="6"/>
  <c r="D9" i="6"/>
  <c r="C9" i="6"/>
  <c r="B9" i="6"/>
  <c r="A9" i="6"/>
  <c r="D8" i="6"/>
  <c r="C8" i="6"/>
  <c r="B8" i="6"/>
  <c r="A8" i="6"/>
  <c r="D7" i="6"/>
  <c r="C7" i="6"/>
  <c r="B7" i="6"/>
  <c r="A7" i="6"/>
  <c r="D6" i="6"/>
  <c r="C6" i="6"/>
  <c r="B6" i="6"/>
  <c r="A6" i="6"/>
  <c r="D5" i="6"/>
  <c r="C5" i="6"/>
  <c r="B5" i="6"/>
  <c r="A5" i="6"/>
  <c r="D4" i="6"/>
  <c r="C4" i="6"/>
  <c r="B4" i="6"/>
  <c r="A4" i="6"/>
  <c r="D3" i="6"/>
  <c r="C3" i="6"/>
  <c r="B3" i="6"/>
  <c r="A3" i="6"/>
  <c r="D2" i="6"/>
  <c r="C2" i="6"/>
  <c r="B2" i="6"/>
  <c r="A2" i="6"/>
  <c r="D1" i="6"/>
  <c r="C1" i="6"/>
  <c r="B1" i="6"/>
  <c r="A1" i="6"/>
  <c r="K230" i="3"/>
  <c r="J230" i="3"/>
  <c r="I230" i="3"/>
  <c r="H230" i="3"/>
  <c r="G230" i="3"/>
  <c r="F230" i="3"/>
  <c r="E230" i="3"/>
  <c r="D230" i="3"/>
  <c r="C230" i="3"/>
  <c r="B230" i="3"/>
  <c r="A230" i="3"/>
  <c r="I229" i="3"/>
  <c r="H229" i="3"/>
  <c r="G229" i="3"/>
  <c r="F229" i="3"/>
  <c r="D229" i="3"/>
  <c r="C229" i="3"/>
  <c r="B229" i="3"/>
  <c r="A229" i="3"/>
  <c r="K228" i="3"/>
  <c r="J228" i="3"/>
  <c r="I228" i="3"/>
  <c r="H228" i="3"/>
  <c r="G228" i="3"/>
  <c r="F228" i="3"/>
  <c r="E228" i="3"/>
  <c r="D228" i="3"/>
  <c r="C228" i="3"/>
  <c r="B228" i="3"/>
  <c r="A228" i="3"/>
  <c r="I227" i="3"/>
  <c r="H227" i="3"/>
  <c r="G227" i="3"/>
  <c r="F227" i="3"/>
  <c r="E227" i="3"/>
  <c r="D227" i="3"/>
  <c r="C227" i="3"/>
  <c r="B227" i="3"/>
  <c r="A227" i="3"/>
  <c r="K226" i="3"/>
  <c r="J226" i="3"/>
  <c r="I226" i="3"/>
  <c r="H226" i="3"/>
  <c r="G226" i="3"/>
  <c r="F226" i="3"/>
  <c r="D226" i="3"/>
  <c r="C226" i="3"/>
  <c r="B226" i="3"/>
  <c r="A226" i="3"/>
  <c r="K225" i="3"/>
  <c r="J225" i="3"/>
  <c r="I225" i="3"/>
  <c r="H225" i="3"/>
  <c r="G225" i="3"/>
  <c r="F225" i="3"/>
  <c r="E225" i="3"/>
  <c r="D225" i="3"/>
  <c r="C225" i="3"/>
  <c r="B225" i="3"/>
  <c r="A225" i="3"/>
  <c r="K224" i="3"/>
  <c r="J224" i="3"/>
  <c r="I224" i="3"/>
  <c r="H224" i="3"/>
  <c r="G224" i="3"/>
  <c r="F224" i="3"/>
  <c r="D224" i="3"/>
  <c r="C224" i="3"/>
  <c r="B224" i="3"/>
  <c r="A224" i="3"/>
  <c r="K223" i="3"/>
  <c r="J223" i="3"/>
  <c r="I223" i="3"/>
  <c r="H223" i="3"/>
  <c r="G223" i="3"/>
  <c r="F223" i="3"/>
  <c r="E223" i="3"/>
  <c r="D223" i="3"/>
  <c r="C223" i="3"/>
  <c r="B223" i="3"/>
  <c r="A223" i="3"/>
  <c r="K222" i="3"/>
  <c r="J222" i="3"/>
  <c r="I222" i="3"/>
  <c r="H222" i="3"/>
  <c r="G222" i="3"/>
  <c r="F222" i="3"/>
  <c r="D222" i="3"/>
  <c r="C222" i="3"/>
  <c r="B222" i="3"/>
  <c r="A222" i="3"/>
  <c r="K221" i="3"/>
  <c r="J221" i="3"/>
  <c r="I221" i="3"/>
  <c r="H221" i="3"/>
  <c r="G221" i="3"/>
  <c r="F221" i="3"/>
  <c r="D221" i="3"/>
  <c r="C221" i="3"/>
  <c r="B221" i="3"/>
  <c r="A221" i="3"/>
  <c r="K220" i="3"/>
  <c r="J220" i="3"/>
  <c r="I220" i="3"/>
  <c r="H220" i="3"/>
  <c r="G220" i="3"/>
  <c r="F220" i="3"/>
  <c r="D220" i="3"/>
  <c r="C220" i="3"/>
  <c r="B220" i="3"/>
  <c r="A220" i="3"/>
  <c r="K219" i="3"/>
  <c r="J219" i="3"/>
  <c r="I219" i="3"/>
  <c r="H219" i="3"/>
  <c r="G219" i="3"/>
  <c r="F219" i="3"/>
  <c r="D219" i="3"/>
  <c r="C219" i="3"/>
  <c r="B219" i="3"/>
  <c r="A219" i="3"/>
  <c r="K218" i="3"/>
  <c r="J218" i="3"/>
  <c r="I218" i="3"/>
  <c r="H218" i="3"/>
  <c r="G218" i="3"/>
  <c r="F218" i="3"/>
  <c r="D218" i="3"/>
  <c r="C218" i="3"/>
  <c r="B218" i="3"/>
  <c r="A218" i="3"/>
  <c r="K217" i="3"/>
  <c r="J217" i="3"/>
  <c r="I217" i="3"/>
  <c r="H217" i="3"/>
  <c r="G217" i="3"/>
  <c r="F217" i="3"/>
  <c r="D217" i="3"/>
  <c r="C217" i="3"/>
  <c r="B217" i="3"/>
  <c r="A217" i="3"/>
  <c r="I216" i="3"/>
  <c r="H216" i="3"/>
  <c r="G216" i="3"/>
  <c r="F216" i="3"/>
  <c r="E216" i="3"/>
  <c r="D216" i="3"/>
  <c r="C216" i="3"/>
  <c r="B216" i="3"/>
  <c r="A216" i="3"/>
  <c r="K215" i="3"/>
  <c r="J215" i="3"/>
  <c r="I215" i="3"/>
  <c r="H215" i="3"/>
  <c r="G215" i="3"/>
  <c r="F215" i="3"/>
  <c r="E215" i="3"/>
  <c r="D215" i="3"/>
  <c r="C215" i="3"/>
  <c r="B215" i="3"/>
  <c r="A215" i="3"/>
  <c r="K214" i="3"/>
  <c r="J214" i="3"/>
  <c r="I214" i="3"/>
  <c r="H214" i="3"/>
  <c r="G214" i="3"/>
  <c r="F214" i="3"/>
  <c r="E214" i="3"/>
  <c r="D214" i="3"/>
  <c r="C214" i="3"/>
  <c r="B214" i="3"/>
  <c r="A214" i="3"/>
  <c r="K213" i="3"/>
  <c r="J213" i="3"/>
  <c r="I213" i="3"/>
  <c r="H213" i="3"/>
  <c r="G213" i="3"/>
  <c r="F213" i="3"/>
  <c r="E213" i="3"/>
  <c r="D213" i="3"/>
  <c r="C213" i="3"/>
  <c r="B213" i="3"/>
  <c r="A213" i="3"/>
  <c r="K212" i="3"/>
  <c r="J212" i="3"/>
  <c r="I212" i="3"/>
  <c r="H212" i="3"/>
  <c r="G212" i="3"/>
  <c r="F212" i="3"/>
  <c r="D212" i="3"/>
  <c r="C212" i="3"/>
  <c r="B212" i="3"/>
  <c r="A212" i="3"/>
  <c r="K211" i="3"/>
  <c r="J211" i="3"/>
  <c r="I211" i="3"/>
  <c r="H211" i="3"/>
  <c r="G211" i="3"/>
  <c r="F211" i="3"/>
  <c r="E211" i="3"/>
  <c r="D211" i="3"/>
  <c r="C211" i="3"/>
  <c r="B211" i="3"/>
  <c r="A211" i="3"/>
  <c r="K210" i="3"/>
  <c r="J210" i="3"/>
  <c r="I210" i="3"/>
  <c r="H210" i="3"/>
  <c r="G210" i="3"/>
  <c r="F210" i="3"/>
  <c r="E210" i="3"/>
  <c r="D210" i="3"/>
  <c r="C210" i="3"/>
  <c r="B210" i="3"/>
  <c r="A210" i="3"/>
  <c r="K209" i="3"/>
  <c r="J209" i="3"/>
  <c r="I209" i="3"/>
  <c r="H209" i="3"/>
  <c r="G209" i="3"/>
  <c r="F209" i="3"/>
  <c r="D209" i="3"/>
  <c r="C209" i="3"/>
  <c r="B209" i="3"/>
  <c r="A209" i="3"/>
  <c r="K208" i="3"/>
  <c r="J208" i="3"/>
  <c r="I208" i="3"/>
  <c r="H208" i="3"/>
  <c r="G208" i="3"/>
  <c r="F208" i="3"/>
  <c r="D208" i="3"/>
  <c r="C208" i="3"/>
  <c r="B208" i="3"/>
  <c r="A208" i="3"/>
  <c r="K207" i="3"/>
  <c r="J207" i="3"/>
  <c r="I207" i="3"/>
  <c r="H207" i="3"/>
  <c r="G207" i="3"/>
  <c r="F207" i="3"/>
  <c r="D207" i="3"/>
  <c r="C207" i="3"/>
  <c r="B207" i="3"/>
  <c r="A207" i="3"/>
  <c r="I206" i="3"/>
  <c r="H206" i="3"/>
  <c r="G206" i="3"/>
  <c r="F206" i="3"/>
  <c r="D206" i="3"/>
  <c r="C206" i="3"/>
  <c r="B206" i="3"/>
  <c r="A206" i="3"/>
  <c r="K205" i="3"/>
  <c r="J205" i="3"/>
  <c r="I205" i="3"/>
  <c r="H205" i="3"/>
  <c r="G205" i="3"/>
  <c r="F205" i="3"/>
  <c r="E205" i="3"/>
  <c r="D205" i="3"/>
  <c r="C205" i="3"/>
  <c r="B205" i="3"/>
  <c r="A205" i="3"/>
  <c r="I204" i="3"/>
  <c r="H204" i="3"/>
  <c r="G204" i="3"/>
  <c r="F204" i="3"/>
  <c r="D204" i="3"/>
  <c r="C204" i="3"/>
  <c r="B204" i="3"/>
  <c r="A204" i="3"/>
  <c r="K203" i="3"/>
  <c r="J203" i="3"/>
  <c r="I203" i="3"/>
  <c r="H203" i="3"/>
  <c r="G203" i="3"/>
  <c r="F203" i="3"/>
  <c r="E203" i="3"/>
  <c r="D203" i="3"/>
  <c r="C203" i="3"/>
  <c r="B203" i="3"/>
  <c r="A203" i="3"/>
  <c r="K202" i="3"/>
  <c r="J202" i="3"/>
  <c r="I202" i="3"/>
  <c r="H202" i="3"/>
  <c r="G202" i="3"/>
  <c r="F202" i="3"/>
  <c r="D202" i="3"/>
  <c r="C202" i="3"/>
  <c r="B202" i="3"/>
  <c r="A202" i="3"/>
  <c r="K201" i="3"/>
  <c r="J201" i="3"/>
  <c r="I201" i="3"/>
  <c r="H201" i="3"/>
  <c r="G201" i="3"/>
  <c r="F201" i="3"/>
  <c r="E201" i="3"/>
  <c r="D201" i="3"/>
  <c r="C201" i="3"/>
  <c r="B201" i="3"/>
  <c r="A201" i="3"/>
  <c r="K200" i="3"/>
  <c r="J200" i="3"/>
  <c r="I200" i="3"/>
  <c r="H200" i="3"/>
  <c r="G200" i="3"/>
  <c r="F200" i="3"/>
  <c r="D200" i="3"/>
  <c r="C200" i="3"/>
  <c r="B200" i="3"/>
  <c r="A200" i="3"/>
  <c r="K199" i="3"/>
  <c r="J199" i="3"/>
  <c r="I199" i="3"/>
  <c r="H199" i="3"/>
  <c r="G199" i="3"/>
  <c r="F199" i="3"/>
  <c r="D199" i="3"/>
  <c r="C199" i="3"/>
  <c r="B199" i="3"/>
  <c r="A199" i="3"/>
  <c r="K198" i="3"/>
  <c r="J198" i="3"/>
  <c r="I198" i="3"/>
  <c r="H198" i="3"/>
  <c r="G198" i="3"/>
  <c r="F198" i="3"/>
  <c r="D198" i="3"/>
  <c r="C198" i="3"/>
  <c r="B198" i="3"/>
  <c r="A198" i="3"/>
  <c r="K197" i="3"/>
  <c r="J197" i="3"/>
  <c r="I197" i="3"/>
  <c r="H197" i="3"/>
  <c r="G197" i="3"/>
  <c r="F197" i="3"/>
  <c r="D197" i="3"/>
  <c r="C197" i="3"/>
  <c r="B197" i="3"/>
  <c r="A197" i="3"/>
  <c r="K196" i="3"/>
  <c r="J196" i="3"/>
  <c r="I196" i="3"/>
  <c r="H196" i="3"/>
  <c r="G196" i="3"/>
  <c r="F196" i="3"/>
  <c r="E196" i="3"/>
  <c r="D196" i="3"/>
  <c r="C196" i="3"/>
  <c r="B196" i="3"/>
  <c r="A196" i="3"/>
  <c r="K195" i="3"/>
  <c r="J195" i="3"/>
  <c r="I195" i="3"/>
  <c r="H195" i="3"/>
  <c r="G195" i="3"/>
  <c r="F195" i="3"/>
  <c r="D195" i="3"/>
  <c r="C195" i="3"/>
  <c r="B195" i="3"/>
  <c r="A195" i="3"/>
  <c r="K194" i="3"/>
  <c r="J194" i="3"/>
  <c r="I194" i="3"/>
  <c r="H194" i="3"/>
  <c r="G194" i="3"/>
  <c r="F194" i="3"/>
  <c r="E194" i="3"/>
  <c r="D194" i="3"/>
  <c r="C194" i="3"/>
  <c r="B194" i="3"/>
  <c r="A194" i="3"/>
  <c r="K193" i="3"/>
  <c r="J193" i="3"/>
  <c r="I193" i="3"/>
  <c r="H193" i="3"/>
  <c r="G193" i="3"/>
  <c r="F193" i="3"/>
  <c r="D193" i="3"/>
  <c r="C193" i="3"/>
  <c r="B193" i="3"/>
  <c r="A193" i="3"/>
  <c r="K192" i="3"/>
  <c r="J192" i="3"/>
  <c r="I192" i="3"/>
  <c r="H192" i="3"/>
  <c r="G192" i="3"/>
  <c r="F192" i="3"/>
  <c r="D192" i="3"/>
  <c r="C192" i="3"/>
  <c r="B192" i="3"/>
  <c r="A192" i="3"/>
  <c r="K191" i="3"/>
  <c r="J191" i="3"/>
  <c r="I191" i="3"/>
  <c r="H191" i="3"/>
  <c r="G191" i="3"/>
  <c r="F191" i="3"/>
  <c r="E191" i="3"/>
  <c r="D191" i="3"/>
  <c r="C191" i="3"/>
  <c r="B191" i="3"/>
  <c r="A191" i="3"/>
  <c r="K190" i="3"/>
  <c r="J190" i="3"/>
  <c r="I190" i="3"/>
  <c r="H190" i="3"/>
  <c r="G190" i="3"/>
  <c r="F190" i="3"/>
  <c r="D190" i="3"/>
  <c r="C190" i="3"/>
  <c r="B190" i="3"/>
  <c r="A190" i="3"/>
  <c r="K189" i="3"/>
  <c r="J189" i="3"/>
  <c r="I189" i="3"/>
  <c r="H189" i="3"/>
  <c r="G189" i="3"/>
  <c r="F189" i="3"/>
  <c r="E189" i="3"/>
  <c r="D189" i="3"/>
  <c r="C189" i="3"/>
  <c r="B189" i="3"/>
  <c r="A189" i="3"/>
  <c r="I188" i="3"/>
  <c r="H188" i="3"/>
  <c r="G188" i="3"/>
  <c r="F188" i="3"/>
  <c r="D188" i="3"/>
  <c r="C188" i="3"/>
  <c r="B188" i="3"/>
  <c r="A188" i="3"/>
  <c r="K187" i="3"/>
  <c r="J187" i="3"/>
  <c r="I187" i="3"/>
  <c r="H187" i="3"/>
  <c r="G187" i="3"/>
  <c r="F187" i="3"/>
  <c r="D187" i="3"/>
  <c r="C187" i="3"/>
  <c r="B187" i="3"/>
  <c r="A187" i="3"/>
  <c r="K186" i="3"/>
  <c r="J186" i="3"/>
  <c r="I186" i="3"/>
  <c r="H186" i="3"/>
  <c r="G186" i="3"/>
  <c r="F186" i="3"/>
  <c r="D186" i="3"/>
  <c r="C186" i="3"/>
  <c r="B186" i="3"/>
  <c r="A186" i="3"/>
  <c r="K185" i="3"/>
  <c r="J185" i="3"/>
  <c r="I185" i="3"/>
  <c r="H185" i="3"/>
  <c r="G185" i="3"/>
  <c r="F185" i="3"/>
  <c r="E185" i="3"/>
  <c r="D185" i="3"/>
  <c r="C185" i="3"/>
  <c r="B185" i="3"/>
  <c r="A185" i="3"/>
  <c r="K184" i="3"/>
  <c r="J184" i="3"/>
  <c r="I184" i="3"/>
  <c r="H184" i="3"/>
  <c r="G184" i="3"/>
  <c r="F184" i="3"/>
  <c r="D184" i="3"/>
  <c r="C184" i="3"/>
  <c r="B184" i="3"/>
  <c r="A184" i="3"/>
  <c r="K183" i="3"/>
  <c r="J183" i="3"/>
  <c r="I183" i="3"/>
  <c r="H183" i="3"/>
  <c r="G183" i="3"/>
  <c r="F183" i="3"/>
  <c r="D183" i="3"/>
  <c r="C183" i="3"/>
  <c r="B183" i="3"/>
  <c r="A183" i="3"/>
  <c r="I182" i="3"/>
  <c r="H182" i="3"/>
  <c r="G182" i="3"/>
  <c r="F182" i="3"/>
  <c r="E182" i="3"/>
  <c r="D182" i="3"/>
  <c r="C182" i="3"/>
  <c r="B182" i="3"/>
  <c r="A182" i="3"/>
  <c r="K181" i="3"/>
  <c r="J181" i="3"/>
  <c r="I181" i="3"/>
  <c r="H181" i="3"/>
  <c r="G181" i="3"/>
  <c r="F181" i="3"/>
  <c r="D181" i="3"/>
  <c r="C181" i="3"/>
  <c r="B181" i="3"/>
  <c r="A181" i="3"/>
  <c r="K180" i="3"/>
  <c r="J180" i="3"/>
  <c r="I180" i="3"/>
  <c r="H180" i="3"/>
  <c r="G180" i="3"/>
  <c r="F180" i="3"/>
  <c r="D180" i="3"/>
  <c r="C180" i="3"/>
  <c r="B180" i="3"/>
  <c r="A180" i="3"/>
  <c r="K179" i="3"/>
  <c r="J179" i="3"/>
  <c r="I179" i="3"/>
  <c r="H179" i="3"/>
  <c r="G179" i="3"/>
  <c r="F179" i="3"/>
  <c r="D179" i="3"/>
  <c r="C179" i="3"/>
  <c r="B179" i="3"/>
  <c r="A179" i="3"/>
  <c r="K178" i="3"/>
  <c r="J178" i="3"/>
  <c r="I178" i="3"/>
  <c r="H178" i="3"/>
  <c r="G178" i="3"/>
  <c r="F178" i="3"/>
  <c r="D178" i="3"/>
  <c r="C178" i="3"/>
  <c r="B178" i="3"/>
  <c r="A178" i="3"/>
  <c r="K177" i="3"/>
  <c r="J177" i="3"/>
  <c r="I177" i="3"/>
  <c r="H177" i="3"/>
  <c r="G177" i="3"/>
  <c r="F177" i="3"/>
  <c r="E177" i="3"/>
  <c r="D177" i="3"/>
  <c r="C177" i="3"/>
  <c r="B177" i="3"/>
  <c r="A177" i="3"/>
  <c r="K176" i="3"/>
  <c r="J176" i="3"/>
  <c r="I176" i="3"/>
  <c r="H176" i="3"/>
  <c r="G176" i="3"/>
  <c r="F176" i="3"/>
  <c r="E176" i="3"/>
  <c r="D176" i="3"/>
  <c r="C176" i="3"/>
  <c r="B176" i="3"/>
  <c r="A176" i="3"/>
  <c r="K175" i="3"/>
  <c r="J175" i="3"/>
  <c r="I175" i="3"/>
  <c r="H175" i="3"/>
  <c r="G175" i="3"/>
  <c r="F175" i="3"/>
  <c r="D175" i="3"/>
  <c r="C175" i="3"/>
  <c r="B175" i="3"/>
  <c r="A175" i="3"/>
  <c r="K174" i="3"/>
  <c r="J174" i="3"/>
  <c r="I174" i="3"/>
  <c r="H174" i="3"/>
  <c r="G174" i="3"/>
  <c r="F174" i="3"/>
  <c r="D174" i="3"/>
  <c r="C174" i="3"/>
  <c r="B174" i="3"/>
  <c r="A174" i="3"/>
  <c r="K173" i="3"/>
  <c r="J173" i="3"/>
  <c r="I173" i="3"/>
  <c r="H173" i="3"/>
  <c r="G173" i="3"/>
  <c r="F173" i="3"/>
  <c r="E173" i="3"/>
  <c r="D173" i="3"/>
  <c r="C173" i="3"/>
  <c r="B173" i="3"/>
  <c r="A173" i="3"/>
  <c r="K172" i="3"/>
  <c r="J172" i="3"/>
  <c r="I172" i="3"/>
  <c r="H172" i="3"/>
  <c r="G172" i="3"/>
  <c r="F172" i="3"/>
  <c r="D172" i="3"/>
  <c r="C172" i="3"/>
  <c r="B172" i="3"/>
  <c r="A172" i="3"/>
  <c r="K171" i="3"/>
  <c r="J171" i="3"/>
  <c r="I171" i="3"/>
  <c r="H171" i="3"/>
  <c r="G171" i="3"/>
  <c r="F171" i="3"/>
  <c r="D171" i="3"/>
  <c r="C171" i="3"/>
  <c r="B171" i="3"/>
  <c r="A171" i="3"/>
  <c r="K170" i="3"/>
  <c r="J170" i="3"/>
  <c r="I170" i="3"/>
  <c r="H170" i="3"/>
  <c r="G170" i="3"/>
  <c r="F170" i="3"/>
  <c r="E170" i="3"/>
  <c r="D170" i="3"/>
  <c r="C170" i="3"/>
  <c r="B170" i="3"/>
  <c r="A170" i="3"/>
  <c r="K169" i="3"/>
  <c r="J169" i="3"/>
  <c r="I169" i="3"/>
  <c r="H169" i="3"/>
  <c r="G169" i="3"/>
  <c r="F169" i="3"/>
  <c r="D169" i="3"/>
  <c r="C169" i="3"/>
  <c r="B169" i="3"/>
  <c r="A169" i="3"/>
  <c r="K168" i="3"/>
  <c r="J168" i="3"/>
  <c r="I168" i="3"/>
  <c r="H168" i="3"/>
  <c r="G168" i="3"/>
  <c r="F168" i="3"/>
  <c r="D168" i="3"/>
  <c r="C168" i="3"/>
  <c r="B168" i="3"/>
  <c r="A168" i="3"/>
  <c r="K167" i="3"/>
  <c r="J167" i="3"/>
  <c r="I167" i="3"/>
  <c r="H167" i="3"/>
  <c r="G167" i="3"/>
  <c r="F167" i="3"/>
  <c r="E167" i="3"/>
  <c r="D167" i="3"/>
  <c r="C167" i="3"/>
  <c r="B167" i="3"/>
  <c r="A167" i="3"/>
  <c r="K166" i="3"/>
  <c r="J166" i="3"/>
  <c r="I166" i="3"/>
  <c r="H166" i="3"/>
  <c r="G166" i="3"/>
  <c r="F166" i="3"/>
  <c r="D166" i="3"/>
  <c r="C166" i="3"/>
  <c r="B166" i="3"/>
  <c r="A166" i="3"/>
  <c r="K165" i="3"/>
  <c r="J165" i="3"/>
  <c r="I165" i="3"/>
  <c r="H165" i="3"/>
  <c r="G165" i="3"/>
  <c r="F165" i="3"/>
  <c r="D165" i="3"/>
  <c r="C165" i="3"/>
  <c r="B165" i="3"/>
  <c r="A165" i="3"/>
  <c r="K164" i="3"/>
  <c r="J164" i="3"/>
  <c r="I164" i="3"/>
  <c r="H164" i="3"/>
  <c r="G164" i="3"/>
  <c r="F164" i="3"/>
  <c r="E164" i="3"/>
  <c r="D164" i="3"/>
  <c r="C164" i="3"/>
  <c r="B164" i="3"/>
  <c r="A164" i="3"/>
  <c r="I163" i="3"/>
  <c r="H163" i="3"/>
  <c r="G163" i="3"/>
  <c r="F163" i="3"/>
  <c r="E163" i="3"/>
  <c r="D163" i="3"/>
  <c r="C163" i="3"/>
  <c r="B163" i="3"/>
  <c r="A163" i="3"/>
  <c r="K162" i="3"/>
  <c r="J162" i="3"/>
  <c r="I162" i="3"/>
  <c r="H162" i="3"/>
  <c r="G162" i="3"/>
  <c r="F162" i="3"/>
  <c r="D162" i="3"/>
  <c r="C162" i="3"/>
  <c r="B162" i="3"/>
  <c r="A162" i="3"/>
  <c r="K161" i="3"/>
  <c r="J161" i="3"/>
  <c r="I161" i="3"/>
  <c r="H161" i="3"/>
  <c r="G161" i="3"/>
  <c r="F161" i="3"/>
  <c r="D161" i="3"/>
  <c r="C161" i="3"/>
  <c r="B161" i="3"/>
  <c r="A161" i="3"/>
  <c r="K160" i="3"/>
  <c r="J160" i="3"/>
  <c r="I160" i="3"/>
  <c r="H160" i="3"/>
  <c r="G160" i="3"/>
  <c r="F160" i="3"/>
  <c r="E160" i="3"/>
  <c r="D160" i="3"/>
  <c r="C160" i="3"/>
  <c r="B160" i="3"/>
  <c r="A160" i="3"/>
  <c r="K159" i="3"/>
  <c r="J159" i="3"/>
  <c r="I159" i="3"/>
  <c r="H159" i="3"/>
  <c r="G159" i="3"/>
  <c r="F159" i="3"/>
  <c r="D159" i="3"/>
  <c r="C159" i="3"/>
  <c r="B159" i="3"/>
  <c r="A159" i="3"/>
  <c r="K158" i="3"/>
  <c r="J158" i="3"/>
  <c r="I158" i="3"/>
  <c r="H158" i="3"/>
  <c r="G158" i="3"/>
  <c r="F158" i="3"/>
  <c r="E158" i="3"/>
  <c r="D158" i="3"/>
  <c r="C158" i="3"/>
  <c r="B158" i="3"/>
  <c r="A158" i="3"/>
  <c r="K157" i="3"/>
  <c r="J157" i="3"/>
  <c r="I157" i="3"/>
  <c r="H157" i="3"/>
  <c r="G157" i="3"/>
  <c r="F157" i="3"/>
  <c r="E157" i="3"/>
  <c r="D157" i="3"/>
  <c r="C157" i="3"/>
  <c r="B157" i="3"/>
  <c r="A157" i="3"/>
  <c r="K156" i="3"/>
  <c r="J156" i="3"/>
  <c r="I156" i="3"/>
  <c r="H156" i="3"/>
  <c r="G156" i="3"/>
  <c r="F156" i="3"/>
  <c r="E156" i="3"/>
  <c r="D156" i="3"/>
  <c r="C156" i="3"/>
  <c r="B156" i="3"/>
  <c r="A156" i="3"/>
  <c r="K155" i="3"/>
  <c r="J155" i="3"/>
  <c r="I155" i="3"/>
  <c r="H155" i="3"/>
  <c r="G155" i="3"/>
  <c r="F155" i="3"/>
  <c r="D155" i="3"/>
  <c r="C155" i="3"/>
  <c r="B155" i="3"/>
  <c r="A155" i="3"/>
  <c r="K154" i="3"/>
  <c r="J154" i="3"/>
  <c r="I154" i="3"/>
  <c r="H154" i="3"/>
  <c r="G154" i="3"/>
  <c r="F154" i="3"/>
  <c r="D154" i="3"/>
  <c r="C154" i="3"/>
  <c r="B154" i="3"/>
  <c r="A154" i="3"/>
  <c r="K153" i="3"/>
  <c r="J153" i="3"/>
  <c r="I153" i="3"/>
  <c r="H153" i="3"/>
  <c r="G153" i="3"/>
  <c r="F153" i="3"/>
  <c r="E153" i="3"/>
  <c r="D153" i="3"/>
  <c r="C153" i="3"/>
  <c r="B153" i="3"/>
  <c r="A153" i="3"/>
  <c r="K152" i="3"/>
  <c r="J152" i="3"/>
  <c r="I152" i="3"/>
  <c r="H152" i="3"/>
  <c r="G152" i="3"/>
  <c r="F152" i="3"/>
  <c r="D152" i="3"/>
  <c r="C152" i="3"/>
  <c r="B152" i="3"/>
  <c r="A152" i="3"/>
  <c r="K151" i="3"/>
  <c r="J151" i="3"/>
  <c r="I151" i="3"/>
  <c r="H151" i="3"/>
  <c r="G151" i="3"/>
  <c r="F151" i="3"/>
  <c r="D151" i="3"/>
  <c r="C151" i="3"/>
  <c r="B151" i="3"/>
  <c r="A151" i="3"/>
  <c r="K150" i="3"/>
  <c r="J150" i="3"/>
  <c r="I150" i="3"/>
  <c r="H150" i="3"/>
  <c r="G150" i="3"/>
  <c r="F150" i="3"/>
  <c r="E150" i="3"/>
  <c r="D150" i="3"/>
  <c r="C150" i="3"/>
  <c r="B150" i="3"/>
  <c r="A150" i="3"/>
  <c r="I149" i="3"/>
  <c r="H149" i="3"/>
  <c r="G149" i="3"/>
  <c r="F149" i="3"/>
  <c r="E149" i="3"/>
  <c r="D149" i="3"/>
  <c r="C149" i="3"/>
  <c r="B149" i="3"/>
  <c r="A149" i="3"/>
  <c r="K148" i="3"/>
  <c r="J148" i="3"/>
  <c r="I148" i="3"/>
  <c r="H148" i="3"/>
  <c r="G148" i="3"/>
  <c r="F148" i="3"/>
  <c r="D148" i="3"/>
  <c r="C148" i="3"/>
  <c r="B148" i="3"/>
  <c r="A148" i="3"/>
  <c r="I147" i="3"/>
  <c r="H147" i="3"/>
  <c r="G147" i="3"/>
  <c r="F147" i="3"/>
  <c r="E147" i="3"/>
  <c r="D147" i="3"/>
  <c r="C147" i="3"/>
  <c r="B147" i="3"/>
  <c r="A147" i="3"/>
  <c r="K146" i="3"/>
  <c r="J146" i="3"/>
  <c r="I146" i="3"/>
  <c r="H146" i="3"/>
  <c r="G146" i="3"/>
  <c r="F146" i="3"/>
  <c r="D146" i="3"/>
  <c r="C146" i="3"/>
  <c r="B146" i="3"/>
  <c r="A146" i="3"/>
  <c r="K145" i="3"/>
  <c r="J145" i="3"/>
  <c r="I145" i="3"/>
  <c r="H145" i="3"/>
  <c r="G145" i="3"/>
  <c r="F145" i="3"/>
  <c r="E145" i="3"/>
  <c r="D145" i="3"/>
  <c r="C145" i="3"/>
  <c r="B145" i="3"/>
  <c r="A145" i="3"/>
  <c r="K144" i="3"/>
  <c r="J144" i="3"/>
  <c r="I144" i="3"/>
  <c r="H144" i="3"/>
  <c r="G144" i="3"/>
  <c r="F144" i="3"/>
  <c r="D144" i="3"/>
  <c r="C144" i="3"/>
  <c r="B144" i="3"/>
  <c r="A144" i="3"/>
  <c r="K143" i="3"/>
  <c r="J143" i="3"/>
  <c r="I143" i="3"/>
  <c r="H143" i="3"/>
  <c r="G143" i="3"/>
  <c r="F143" i="3"/>
  <c r="E143" i="3"/>
  <c r="D143" i="3"/>
  <c r="C143" i="3"/>
  <c r="B143" i="3"/>
  <c r="A143" i="3"/>
  <c r="K142" i="3"/>
  <c r="J142" i="3"/>
  <c r="I142" i="3"/>
  <c r="H142" i="3"/>
  <c r="G142" i="3"/>
  <c r="F142" i="3"/>
  <c r="D142" i="3"/>
  <c r="C142" i="3"/>
  <c r="B142" i="3"/>
  <c r="A142" i="3"/>
  <c r="K141" i="3"/>
  <c r="J141" i="3"/>
  <c r="I141" i="3"/>
  <c r="H141" i="3"/>
  <c r="G141" i="3"/>
  <c r="F141" i="3"/>
  <c r="D141" i="3"/>
  <c r="C141" i="3"/>
  <c r="B141" i="3"/>
  <c r="A141" i="3"/>
  <c r="K140" i="3"/>
  <c r="J140" i="3"/>
  <c r="I140" i="3"/>
  <c r="H140" i="3"/>
  <c r="G140" i="3"/>
  <c r="F140" i="3"/>
  <c r="E140" i="3"/>
  <c r="D140" i="3"/>
  <c r="C140" i="3"/>
  <c r="B140" i="3"/>
  <c r="A140" i="3"/>
  <c r="K139" i="3"/>
  <c r="J139" i="3"/>
  <c r="I139" i="3"/>
  <c r="H139" i="3"/>
  <c r="G139" i="3"/>
  <c r="F139" i="3"/>
  <c r="D139" i="3"/>
  <c r="C139" i="3"/>
  <c r="B139" i="3"/>
  <c r="A139" i="3"/>
  <c r="K138" i="3"/>
  <c r="J138" i="3"/>
  <c r="I138" i="3"/>
  <c r="H138" i="3"/>
  <c r="G138" i="3"/>
  <c r="F138" i="3"/>
  <c r="D138" i="3"/>
  <c r="C138" i="3"/>
  <c r="B138" i="3"/>
  <c r="A138" i="3"/>
  <c r="I137" i="3"/>
  <c r="H137" i="3"/>
  <c r="G137" i="3"/>
  <c r="F137" i="3"/>
  <c r="D137" i="3"/>
  <c r="C137" i="3"/>
  <c r="B137" i="3"/>
  <c r="A137" i="3"/>
  <c r="K136" i="3"/>
  <c r="J136" i="3"/>
  <c r="I136" i="3"/>
  <c r="H136" i="3"/>
  <c r="G136" i="3"/>
  <c r="F136" i="3"/>
  <c r="E136" i="3"/>
  <c r="D136" i="3"/>
  <c r="C136" i="3"/>
  <c r="B136" i="3"/>
  <c r="A136" i="3"/>
  <c r="I135" i="3"/>
  <c r="H135" i="3"/>
  <c r="G135" i="3"/>
  <c r="F135" i="3"/>
  <c r="D135" i="3"/>
  <c r="C135" i="3"/>
  <c r="B135" i="3"/>
  <c r="A135" i="3"/>
  <c r="K134" i="3"/>
  <c r="J134" i="3"/>
  <c r="I134" i="3"/>
  <c r="H134" i="3"/>
  <c r="G134" i="3"/>
  <c r="F134" i="3"/>
  <c r="D134" i="3"/>
  <c r="C134" i="3"/>
  <c r="B134" i="3"/>
  <c r="A134" i="3"/>
  <c r="K133" i="3"/>
  <c r="J133" i="3"/>
  <c r="I133" i="3"/>
  <c r="H133" i="3"/>
  <c r="G133" i="3"/>
  <c r="F133" i="3"/>
  <c r="D133" i="3"/>
  <c r="C133" i="3"/>
  <c r="B133" i="3"/>
  <c r="A133" i="3"/>
  <c r="K132" i="3"/>
  <c r="J132" i="3"/>
  <c r="I132" i="3"/>
  <c r="H132" i="3"/>
  <c r="G132" i="3"/>
  <c r="F132" i="3"/>
  <c r="D132" i="3"/>
  <c r="C132" i="3"/>
  <c r="B132" i="3"/>
  <c r="A132" i="3"/>
  <c r="K131" i="3"/>
  <c r="J131" i="3"/>
  <c r="I131" i="3"/>
  <c r="H131" i="3"/>
  <c r="G131" i="3"/>
  <c r="F131" i="3"/>
  <c r="E131" i="3"/>
  <c r="D131" i="3"/>
  <c r="C131" i="3"/>
  <c r="B131" i="3"/>
  <c r="A131" i="3"/>
  <c r="K130" i="3"/>
  <c r="J130" i="3"/>
  <c r="I130" i="3"/>
  <c r="H130" i="3"/>
  <c r="G130" i="3"/>
  <c r="F130" i="3"/>
  <c r="D130" i="3"/>
  <c r="C130" i="3"/>
  <c r="B130" i="3"/>
  <c r="A130" i="3"/>
  <c r="K129" i="3"/>
  <c r="J129" i="3"/>
  <c r="I129" i="3"/>
  <c r="H129" i="3"/>
  <c r="G129" i="3"/>
  <c r="F129" i="3"/>
  <c r="D129" i="3"/>
  <c r="C129" i="3"/>
  <c r="B129" i="3"/>
  <c r="A129" i="3"/>
  <c r="K128" i="3"/>
  <c r="J128" i="3"/>
  <c r="I128" i="3"/>
  <c r="H128" i="3"/>
  <c r="G128" i="3"/>
  <c r="F128" i="3"/>
  <c r="D128" i="3"/>
  <c r="C128" i="3"/>
  <c r="B128" i="3"/>
  <c r="A128" i="3"/>
  <c r="K127" i="3"/>
  <c r="J127" i="3"/>
  <c r="I127" i="3"/>
  <c r="H127" i="3"/>
  <c r="G127" i="3"/>
  <c r="F127" i="3"/>
  <c r="D127" i="3"/>
  <c r="C127" i="3"/>
  <c r="B127" i="3"/>
  <c r="A127" i="3"/>
  <c r="K126" i="3"/>
  <c r="J126" i="3"/>
  <c r="I126" i="3"/>
  <c r="H126" i="3"/>
  <c r="G126" i="3"/>
  <c r="F126" i="3"/>
  <c r="D126" i="3"/>
  <c r="C126" i="3"/>
  <c r="B126" i="3"/>
  <c r="A126" i="3"/>
  <c r="K125" i="3"/>
  <c r="J125" i="3"/>
  <c r="I125" i="3"/>
  <c r="H125" i="3"/>
  <c r="G125" i="3"/>
  <c r="F125" i="3"/>
  <c r="D125" i="3"/>
  <c r="C125" i="3"/>
  <c r="B125" i="3"/>
  <c r="A125" i="3"/>
  <c r="K124" i="3"/>
  <c r="J124" i="3"/>
  <c r="I124" i="3"/>
  <c r="H124" i="3"/>
  <c r="G124" i="3"/>
  <c r="F124" i="3"/>
  <c r="E124" i="3"/>
  <c r="D124" i="3"/>
  <c r="C124" i="3"/>
  <c r="B124" i="3"/>
  <c r="A124" i="3"/>
  <c r="I123" i="3"/>
  <c r="H123" i="3"/>
  <c r="G123" i="3"/>
  <c r="F123" i="3"/>
  <c r="D123" i="3"/>
  <c r="C123" i="3"/>
  <c r="B123" i="3"/>
  <c r="A123" i="3"/>
  <c r="K122" i="3"/>
  <c r="J122" i="3"/>
  <c r="I122" i="3"/>
  <c r="H122" i="3"/>
  <c r="G122" i="3"/>
  <c r="F122" i="3"/>
  <c r="D122" i="3"/>
  <c r="C122" i="3"/>
  <c r="B122" i="3"/>
  <c r="A122" i="3"/>
  <c r="K121" i="3"/>
  <c r="J121" i="3"/>
  <c r="I121" i="3"/>
  <c r="H121" i="3"/>
  <c r="G121" i="3"/>
  <c r="F121" i="3"/>
  <c r="E121" i="3"/>
  <c r="D121" i="3"/>
  <c r="C121" i="3"/>
  <c r="B121" i="3"/>
  <c r="A121" i="3"/>
  <c r="K120" i="3"/>
  <c r="J120" i="3"/>
  <c r="I120" i="3"/>
  <c r="H120" i="3"/>
  <c r="G120" i="3"/>
  <c r="F120" i="3"/>
  <c r="E120" i="3"/>
  <c r="D120" i="3"/>
  <c r="C120" i="3"/>
  <c r="B120" i="3"/>
  <c r="A120" i="3"/>
  <c r="K119" i="3"/>
  <c r="J119" i="3"/>
  <c r="I119" i="3"/>
  <c r="H119" i="3"/>
  <c r="G119" i="3"/>
  <c r="F119" i="3"/>
  <c r="D119" i="3"/>
  <c r="C119" i="3"/>
  <c r="B119" i="3"/>
  <c r="A119" i="3"/>
  <c r="K118" i="3"/>
  <c r="J118" i="3"/>
  <c r="I118" i="3"/>
  <c r="H118" i="3"/>
  <c r="G118" i="3"/>
  <c r="F118" i="3"/>
  <c r="D118" i="3"/>
  <c r="C118" i="3"/>
  <c r="B118" i="3"/>
  <c r="A118" i="3"/>
  <c r="K117" i="3"/>
  <c r="J117" i="3"/>
  <c r="I117" i="3"/>
  <c r="H117" i="3"/>
  <c r="G117" i="3"/>
  <c r="F117" i="3"/>
  <c r="E117" i="3"/>
  <c r="D117" i="3"/>
  <c r="C117" i="3"/>
  <c r="B117" i="3"/>
  <c r="A117" i="3"/>
  <c r="K116" i="3"/>
  <c r="J116" i="3"/>
  <c r="I116" i="3"/>
  <c r="H116" i="3"/>
  <c r="G116" i="3"/>
  <c r="F116" i="3"/>
  <c r="D116" i="3"/>
  <c r="C116" i="3"/>
  <c r="B116" i="3"/>
  <c r="A116" i="3"/>
  <c r="K115" i="3"/>
  <c r="J115" i="3"/>
  <c r="I115" i="3"/>
  <c r="H115" i="3"/>
  <c r="G115" i="3"/>
  <c r="F115" i="3"/>
  <c r="E115" i="3"/>
  <c r="D115" i="3"/>
  <c r="C115" i="3"/>
  <c r="B115" i="3"/>
  <c r="A115" i="3"/>
  <c r="K114" i="3"/>
  <c r="J114" i="3"/>
  <c r="I114" i="3"/>
  <c r="H114" i="3"/>
  <c r="G114" i="3"/>
  <c r="F114" i="3"/>
  <c r="D114" i="3"/>
  <c r="C114" i="3"/>
  <c r="B114" i="3"/>
  <c r="A114" i="3"/>
  <c r="K113" i="3"/>
  <c r="J113" i="3"/>
  <c r="I113" i="3"/>
  <c r="H113" i="3"/>
  <c r="G113" i="3"/>
  <c r="F113" i="3"/>
  <c r="E113" i="3"/>
  <c r="D113" i="3"/>
  <c r="C113" i="3"/>
  <c r="B113" i="3"/>
  <c r="A113" i="3"/>
  <c r="K112" i="3"/>
  <c r="J112" i="3"/>
  <c r="I112" i="3"/>
  <c r="H112" i="3"/>
  <c r="G112" i="3"/>
  <c r="F112" i="3"/>
  <c r="D112" i="3"/>
  <c r="C112" i="3"/>
  <c r="B112" i="3"/>
  <c r="A112" i="3"/>
  <c r="K111" i="3"/>
  <c r="J111" i="3"/>
  <c r="I111" i="3"/>
  <c r="H111" i="3"/>
  <c r="G111" i="3"/>
  <c r="F111" i="3"/>
  <c r="D111" i="3"/>
  <c r="C111" i="3"/>
  <c r="B111" i="3"/>
  <c r="A111" i="3"/>
  <c r="I110" i="3"/>
  <c r="H110" i="3"/>
  <c r="G110" i="3"/>
  <c r="F110" i="3"/>
  <c r="E110" i="3"/>
  <c r="D110" i="3"/>
  <c r="C110" i="3"/>
  <c r="B110" i="3"/>
  <c r="A110" i="3"/>
  <c r="K109" i="3"/>
  <c r="J109" i="3"/>
  <c r="I109" i="3"/>
  <c r="H109" i="3"/>
  <c r="G109" i="3"/>
  <c r="F109" i="3"/>
  <c r="E109" i="3"/>
  <c r="D109" i="3"/>
  <c r="C109" i="3"/>
  <c r="B109" i="3"/>
  <c r="A109" i="3"/>
  <c r="K108" i="3"/>
  <c r="J108" i="3"/>
  <c r="I108" i="3"/>
  <c r="H108" i="3"/>
  <c r="G108" i="3"/>
  <c r="F108" i="3"/>
  <c r="E108" i="3"/>
  <c r="D108" i="3"/>
  <c r="C108" i="3"/>
  <c r="B108" i="3"/>
  <c r="A108" i="3"/>
  <c r="K107" i="3"/>
  <c r="J107" i="3"/>
  <c r="I107" i="3"/>
  <c r="H107" i="3"/>
  <c r="G107" i="3"/>
  <c r="F107" i="3"/>
  <c r="E107" i="3"/>
  <c r="D107" i="3"/>
  <c r="C107" i="3"/>
  <c r="B107" i="3"/>
  <c r="A107" i="3"/>
  <c r="K106" i="3"/>
  <c r="J106" i="3"/>
  <c r="I106" i="3"/>
  <c r="H106" i="3"/>
  <c r="G106" i="3"/>
  <c r="F106" i="3"/>
  <c r="D106" i="3"/>
  <c r="C106" i="3"/>
  <c r="B106" i="3"/>
  <c r="A106" i="3"/>
  <c r="K105" i="3"/>
  <c r="J105" i="3"/>
  <c r="I105" i="3"/>
  <c r="H105" i="3"/>
  <c r="G105" i="3"/>
  <c r="F105" i="3"/>
  <c r="E105" i="3"/>
  <c r="D105" i="3"/>
  <c r="C105" i="3"/>
  <c r="B105" i="3"/>
  <c r="A105" i="3"/>
  <c r="K104" i="3"/>
  <c r="J104" i="3"/>
  <c r="I104" i="3"/>
  <c r="H104" i="3"/>
  <c r="G104" i="3"/>
  <c r="F104" i="3"/>
  <c r="D104" i="3"/>
  <c r="C104" i="3"/>
  <c r="B104" i="3"/>
  <c r="A104" i="3"/>
  <c r="K103" i="3"/>
  <c r="J103" i="3"/>
  <c r="I103" i="3"/>
  <c r="H103" i="3"/>
  <c r="G103" i="3"/>
  <c r="F103" i="3"/>
  <c r="D103" i="3"/>
  <c r="C103" i="3"/>
  <c r="B103" i="3"/>
  <c r="A103" i="3"/>
  <c r="K102" i="3"/>
  <c r="J102" i="3"/>
  <c r="I102" i="3"/>
  <c r="H102" i="3"/>
  <c r="G102" i="3"/>
  <c r="F102" i="3"/>
  <c r="D102" i="3"/>
  <c r="C102" i="3"/>
  <c r="B102" i="3"/>
  <c r="A102" i="3"/>
  <c r="K101" i="3"/>
  <c r="J101" i="3"/>
  <c r="I101" i="3"/>
  <c r="H101" i="3"/>
  <c r="G101" i="3"/>
  <c r="F101" i="3"/>
  <c r="D101" i="3"/>
  <c r="C101" i="3"/>
  <c r="B101" i="3"/>
  <c r="A101" i="3"/>
  <c r="K100" i="3"/>
  <c r="J100" i="3"/>
  <c r="I100" i="3"/>
  <c r="H100" i="3"/>
  <c r="G100" i="3"/>
  <c r="F100" i="3"/>
  <c r="E100" i="3"/>
  <c r="D100" i="3"/>
  <c r="C100" i="3"/>
  <c r="B100" i="3"/>
  <c r="A100" i="3"/>
  <c r="I99" i="3"/>
  <c r="H99" i="3"/>
  <c r="G99" i="3"/>
  <c r="F99" i="3"/>
  <c r="D99" i="3"/>
  <c r="C99" i="3"/>
  <c r="B99" i="3"/>
  <c r="A99" i="3"/>
  <c r="I98" i="3"/>
  <c r="H98" i="3"/>
  <c r="G98" i="3"/>
  <c r="F98" i="3"/>
  <c r="D98" i="3"/>
  <c r="C98" i="3"/>
  <c r="B98" i="3"/>
  <c r="A98" i="3"/>
  <c r="K97" i="3"/>
  <c r="J97" i="3"/>
  <c r="I97" i="3"/>
  <c r="H97" i="3"/>
  <c r="G97" i="3"/>
  <c r="F97" i="3"/>
  <c r="E97" i="3"/>
  <c r="D97" i="3"/>
  <c r="C97" i="3"/>
  <c r="B97" i="3"/>
  <c r="A97" i="3"/>
  <c r="K96" i="3"/>
  <c r="J96" i="3"/>
  <c r="I96" i="3"/>
  <c r="H96" i="3"/>
  <c r="G96" i="3"/>
  <c r="F96" i="3"/>
  <c r="E96" i="3"/>
  <c r="D96" i="3"/>
  <c r="C96" i="3"/>
  <c r="B96" i="3"/>
  <c r="A96" i="3"/>
  <c r="K95" i="3"/>
  <c r="J95" i="3"/>
  <c r="I95" i="3"/>
  <c r="H95" i="3"/>
  <c r="G95" i="3"/>
  <c r="F95" i="3"/>
  <c r="D95" i="3"/>
  <c r="C95" i="3"/>
  <c r="B95" i="3"/>
  <c r="A95" i="3"/>
  <c r="K94" i="3"/>
  <c r="J94" i="3"/>
  <c r="I94" i="3"/>
  <c r="H94" i="3"/>
  <c r="G94" i="3"/>
  <c r="F94" i="3"/>
  <c r="D94" i="3"/>
  <c r="C94" i="3"/>
  <c r="B94" i="3"/>
  <c r="A94" i="3"/>
  <c r="K93" i="3"/>
  <c r="J93" i="3"/>
  <c r="I93" i="3"/>
  <c r="H93" i="3"/>
  <c r="G93" i="3"/>
  <c r="F93" i="3"/>
  <c r="D93" i="3"/>
  <c r="C93" i="3"/>
  <c r="B93" i="3"/>
  <c r="A93" i="3"/>
  <c r="K92" i="3"/>
  <c r="J92" i="3"/>
  <c r="I92" i="3"/>
  <c r="H92" i="3"/>
  <c r="G92" i="3"/>
  <c r="F92" i="3"/>
  <c r="D92" i="3"/>
  <c r="C92" i="3"/>
  <c r="B92" i="3"/>
  <c r="A92" i="3"/>
  <c r="K91" i="3"/>
  <c r="J91" i="3"/>
  <c r="I91" i="3"/>
  <c r="H91" i="3"/>
  <c r="G91" i="3"/>
  <c r="F91" i="3"/>
  <c r="E91" i="3"/>
  <c r="D91" i="3"/>
  <c r="C91" i="3"/>
  <c r="B91" i="3"/>
  <c r="A91" i="3"/>
  <c r="K90" i="3"/>
  <c r="J90" i="3"/>
  <c r="I90" i="3"/>
  <c r="H90" i="3"/>
  <c r="G90" i="3"/>
  <c r="F90" i="3"/>
  <c r="D90" i="3"/>
  <c r="C90" i="3"/>
  <c r="B90" i="3"/>
  <c r="A90" i="3"/>
  <c r="K89" i="3"/>
  <c r="J89" i="3"/>
  <c r="I89" i="3"/>
  <c r="H89" i="3"/>
  <c r="G89" i="3"/>
  <c r="F89" i="3"/>
  <c r="D89" i="3"/>
  <c r="C89" i="3"/>
  <c r="B89" i="3"/>
  <c r="A89" i="3"/>
  <c r="K88" i="3"/>
  <c r="J88" i="3"/>
  <c r="I88" i="3"/>
  <c r="H88" i="3"/>
  <c r="G88" i="3"/>
  <c r="F88" i="3"/>
  <c r="D88" i="3"/>
  <c r="C88" i="3"/>
  <c r="B88" i="3"/>
  <c r="A88" i="3"/>
  <c r="K87" i="3"/>
  <c r="J87" i="3"/>
  <c r="I87" i="3"/>
  <c r="H87" i="3"/>
  <c r="G87" i="3"/>
  <c r="F87" i="3"/>
  <c r="D87" i="3"/>
  <c r="C87" i="3"/>
  <c r="B87" i="3"/>
  <c r="A87" i="3"/>
  <c r="K86" i="3"/>
  <c r="J86" i="3"/>
  <c r="I86" i="3"/>
  <c r="H86" i="3"/>
  <c r="G86" i="3"/>
  <c r="F86" i="3"/>
  <c r="E86" i="3"/>
  <c r="D86" i="3"/>
  <c r="C86" i="3"/>
  <c r="B86" i="3"/>
  <c r="A86" i="3"/>
  <c r="K85" i="3"/>
  <c r="J85" i="3"/>
  <c r="I85" i="3"/>
  <c r="H85" i="3"/>
  <c r="G85" i="3"/>
  <c r="F85" i="3"/>
  <c r="D85" i="3"/>
  <c r="C85" i="3"/>
  <c r="B85" i="3"/>
  <c r="A85" i="3"/>
  <c r="I84" i="3"/>
  <c r="H84" i="3"/>
  <c r="G84" i="3"/>
  <c r="F84" i="3"/>
  <c r="E84" i="3"/>
  <c r="D84" i="3"/>
  <c r="C84" i="3"/>
  <c r="B84" i="3"/>
  <c r="A84" i="3"/>
  <c r="K83" i="3"/>
  <c r="J83" i="3"/>
  <c r="I83" i="3"/>
  <c r="H83" i="3"/>
  <c r="G83" i="3"/>
  <c r="F83" i="3"/>
  <c r="D83" i="3"/>
  <c r="C83" i="3"/>
  <c r="B83" i="3"/>
  <c r="A83" i="3"/>
  <c r="I82" i="3"/>
  <c r="H82" i="3"/>
  <c r="G82" i="3"/>
  <c r="F82" i="3"/>
  <c r="E82" i="3"/>
  <c r="D82" i="3"/>
  <c r="C82" i="3"/>
  <c r="B82" i="3"/>
  <c r="A82" i="3"/>
  <c r="I81" i="3"/>
  <c r="H81" i="3"/>
  <c r="G81" i="3"/>
  <c r="F81" i="3"/>
  <c r="D81" i="3"/>
  <c r="C81" i="3"/>
  <c r="B81" i="3"/>
  <c r="A81" i="3"/>
  <c r="K80" i="3"/>
  <c r="J80" i="3"/>
  <c r="I80" i="3"/>
  <c r="H80" i="3"/>
  <c r="G80" i="3"/>
  <c r="F80" i="3"/>
  <c r="D80" i="3"/>
  <c r="C80" i="3"/>
  <c r="B80" i="3"/>
  <c r="A80" i="3"/>
  <c r="K79" i="3"/>
  <c r="J79" i="3"/>
  <c r="I79" i="3"/>
  <c r="H79" i="3"/>
  <c r="G79" i="3"/>
  <c r="F79" i="3"/>
  <c r="D79" i="3"/>
  <c r="C79" i="3"/>
  <c r="B79" i="3"/>
  <c r="A79" i="3"/>
  <c r="K78" i="3"/>
  <c r="J78" i="3"/>
  <c r="I78" i="3"/>
  <c r="H78" i="3"/>
  <c r="G78" i="3"/>
  <c r="F78" i="3"/>
  <c r="D78" i="3"/>
  <c r="C78" i="3"/>
  <c r="B78" i="3"/>
  <c r="A78" i="3"/>
  <c r="K77" i="3"/>
  <c r="J77" i="3"/>
  <c r="I77" i="3"/>
  <c r="H77" i="3"/>
  <c r="G77" i="3"/>
  <c r="F77" i="3"/>
  <c r="E77" i="3"/>
  <c r="D77" i="3"/>
  <c r="C77" i="3"/>
  <c r="B77" i="3"/>
  <c r="A77" i="3"/>
  <c r="K76" i="3"/>
  <c r="J76" i="3"/>
  <c r="I76" i="3"/>
  <c r="H76" i="3"/>
  <c r="G76" i="3"/>
  <c r="F76" i="3"/>
  <c r="D76" i="3"/>
  <c r="C76" i="3"/>
  <c r="B76" i="3"/>
  <c r="A76" i="3"/>
  <c r="K75" i="3"/>
  <c r="J75" i="3"/>
  <c r="I75" i="3"/>
  <c r="H75" i="3"/>
  <c r="G75" i="3"/>
  <c r="F75" i="3"/>
  <c r="E75" i="3"/>
  <c r="D75" i="3"/>
  <c r="C75" i="3"/>
  <c r="B75" i="3"/>
  <c r="A75" i="3"/>
  <c r="K74" i="3"/>
  <c r="J74" i="3"/>
  <c r="I74" i="3"/>
  <c r="H74" i="3"/>
  <c r="G74" i="3"/>
  <c r="F74" i="3"/>
  <c r="E74" i="3"/>
  <c r="D74" i="3"/>
  <c r="C74" i="3"/>
  <c r="B74" i="3"/>
  <c r="A74" i="3"/>
  <c r="K73" i="3"/>
  <c r="J73" i="3"/>
  <c r="I73" i="3"/>
  <c r="H73" i="3"/>
  <c r="G73" i="3"/>
  <c r="F73" i="3"/>
  <c r="E73" i="3"/>
  <c r="D73" i="3"/>
  <c r="C73" i="3"/>
  <c r="B73" i="3"/>
  <c r="A73" i="3"/>
  <c r="K72" i="3"/>
  <c r="J72" i="3"/>
  <c r="I72" i="3"/>
  <c r="H72" i="3"/>
  <c r="G72" i="3"/>
  <c r="F72" i="3"/>
  <c r="D72" i="3"/>
  <c r="C72" i="3"/>
  <c r="B72" i="3"/>
  <c r="A72" i="3"/>
  <c r="K71" i="3"/>
  <c r="J71" i="3"/>
  <c r="I71" i="3"/>
  <c r="H71" i="3"/>
  <c r="G71" i="3"/>
  <c r="F71" i="3"/>
  <c r="E71" i="3"/>
  <c r="D71" i="3"/>
  <c r="C71" i="3"/>
  <c r="B71" i="3"/>
  <c r="A71" i="3"/>
  <c r="K70" i="3"/>
  <c r="J70" i="3"/>
  <c r="I70" i="3"/>
  <c r="H70" i="3"/>
  <c r="G70" i="3"/>
  <c r="F70" i="3"/>
  <c r="D70" i="3"/>
  <c r="C70" i="3"/>
  <c r="B70" i="3"/>
  <c r="A70" i="3"/>
  <c r="K69" i="3"/>
  <c r="J69" i="3"/>
  <c r="I69" i="3"/>
  <c r="H69" i="3"/>
  <c r="G69" i="3"/>
  <c r="F69" i="3"/>
  <c r="D69" i="3"/>
  <c r="C69" i="3"/>
  <c r="B69" i="3"/>
  <c r="A69" i="3"/>
  <c r="K68" i="3"/>
  <c r="J68" i="3"/>
  <c r="I68" i="3"/>
  <c r="H68" i="3"/>
  <c r="G68" i="3"/>
  <c r="F68" i="3"/>
  <c r="E68" i="3"/>
  <c r="D68" i="3"/>
  <c r="C68" i="3"/>
  <c r="B68" i="3"/>
  <c r="A68" i="3"/>
  <c r="K67" i="3"/>
  <c r="J67" i="3"/>
  <c r="I67" i="3"/>
  <c r="H67" i="3"/>
  <c r="G67" i="3"/>
  <c r="F67" i="3"/>
  <c r="E67" i="3"/>
  <c r="D67" i="3"/>
  <c r="C67" i="3"/>
  <c r="B67" i="3"/>
  <c r="A67" i="3"/>
  <c r="K66" i="3"/>
  <c r="J66" i="3"/>
  <c r="I66" i="3"/>
  <c r="H66" i="3"/>
  <c r="G66" i="3"/>
  <c r="F66" i="3"/>
  <c r="E66" i="3"/>
  <c r="D66" i="3"/>
  <c r="C66" i="3"/>
  <c r="B66" i="3"/>
  <c r="A66" i="3"/>
  <c r="K65" i="3"/>
  <c r="J65" i="3"/>
  <c r="I65" i="3"/>
  <c r="H65" i="3"/>
  <c r="G65" i="3"/>
  <c r="F65" i="3"/>
  <c r="E65" i="3"/>
  <c r="D65" i="3"/>
  <c r="C65" i="3"/>
  <c r="B65" i="3"/>
  <c r="A65" i="3"/>
  <c r="K64" i="3"/>
  <c r="J64" i="3"/>
  <c r="I64" i="3"/>
  <c r="H64" i="3"/>
  <c r="G64" i="3"/>
  <c r="F64" i="3"/>
  <c r="D64" i="3"/>
  <c r="C64" i="3"/>
  <c r="B64" i="3"/>
  <c r="A64" i="3"/>
  <c r="K63" i="3"/>
  <c r="J63" i="3"/>
  <c r="I63" i="3"/>
  <c r="H63" i="3"/>
  <c r="G63" i="3"/>
  <c r="F63" i="3"/>
  <c r="E63" i="3"/>
  <c r="D63" i="3"/>
  <c r="C63" i="3"/>
  <c r="B63" i="3"/>
  <c r="A63" i="3"/>
  <c r="K62" i="3"/>
  <c r="J62" i="3"/>
  <c r="I62" i="3"/>
  <c r="H62" i="3"/>
  <c r="G62" i="3"/>
  <c r="F62" i="3"/>
  <c r="D62" i="3"/>
  <c r="C62" i="3"/>
  <c r="B62" i="3"/>
  <c r="A62" i="3"/>
  <c r="K61" i="3"/>
  <c r="J61" i="3"/>
  <c r="I61" i="3"/>
  <c r="H61" i="3"/>
  <c r="G61" i="3"/>
  <c r="F61" i="3"/>
  <c r="D61" i="3"/>
  <c r="C61" i="3"/>
  <c r="B61" i="3"/>
  <c r="A61" i="3"/>
  <c r="K60" i="3"/>
  <c r="J60" i="3"/>
  <c r="I60" i="3"/>
  <c r="H60" i="3"/>
  <c r="G60" i="3"/>
  <c r="F60" i="3"/>
  <c r="E60" i="3"/>
  <c r="D60" i="3"/>
  <c r="C60" i="3"/>
  <c r="B60" i="3"/>
  <c r="A60" i="3"/>
  <c r="K59" i="3"/>
  <c r="J59" i="3"/>
  <c r="I59" i="3"/>
  <c r="H59" i="3"/>
  <c r="G59" i="3"/>
  <c r="F59" i="3"/>
  <c r="D59" i="3"/>
  <c r="C59" i="3"/>
  <c r="B59" i="3"/>
  <c r="A59" i="3"/>
  <c r="K58" i="3"/>
  <c r="J58" i="3"/>
  <c r="I58" i="3"/>
  <c r="H58" i="3"/>
  <c r="G58" i="3"/>
  <c r="F58" i="3"/>
  <c r="D58" i="3"/>
  <c r="C58" i="3"/>
  <c r="B58" i="3"/>
  <c r="A58" i="3"/>
  <c r="K57" i="3"/>
  <c r="J57" i="3"/>
  <c r="I57" i="3"/>
  <c r="H57" i="3"/>
  <c r="G57" i="3"/>
  <c r="F57" i="3"/>
  <c r="E57" i="3"/>
  <c r="D57" i="3"/>
  <c r="C57" i="3"/>
  <c r="B57" i="3"/>
  <c r="A57" i="3"/>
  <c r="K56" i="3"/>
  <c r="J56" i="3"/>
  <c r="I56" i="3"/>
  <c r="H56" i="3"/>
  <c r="G56" i="3"/>
  <c r="F56" i="3"/>
  <c r="E56" i="3"/>
  <c r="D56" i="3"/>
  <c r="C56" i="3"/>
  <c r="B56" i="3"/>
  <c r="A56" i="3"/>
  <c r="I55" i="3"/>
  <c r="H55" i="3"/>
  <c r="G55" i="3"/>
  <c r="F55" i="3"/>
  <c r="E55" i="3"/>
  <c r="D55" i="3"/>
  <c r="C55" i="3"/>
  <c r="B55" i="3"/>
  <c r="A55" i="3"/>
  <c r="K54" i="3"/>
  <c r="J54" i="3"/>
  <c r="I54" i="3"/>
  <c r="H54" i="3"/>
  <c r="G54" i="3"/>
  <c r="F54" i="3"/>
  <c r="D54" i="3"/>
  <c r="C54" i="3"/>
  <c r="B54" i="3"/>
  <c r="A54" i="3"/>
  <c r="K53" i="3"/>
  <c r="J53" i="3"/>
  <c r="I53" i="3"/>
  <c r="H53" i="3"/>
  <c r="G53" i="3"/>
  <c r="F53" i="3"/>
  <c r="D53" i="3"/>
  <c r="C53" i="3"/>
  <c r="B53" i="3"/>
  <c r="A53" i="3"/>
  <c r="K52" i="3"/>
  <c r="J52" i="3"/>
  <c r="I52" i="3"/>
  <c r="H52" i="3"/>
  <c r="G52" i="3"/>
  <c r="F52" i="3"/>
  <c r="D52" i="3"/>
  <c r="C52" i="3"/>
  <c r="B52" i="3"/>
  <c r="A52" i="3"/>
  <c r="J51" i="3"/>
  <c r="I51" i="3"/>
  <c r="H51" i="3"/>
  <c r="G51" i="3"/>
  <c r="F51" i="3"/>
  <c r="D51" i="3"/>
  <c r="C51" i="3"/>
  <c r="B51" i="3"/>
  <c r="A51" i="3"/>
  <c r="K50" i="3"/>
  <c r="J50" i="3"/>
  <c r="I50" i="3"/>
  <c r="H50" i="3"/>
  <c r="G50" i="3"/>
  <c r="F50" i="3"/>
  <c r="D50" i="3"/>
  <c r="C50" i="3"/>
  <c r="B50" i="3"/>
  <c r="A50" i="3"/>
  <c r="K49" i="3"/>
  <c r="J49" i="3"/>
  <c r="I49" i="3"/>
  <c r="H49" i="3"/>
  <c r="G49" i="3"/>
  <c r="F49" i="3"/>
  <c r="D49" i="3"/>
  <c r="C49" i="3"/>
  <c r="B49" i="3"/>
  <c r="A49" i="3"/>
  <c r="I48" i="3"/>
  <c r="H48" i="3"/>
  <c r="G48" i="3"/>
  <c r="F48" i="3"/>
  <c r="D48" i="3"/>
  <c r="C48" i="3"/>
  <c r="B48" i="3"/>
  <c r="A48" i="3"/>
  <c r="K47" i="3"/>
  <c r="J47" i="3"/>
  <c r="I47" i="3"/>
  <c r="H47" i="3"/>
  <c r="G47" i="3"/>
  <c r="F47" i="3"/>
  <c r="D47" i="3"/>
  <c r="C47" i="3"/>
  <c r="B47" i="3"/>
  <c r="A47" i="3"/>
  <c r="K46" i="3"/>
  <c r="J46" i="3"/>
  <c r="I46" i="3"/>
  <c r="H46" i="3"/>
  <c r="G46" i="3"/>
  <c r="F46" i="3"/>
  <c r="D46" i="3"/>
  <c r="C46" i="3"/>
  <c r="B46" i="3"/>
  <c r="A46" i="3"/>
  <c r="K45" i="3"/>
  <c r="J45" i="3"/>
  <c r="I45" i="3"/>
  <c r="H45" i="3"/>
  <c r="G45" i="3"/>
  <c r="F45" i="3"/>
  <c r="D45" i="3"/>
  <c r="C45" i="3"/>
  <c r="B45" i="3"/>
  <c r="A45" i="3"/>
  <c r="K44" i="3"/>
  <c r="J44" i="3"/>
  <c r="I44" i="3"/>
  <c r="H44" i="3"/>
  <c r="G44" i="3"/>
  <c r="F44" i="3"/>
  <c r="D44" i="3"/>
  <c r="C44" i="3"/>
  <c r="B44" i="3"/>
  <c r="A44" i="3"/>
  <c r="K43" i="3"/>
  <c r="J43" i="3"/>
  <c r="I43" i="3"/>
  <c r="H43" i="3"/>
  <c r="G43" i="3"/>
  <c r="F43" i="3"/>
  <c r="E43" i="3"/>
  <c r="D43" i="3"/>
  <c r="C43" i="3"/>
  <c r="B43" i="3"/>
  <c r="A43" i="3"/>
  <c r="K42" i="3"/>
  <c r="J42" i="3"/>
  <c r="I42" i="3"/>
  <c r="H42" i="3"/>
  <c r="G42" i="3"/>
  <c r="F42" i="3"/>
  <c r="E42" i="3"/>
  <c r="D42" i="3"/>
  <c r="C42" i="3"/>
  <c r="B42" i="3"/>
  <c r="A42" i="3"/>
  <c r="K41" i="3"/>
  <c r="J41" i="3"/>
  <c r="I41" i="3"/>
  <c r="H41" i="3"/>
  <c r="G41" i="3"/>
  <c r="F41" i="3"/>
  <c r="D41" i="3"/>
  <c r="C41" i="3"/>
  <c r="B41" i="3"/>
  <c r="A41" i="3"/>
  <c r="K40" i="3"/>
  <c r="J40" i="3"/>
  <c r="I40" i="3"/>
  <c r="H40" i="3"/>
  <c r="G40" i="3"/>
  <c r="F40" i="3"/>
  <c r="D40" i="3"/>
  <c r="C40" i="3"/>
  <c r="B40" i="3"/>
  <c r="A40" i="3"/>
  <c r="K39" i="3"/>
  <c r="J39" i="3"/>
  <c r="I39" i="3"/>
  <c r="H39" i="3"/>
  <c r="G39" i="3"/>
  <c r="F39" i="3"/>
  <c r="E39" i="3"/>
  <c r="D39" i="3"/>
  <c r="C39" i="3"/>
  <c r="B39" i="3"/>
  <c r="A39" i="3"/>
  <c r="K38" i="3"/>
  <c r="J38" i="3"/>
  <c r="I38" i="3"/>
  <c r="H38" i="3"/>
  <c r="G38" i="3"/>
  <c r="F38" i="3"/>
  <c r="D38" i="3"/>
  <c r="C38" i="3"/>
  <c r="B38" i="3"/>
  <c r="A38" i="3"/>
  <c r="K37" i="3"/>
  <c r="J37" i="3"/>
  <c r="I37" i="3"/>
  <c r="H37" i="3"/>
  <c r="G37" i="3"/>
  <c r="F37" i="3"/>
  <c r="D37" i="3"/>
  <c r="C37" i="3"/>
  <c r="B37" i="3"/>
  <c r="A37" i="3"/>
  <c r="I36" i="3"/>
  <c r="H36" i="3"/>
  <c r="G36" i="3"/>
  <c r="F36" i="3"/>
  <c r="D36" i="3"/>
  <c r="C36" i="3"/>
  <c r="B36" i="3"/>
  <c r="A36" i="3"/>
  <c r="K35" i="3"/>
  <c r="J35" i="3"/>
  <c r="I35" i="3"/>
  <c r="H35" i="3"/>
  <c r="G35" i="3"/>
  <c r="F35" i="3"/>
  <c r="D35" i="3"/>
  <c r="C35" i="3"/>
  <c r="B35" i="3"/>
  <c r="A35" i="3"/>
  <c r="K34" i="3"/>
  <c r="J34" i="3"/>
  <c r="I34" i="3"/>
  <c r="H34" i="3"/>
  <c r="G34" i="3"/>
  <c r="F34" i="3"/>
  <c r="D34" i="3"/>
  <c r="C34" i="3"/>
  <c r="B34" i="3"/>
  <c r="A34" i="3"/>
  <c r="K33" i="3"/>
  <c r="J33" i="3"/>
  <c r="I33" i="3"/>
  <c r="H33" i="3"/>
  <c r="G33" i="3"/>
  <c r="F33" i="3"/>
  <c r="D33" i="3"/>
  <c r="C33" i="3"/>
  <c r="B33" i="3"/>
  <c r="A33" i="3"/>
  <c r="K32" i="3"/>
  <c r="J32" i="3"/>
  <c r="I32" i="3"/>
  <c r="H32" i="3"/>
  <c r="G32" i="3"/>
  <c r="F32" i="3"/>
  <c r="D32" i="3"/>
  <c r="C32" i="3"/>
  <c r="B32" i="3"/>
  <c r="A32" i="3"/>
  <c r="K31" i="3"/>
  <c r="J31" i="3"/>
  <c r="I31" i="3"/>
  <c r="H31" i="3"/>
  <c r="G31" i="3"/>
  <c r="F31" i="3"/>
  <c r="D31" i="3"/>
  <c r="C31" i="3"/>
  <c r="B31" i="3"/>
  <c r="A31" i="3"/>
  <c r="K30" i="3"/>
  <c r="J30" i="3"/>
  <c r="I30" i="3"/>
  <c r="H30" i="3"/>
  <c r="G30" i="3"/>
  <c r="F30" i="3"/>
  <c r="D30" i="3"/>
  <c r="C30" i="3"/>
  <c r="B30" i="3"/>
  <c r="A30" i="3"/>
  <c r="K29" i="3"/>
  <c r="J29" i="3"/>
  <c r="I29" i="3"/>
  <c r="H29" i="3"/>
  <c r="G29" i="3"/>
  <c r="F29" i="3"/>
  <c r="D29" i="3"/>
  <c r="C29" i="3"/>
  <c r="B29" i="3"/>
  <c r="A29" i="3"/>
  <c r="K28" i="3"/>
  <c r="J28" i="3"/>
  <c r="I28" i="3"/>
  <c r="H28" i="3"/>
  <c r="G28" i="3"/>
  <c r="F28" i="3"/>
  <c r="D28" i="3"/>
  <c r="C28" i="3"/>
  <c r="B28" i="3"/>
  <c r="A28" i="3"/>
  <c r="K27" i="3"/>
  <c r="J27" i="3"/>
  <c r="I27" i="3"/>
  <c r="H27" i="3"/>
  <c r="G27" i="3"/>
  <c r="F27" i="3"/>
  <c r="E27" i="3"/>
  <c r="D27" i="3"/>
  <c r="C27" i="3"/>
  <c r="B27" i="3"/>
  <c r="A27" i="3"/>
  <c r="K26" i="3"/>
  <c r="J26" i="3"/>
  <c r="I26" i="3"/>
  <c r="H26" i="3"/>
  <c r="G26" i="3"/>
  <c r="F26" i="3"/>
  <c r="E26" i="3"/>
  <c r="D26" i="3"/>
  <c r="C26" i="3"/>
  <c r="B26" i="3"/>
  <c r="A26" i="3"/>
  <c r="K25" i="3"/>
  <c r="J25" i="3"/>
  <c r="I25" i="3"/>
  <c r="H25" i="3"/>
  <c r="G25" i="3"/>
  <c r="F25" i="3"/>
  <c r="E25" i="3"/>
  <c r="D25" i="3"/>
  <c r="C25" i="3"/>
  <c r="B25" i="3"/>
  <c r="A25" i="3"/>
  <c r="K24" i="3"/>
  <c r="J24" i="3"/>
  <c r="I24" i="3"/>
  <c r="H24" i="3"/>
  <c r="G24" i="3"/>
  <c r="F24" i="3"/>
  <c r="D24" i="3"/>
  <c r="C24" i="3"/>
  <c r="B24" i="3"/>
  <c r="A24" i="3"/>
  <c r="K23" i="3"/>
  <c r="J23" i="3"/>
  <c r="I23" i="3"/>
  <c r="H23" i="3"/>
  <c r="G23" i="3"/>
  <c r="F23" i="3"/>
  <c r="D23" i="3"/>
  <c r="C23" i="3"/>
  <c r="B23" i="3"/>
  <c r="A23" i="3"/>
  <c r="K22" i="3"/>
  <c r="J22" i="3"/>
  <c r="I22" i="3"/>
  <c r="H22" i="3"/>
  <c r="G22" i="3"/>
  <c r="F22" i="3"/>
  <c r="E22" i="3"/>
  <c r="D22" i="3"/>
  <c r="C22" i="3"/>
  <c r="B22" i="3"/>
  <c r="A22" i="3"/>
  <c r="K21" i="3"/>
  <c r="J21" i="3"/>
  <c r="I21" i="3"/>
  <c r="H21" i="3"/>
  <c r="G21" i="3"/>
  <c r="F21" i="3"/>
  <c r="D21" i="3"/>
  <c r="C21" i="3"/>
  <c r="B21" i="3"/>
  <c r="A21" i="3"/>
  <c r="K20" i="3"/>
  <c r="J20" i="3"/>
  <c r="I20" i="3"/>
  <c r="H20" i="3"/>
  <c r="G20" i="3"/>
  <c r="F20" i="3"/>
  <c r="D20" i="3"/>
  <c r="C20" i="3"/>
  <c r="B20" i="3"/>
  <c r="A20" i="3"/>
  <c r="K19" i="3"/>
  <c r="J19" i="3"/>
  <c r="I19" i="3"/>
  <c r="H19" i="3"/>
  <c r="G19" i="3"/>
  <c r="F19" i="3"/>
  <c r="D19" i="3"/>
  <c r="C19" i="3"/>
  <c r="B19" i="3"/>
  <c r="A19" i="3"/>
  <c r="K18" i="3"/>
  <c r="J18" i="3"/>
  <c r="I18" i="3"/>
  <c r="H18" i="3"/>
  <c r="G18" i="3"/>
  <c r="F18" i="3"/>
  <c r="D18" i="3"/>
  <c r="C18" i="3"/>
  <c r="B18" i="3"/>
  <c r="A18" i="3"/>
  <c r="K17" i="3"/>
  <c r="J17" i="3"/>
  <c r="I17" i="3"/>
  <c r="H17" i="3"/>
  <c r="G17" i="3"/>
  <c r="F17" i="3"/>
  <c r="E17" i="3"/>
  <c r="D17" i="3"/>
  <c r="C17" i="3"/>
  <c r="B17" i="3"/>
  <c r="A17" i="3"/>
  <c r="K16" i="3"/>
  <c r="J16" i="3"/>
  <c r="I16" i="3"/>
  <c r="H16" i="3"/>
  <c r="G16" i="3"/>
  <c r="F16" i="3"/>
  <c r="D16" i="3"/>
  <c r="C16" i="3"/>
  <c r="B16" i="3"/>
  <c r="A16" i="3"/>
  <c r="K15" i="3"/>
  <c r="J15" i="3"/>
  <c r="I15" i="3"/>
  <c r="H15" i="3"/>
  <c r="G15" i="3"/>
  <c r="F15" i="3"/>
  <c r="D15" i="3"/>
  <c r="C15" i="3"/>
  <c r="B15" i="3"/>
  <c r="A15" i="3"/>
  <c r="K14" i="3"/>
  <c r="J14" i="3"/>
  <c r="I14" i="3"/>
  <c r="H14" i="3"/>
  <c r="G14" i="3"/>
  <c r="F14" i="3"/>
  <c r="E14" i="3"/>
  <c r="D14" i="3"/>
  <c r="C14" i="3"/>
  <c r="B14" i="3"/>
  <c r="A14" i="3"/>
  <c r="K13" i="3"/>
  <c r="J13" i="3"/>
  <c r="I13" i="3"/>
  <c r="H13" i="3"/>
  <c r="G13" i="3"/>
  <c r="F13" i="3"/>
  <c r="D13" i="3"/>
  <c r="C13" i="3"/>
  <c r="B13" i="3"/>
  <c r="A13" i="3"/>
  <c r="K12" i="3"/>
  <c r="J12" i="3"/>
  <c r="I12" i="3"/>
  <c r="H12" i="3"/>
  <c r="G12" i="3"/>
  <c r="F12" i="3"/>
  <c r="D12" i="3"/>
  <c r="C12" i="3"/>
  <c r="B12" i="3"/>
  <c r="A12" i="3"/>
  <c r="K11" i="3"/>
  <c r="J11" i="3"/>
  <c r="I11" i="3"/>
  <c r="H11" i="3"/>
  <c r="G11" i="3"/>
  <c r="F11" i="3"/>
  <c r="E11" i="3"/>
  <c r="D11" i="3"/>
  <c r="C11" i="3"/>
  <c r="B11" i="3"/>
  <c r="A11" i="3"/>
  <c r="K10" i="3"/>
  <c r="J10" i="3"/>
  <c r="I10" i="3"/>
  <c r="H10" i="3"/>
  <c r="G10" i="3"/>
  <c r="F10" i="3"/>
  <c r="E10" i="3"/>
  <c r="D10" i="3"/>
  <c r="C10" i="3"/>
  <c r="B10" i="3"/>
  <c r="A10" i="3"/>
  <c r="K9" i="3"/>
  <c r="J9" i="3"/>
  <c r="I9" i="3"/>
  <c r="H9" i="3"/>
  <c r="G9" i="3"/>
  <c r="F9" i="3"/>
  <c r="D9" i="3"/>
  <c r="C9" i="3"/>
  <c r="B9" i="3"/>
  <c r="A9" i="3"/>
  <c r="K8" i="3"/>
  <c r="J8" i="3"/>
  <c r="I8" i="3"/>
  <c r="H8" i="3"/>
  <c r="G8" i="3"/>
  <c r="F8" i="3"/>
  <c r="E8" i="3"/>
  <c r="D8" i="3"/>
  <c r="C8" i="3"/>
  <c r="B8" i="3"/>
  <c r="A8" i="3"/>
  <c r="K7" i="3"/>
  <c r="J7" i="3"/>
  <c r="I7" i="3"/>
  <c r="H7" i="3"/>
  <c r="G7" i="3"/>
  <c r="F7" i="3"/>
  <c r="E7" i="3"/>
  <c r="D7" i="3"/>
  <c r="C7" i="3"/>
  <c r="B7" i="3"/>
  <c r="A7" i="3"/>
  <c r="K6" i="3"/>
  <c r="J6" i="3"/>
  <c r="I6" i="3"/>
  <c r="H6" i="3"/>
  <c r="G6" i="3"/>
  <c r="F6" i="3"/>
  <c r="E6" i="3"/>
  <c r="D6" i="3"/>
  <c r="C6" i="3"/>
  <c r="B6" i="3"/>
  <c r="A6" i="3"/>
  <c r="K5" i="3"/>
  <c r="J5" i="3"/>
  <c r="I5" i="3"/>
  <c r="H5" i="3"/>
  <c r="G5" i="3"/>
  <c r="F5" i="3"/>
  <c r="E5" i="3"/>
  <c r="D5" i="3"/>
  <c r="C5" i="3"/>
  <c r="B5" i="3"/>
  <c r="A5" i="3"/>
  <c r="K4" i="3"/>
  <c r="J4" i="3"/>
  <c r="I4" i="3"/>
  <c r="H4" i="3"/>
  <c r="G4" i="3"/>
  <c r="F4" i="3"/>
  <c r="E4" i="3"/>
  <c r="D4" i="3"/>
  <c r="C4" i="3"/>
  <c r="B4" i="3"/>
  <c r="A4" i="3"/>
  <c r="K3" i="3"/>
  <c r="J3" i="3"/>
  <c r="I3" i="3"/>
  <c r="H3" i="3"/>
  <c r="G3" i="3"/>
  <c r="F3" i="3"/>
  <c r="D3" i="3"/>
  <c r="C3" i="3"/>
  <c r="B3" i="3"/>
  <c r="A3" i="3"/>
  <c r="K2" i="3"/>
  <c r="J2" i="3"/>
  <c r="I2" i="3"/>
  <c r="H2" i="3"/>
  <c r="G2" i="3"/>
  <c r="F2" i="3"/>
  <c r="E2" i="3"/>
  <c r="D2" i="3"/>
  <c r="C2" i="3"/>
  <c r="B2" i="3"/>
  <c r="A2" i="3"/>
  <c r="K1" i="3"/>
  <c r="J1" i="3"/>
  <c r="I1" i="3"/>
  <c r="H1" i="3"/>
  <c r="G1" i="3"/>
  <c r="F1" i="3"/>
  <c r="E1" i="3"/>
  <c r="D1" i="3"/>
  <c r="C1" i="3"/>
  <c r="B1" i="3"/>
  <c r="A1" i="3"/>
  <c r="B56" i="11" l="1"/>
  <c r="B116" i="11"/>
  <c r="B19" i="11"/>
  <c r="B40" i="11"/>
  <c r="B31" i="11"/>
  <c r="B61" i="11"/>
  <c r="B35" i="11"/>
  <c r="B79" i="11"/>
  <c r="B9" i="11"/>
  <c r="B63" i="11"/>
  <c r="B41" i="11"/>
  <c r="B77" i="11"/>
  <c r="B93" i="11"/>
  <c r="B105" i="11"/>
  <c r="B117" i="11"/>
  <c r="B8" i="11"/>
  <c r="B2" i="11"/>
  <c r="B45" i="11"/>
  <c r="B95" i="11"/>
  <c r="B119" i="11"/>
  <c r="B48" i="11"/>
  <c r="B23" i="11"/>
  <c r="B66" i="11"/>
  <c r="B82" i="11"/>
  <c r="B107" i="11"/>
  <c r="B18" i="11"/>
  <c r="B3" i="11"/>
  <c r="B24" i="11"/>
  <c r="B47" i="11"/>
  <c r="B68" i="11"/>
  <c r="B83" i="11"/>
  <c r="B96" i="11"/>
  <c r="B108" i="11"/>
  <c r="B120" i="11"/>
  <c r="B80" i="11"/>
  <c r="B67" i="11"/>
  <c r="B43" i="11"/>
  <c r="B78" i="11"/>
  <c r="B51" i="11"/>
  <c r="B10" i="11"/>
  <c r="B81" i="11"/>
  <c r="B118" i="11"/>
  <c r="B6" i="11"/>
  <c r="B27" i="11"/>
  <c r="B110" i="11"/>
  <c r="B122" i="11"/>
  <c r="B34" i="11"/>
  <c r="B11" i="11"/>
  <c r="B29" i="11"/>
  <c r="B53" i="11"/>
  <c r="B71" i="11"/>
  <c r="B86" i="11"/>
  <c r="B99" i="11"/>
  <c r="B111" i="11"/>
  <c r="B123" i="11"/>
  <c r="B28" i="11"/>
  <c r="B25" i="11"/>
  <c r="B52" i="11"/>
  <c r="B54" i="11"/>
  <c r="B44" i="11"/>
  <c r="B22" i="11"/>
  <c r="B12" i="11"/>
  <c r="B30" i="11"/>
  <c r="B55" i="11"/>
  <c r="B72" i="11"/>
  <c r="B87" i="11"/>
  <c r="B100" i="11"/>
  <c r="B112" i="11"/>
  <c r="B124" i="11"/>
  <c r="B7" i="11"/>
  <c r="B97" i="11"/>
  <c r="B50" i="11"/>
  <c r="B57" i="11"/>
  <c r="B73" i="11"/>
  <c r="B88" i="11"/>
  <c r="B101" i="11"/>
  <c r="B113" i="11"/>
  <c r="B125" i="11"/>
  <c r="B60" i="11"/>
  <c r="B5" i="11"/>
  <c r="B20" i="11"/>
  <c r="B98" i="11"/>
  <c r="B14" i="11"/>
  <c r="B36" i="11"/>
  <c r="B58" i="11"/>
  <c r="B74" i="11"/>
  <c r="B89" i="11"/>
  <c r="B102" i="11"/>
  <c r="B114" i="11"/>
  <c r="B126" i="11"/>
  <c r="B42" i="11"/>
  <c r="B4" i="11"/>
  <c r="B21" i="11"/>
  <c r="B64" i="11"/>
  <c r="B90" i="11"/>
  <c r="B65" i="11"/>
  <c r="B106" i="11"/>
  <c r="B26" i="11"/>
  <c r="B69" i="11"/>
  <c r="B109" i="11"/>
  <c r="B70" i="11"/>
  <c r="B33" i="11"/>
  <c r="B15" i="11"/>
  <c r="B37" i="11"/>
  <c r="B59" i="11"/>
  <c r="B75" i="11"/>
  <c r="B91" i="11"/>
  <c r="B103" i="11"/>
  <c r="B115" i="11"/>
  <c r="B127" i="11"/>
  <c r="B46" i="11"/>
  <c r="B94" i="11"/>
  <c r="B49" i="11"/>
  <c r="B84" i="11"/>
  <c r="B121" i="11"/>
  <c r="B85" i="11"/>
  <c r="B13" i="11"/>
  <c r="B17" i="11"/>
  <c r="B38" i="11"/>
  <c r="B62" i="11"/>
  <c r="B76" i="11"/>
  <c r="B92" i="11"/>
  <c r="B104" i="11"/>
  <c r="B16" i="11"/>
  <c r="B39" i="11"/>
  <c r="B32" i="1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F2" authorId="0" shapeId="0" xr:uid="{00000000-0006-0000-0700-000001000000}">
      <text>
        <r>
          <rPr>
            <sz val="10"/>
            <color rgb="FF000000"/>
            <rFont val="Arial"/>
            <scheme val="minor"/>
          </rPr>
          <t>Responder updated this value.</t>
        </r>
      </text>
    </comment>
    <comment ref="AI2" authorId="0" shapeId="0" xr:uid="{00000000-0006-0000-0700-000002000000}">
      <text>
        <r>
          <rPr>
            <sz val="10"/>
            <color rgb="FF000000"/>
            <rFont val="Arial"/>
            <scheme val="minor"/>
          </rPr>
          <t>Responder updated this value.</t>
        </r>
      </text>
    </comment>
  </commentList>
</comments>
</file>

<file path=xl/sharedStrings.xml><?xml version="1.0" encoding="utf-8"?>
<sst xmlns="http://schemas.openxmlformats.org/spreadsheetml/2006/main" count="498" uniqueCount="225">
  <si>
    <t>Dr. Muhammad Asim</t>
  </si>
  <si>
    <t>Mr. Irfan Ullah</t>
  </si>
  <si>
    <t>Development</t>
  </si>
  <si>
    <t>Web/Desktop Application</t>
  </si>
  <si>
    <t>No</t>
  </si>
  <si>
    <t>Mr. Saad Salman</t>
  </si>
  <si>
    <t>BS (Computer Science)</t>
  </si>
  <si>
    <t>Web/Mobile Application</t>
  </si>
  <si>
    <t>Mr. Muhammad Abdullah Abid</t>
  </si>
  <si>
    <t>9. Industry, Innovation &amp; Infrastructure</t>
  </si>
  <si>
    <t>Mr. Bilal Khalid Dar</t>
  </si>
  <si>
    <t>Image/Video Processing</t>
  </si>
  <si>
    <t>JavaSciript Fullstack (MERN), Python</t>
  </si>
  <si>
    <t>Dr. Asif Muhammad</t>
  </si>
  <si>
    <t>Mr. Pir Sami Ullah Shah</t>
  </si>
  <si>
    <t>Dr. Hammad Majeed</t>
  </si>
  <si>
    <t>Mr. Muhammad Farrukh Bashir</t>
  </si>
  <si>
    <t>Mr. Owais Idrees</t>
  </si>
  <si>
    <t>Ms. Saira Qamar</t>
  </si>
  <si>
    <t>Ms. Kainat Iqbal</t>
  </si>
  <si>
    <t>Ms. Amna Irum</t>
  </si>
  <si>
    <t>Dr. Atif Jilani</t>
  </si>
  <si>
    <t>Dr. Muhammad Arshad Islam</t>
  </si>
  <si>
    <t>Ms. Noor ul Ain</t>
  </si>
  <si>
    <t>Mr. Usama Bin Imran</t>
  </si>
  <si>
    <t>Ms. Marium Hida</t>
  </si>
  <si>
    <t>Dr. Usman Habib</t>
  </si>
  <si>
    <t>Dr. Asif Naeem</t>
  </si>
  <si>
    <t>Dr. Shahela Saif</t>
  </si>
  <si>
    <t>Mr. Jawad Hassan</t>
  </si>
  <si>
    <t>Mr. Ahmad Raza</t>
  </si>
  <si>
    <t>Dr. Imran Ashraf</t>
  </si>
  <si>
    <t>Mr. Aqib Rehman</t>
  </si>
  <si>
    <t>Ms. Nirmal Tariq</t>
  </si>
  <si>
    <t>Dr. Ali Zeeshan Ijaz</t>
  </si>
  <si>
    <t>Dr. Muhammad Ishtiaq</t>
  </si>
  <si>
    <t>8. Decent Work &amp; Economic Growth, 9. Industry, Innovation &amp; Infrastructure, 17. Partnerships for the goals</t>
  </si>
  <si>
    <t>Dr. Naveed Ahmad</t>
  </si>
  <si>
    <t>Ms. Hira Mastoor</t>
  </si>
  <si>
    <t>Ms. Rabail Zahid</t>
  </si>
  <si>
    <t>Dr. Hasan Mujtaba</t>
  </si>
  <si>
    <t>Dr. Faisal Cheema</t>
  </si>
  <si>
    <t>Dr. Ramoza Ahsan</t>
  </si>
  <si>
    <t>Mr. M Aamir Gulzar</t>
  </si>
  <si>
    <t>Dr. Fehmida Usmani</t>
  </si>
  <si>
    <t>Image/Video Processing, Internet of Things</t>
  </si>
  <si>
    <t>Dr. Amna Basharat</t>
  </si>
  <si>
    <t>Ms. Zonera Anjum</t>
  </si>
  <si>
    <t>Mr. Shams Farooq</t>
  </si>
  <si>
    <t>Dr. Syed Qaiser Ali Shah</t>
  </si>
  <si>
    <t>Dr. Labiba Fahad</t>
  </si>
  <si>
    <t>Ms. Ayesha Kamran</t>
  </si>
  <si>
    <t>Dr. Javaria Imtiaz</t>
  </si>
  <si>
    <t>Dr. Qaiser Shafi</t>
  </si>
  <si>
    <t>Mr. Majid Hussain</t>
  </si>
  <si>
    <t>Dr. Ahmad Raza Shahid</t>
  </si>
  <si>
    <t>Mr. Adil Majeed</t>
  </si>
  <si>
    <t>Dr. Usman Haider</t>
  </si>
  <si>
    <t>Ms. Sana Razzaq</t>
  </si>
  <si>
    <t>Ms. Hifza Umer</t>
  </si>
  <si>
    <t>Dr. Adnan Tariq</t>
  </si>
  <si>
    <t>Nil</t>
  </si>
  <si>
    <t>Mr. Hassan Raza</t>
  </si>
  <si>
    <t>Dr. Akhtar Jamil</t>
  </si>
  <si>
    <t>Dr. Ahmad Din</t>
  </si>
  <si>
    <t>E-commerce</t>
  </si>
  <si>
    <t>Dr. Danish Shehzad</t>
  </si>
  <si>
    <t>Mr. M. Aadil Ur Rehman</t>
  </si>
  <si>
    <t>Mr. Zeshan Khan</t>
  </si>
  <si>
    <t>Dr. Isma ul Hassan</t>
  </si>
  <si>
    <t>Ms. Ayesha Marriyam</t>
  </si>
  <si>
    <t>Dr. Khubaib Amjad Alam</t>
  </si>
  <si>
    <t>Mr. Shahbaz Hassan</t>
  </si>
  <si>
    <t>Mr. Zaheer ul Hussain Sani</t>
  </si>
  <si>
    <t>Ms. Zoya Mahboob</t>
  </si>
  <si>
    <t>Dr. Mehreen Alam</t>
  </si>
  <si>
    <t>Ms. Tajwar Mehmood</t>
  </si>
  <si>
    <t>Dr. Behjat Zuhaira</t>
  </si>
  <si>
    <t>Mr. Muhammad Muneeb Baig</t>
  </si>
  <si>
    <t>i180429@nu.edu.pk</t>
  </si>
  <si>
    <t>All Pakistani clothing brands at one platform with easy comparison, AI assistant and review analysis</t>
  </si>
  <si>
    <t>FashionFusion</t>
  </si>
  <si>
    <t>17. Partnerships for the goals</t>
  </si>
  <si>
    <t>Mohammad Usman Chaudhary</t>
  </si>
  <si>
    <t>i180429</t>
  </si>
  <si>
    <t>0303-5844006</t>
  </si>
  <si>
    <t>03315844006</t>
  </si>
  <si>
    <t>Muhammad Fasieh</t>
  </si>
  <si>
    <t>i212458</t>
  </si>
  <si>
    <t>i212458@nu.edu.pk</t>
  </si>
  <si>
    <t>0316-5965945</t>
  </si>
  <si>
    <t>Muhammad Hammad Irfan</t>
  </si>
  <si>
    <t>i191994</t>
  </si>
  <si>
    <t>i191994@nu.edu.pk</t>
  </si>
  <si>
    <t>0333-9068848</t>
  </si>
  <si>
    <t>This platform is designed to aggregate products from all clothing brands in Pakistan by scraping data from various brand websites. It enables customers to compare products easily in one location. The platform also analyses sales trends to identify which brands offer genuine, seasonal discounts and which maintain year-round sales. To ensure transparency, it manages customer reviews authentically, keeping both positive and negative feedback visible. Additionally, the platform features a blog for customers to discuss products, and it leverages advanced analysis to assess customer sentiment based on reviews and discussions.
Features:
1. Multi-Brand Scraping
2. Unified Product Database
3. Product Comparison Tool
4. Campaign Monitoring with Traffic &amp; Sales Analysis
5. Review Management &amp; Authentication
6. Sentiment Analysis
7. Trend Reports
8. Smart Chatbot</t>
  </si>
  <si>
    <t>Ms. Sidra Khalid</t>
  </si>
  <si>
    <t>Ms. Urooj Ghani</t>
  </si>
  <si>
    <t>Ms. Khadija Mahmood</t>
  </si>
  <si>
    <t>Mr. Zaheer Ul Hussain Sani</t>
  </si>
  <si>
    <t>Augmented Reality for Public Speaking Mastery</t>
  </si>
  <si>
    <t>ARSpeaks</t>
  </si>
  <si>
    <t>Hamza Mehmood</t>
  </si>
  <si>
    <t>i190458</t>
  </si>
  <si>
    <t>i190458@nu.edu.pk</t>
  </si>
  <si>
    <t>0320-1929999</t>
  </si>
  <si>
    <t>Osama Ali</t>
  </si>
  <si>
    <t>i210587</t>
  </si>
  <si>
    <t>i210587@nu.edu.pk</t>
  </si>
  <si>
    <t>0344-0880833</t>
  </si>
  <si>
    <t>It focuses on helping adults improve their public speaking and
communication skills through an immersive AR experience. The app will
provide real-time feedback on voice modulation, speech pace, and body
language, while simulating an audience in various environments. Key
features include:
Voice Analysis: Real-time tracking of tone, speed, volume, and filler words.
Body Language Feedback: Monitoring gestures, posture, and facial expressions.
AR Simulation: Audience interaction based on user performance.
Stress Monitoring: Behavioral indicators to help users manage anxiety.
This approach integrates AR technology and machine learning to create
a comprehensive public speaking training tool.</t>
  </si>
  <si>
    <t>Python, JAVA, Postgres, Springboot , Django</t>
  </si>
  <si>
    <t>"AI system adjusts smart home settings based on recognized activities."</t>
  </si>
  <si>
    <t>"Smart Home AI for Activity Recognition"</t>
  </si>
  <si>
    <t xml:space="preserve">Muhammad Fasieh </t>
  </si>
  <si>
    <t>Couldn't find any other members till date</t>
  </si>
  <si>
    <t>The "Smart Home AI for Activity Recognition" project aims to develop an intelligent system capable of recognizing various human activities within a smart home environment. By leveraging machine learning and sensor data, the system will identify actions such as cooking, reading, and exercising, and automatically adjust home settings like lighting, temperature, and entertainment systems to enhance user comfort and energy efficiency. The scope of the project includes designing an AI model for activity recognition, integrating it with smart home devices, and creating a user-friendly interface for customization and control.
Key Features:
1. Activity Detection: Real-time recognition of common household activities.
2. Automated Adjustments:Dynamic adjustments of home settings based on detected activities.
3. Customizable Rules: Users can set preferences for how the home responds to specific activities.
4. Multi-Device Integration: Compatibility with various smart home devices (lights, thermostat, etc.).
5.  User Privacy: Secure data handling and activity recognition with privacy safeguards.
6. Energy Efficiency: Optimization of energy usage by adjusting settings based on activity.
7. Voice Commands: Integration with voice assistants for manual control and customization.
8. Remote Access: Ability to monitor and adjust home settings from a mobile app.
9. Activity Logs: Historical data on recognized activities for user insights and system improvements.
10. Learning Capabilities: Continuous learning and improvement of activity recognition based on user feedback.</t>
  </si>
  <si>
    <t xml:space="preserve">C# .NET, Python, Microsoft SQL, Flutter, </t>
  </si>
  <si>
    <t>Najmus Sad</t>
  </si>
  <si>
    <t>i160174</t>
  </si>
  <si>
    <t>i160174@nu.edu.pk</t>
  </si>
  <si>
    <t>0342-1397395</t>
  </si>
  <si>
    <t>Ms. Sunduss Aamir Khan</t>
  </si>
  <si>
    <t>Ms. Mehreen Javaid</t>
  </si>
  <si>
    <t>Ms. Laiba Imran</t>
  </si>
  <si>
    <t>Mr. Hamza Mahmood Sheikh</t>
  </si>
  <si>
    <t>Mr. Muhammad Wasif Ali Wasif</t>
  </si>
  <si>
    <t>Ms. Syeda Shah Noor Haider</t>
  </si>
  <si>
    <t>Ms. Laraib Afzaal</t>
  </si>
  <si>
    <t>Dr. Subhan Ullah</t>
  </si>
  <si>
    <t>Dr. Uzma Mahar</t>
  </si>
  <si>
    <t>Mr. Atif Khurshid</t>
  </si>
  <si>
    <t>Ms. Noor-ul-Ain</t>
  </si>
  <si>
    <t>Mr. Ehsaan Ali</t>
  </si>
  <si>
    <t>Ms. Hajira Uzair</t>
  </si>
  <si>
    <t>Ms. Maryam Hussain</t>
  </si>
  <si>
    <t>Dr. Zafar Iqbal</t>
  </si>
  <si>
    <t>Ms. Saba Kanwal</t>
  </si>
  <si>
    <t>Mr. Muhammad Ammar Masood</t>
  </si>
  <si>
    <t>Mr. Mehmood ul Hassan</t>
  </si>
  <si>
    <t>Ms. Shafaq Riaz Bhatti</t>
  </si>
  <si>
    <t>Ms. Sadia Saad</t>
  </si>
  <si>
    <t>Ms. Umarah Qaseem</t>
  </si>
  <si>
    <t>Mr. M Naveed Khurshid</t>
  </si>
  <si>
    <t>Ms. Bushra Fatima Tariq</t>
  </si>
  <si>
    <t>Ms. Amina Ashfaq</t>
  </si>
  <si>
    <t>Ms. Kanza Hamid</t>
  </si>
  <si>
    <t>Ms. Zill-E-Huma</t>
  </si>
  <si>
    <t>Dr. Sana Aurangzeb</t>
  </si>
  <si>
    <t>Ms. Aneeqa Khalil</t>
  </si>
  <si>
    <t>Ms. Khizra Sohail</t>
  </si>
  <si>
    <t>Ms. Hina Binte Haq</t>
  </si>
  <si>
    <t>Mr. Shehreyar Rashid</t>
  </si>
  <si>
    <t>Mr. Muhammad Sohail Abbas</t>
  </si>
  <si>
    <t>Mr. Usama Imtiaz</t>
  </si>
  <si>
    <t>Dr. Nouman Noor</t>
  </si>
  <si>
    <t>Mr. Muhammad Almas Khan</t>
  </si>
  <si>
    <t>Ms. Asma Tufail</t>
  </si>
  <si>
    <t>Mr. Sohail Aziz</t>
  </si>
  <si>
    <t>Mr. M Suleman Saboor</t>
  </si>
  <si>
    <t>Ms. Mubrra Asma</t>
  </si>
  <si>
    <t>Ms. Nigar Azhar Butt</t>
  </si>
  <si>
    <t>Mr. Fahad Waheed</t>
  </si>
  <si>
    <t>Ms. Maryam Shahbaz</t>
  </si>
  <si>
    <t>Ms. Palwasha Zahid</t>
  </si>
  <si>
    <t>Ms. Farheen Tabassum</t>
  </si>
  <si>
    <t>Dr. Mirza Omer Beg</t>
  </si>
  <si>
    <t>Mr. Abdul Hammad Rasheed</t>
  </si>
  <si>
    <t>Ms. Nabeelah Maryam</t>
  </si>
  <si>
    <t>Ms. Zoya Sumbul Zaheer</t>
  </si>
  <si>
    <t>Mr. Arslan Aslam</t>
  </si>
  <si>
    <t>Mr. Basharat Hussain</t>
  </si>
  <si>
    <t>Ms. Mahnoor Tariq</t>
  </si>
  <si>
    <t>Ms. Anum kaleem</t>
  </si>
  <si>
    <t>Mr. Syed Daniyal Hussain Shah</t>
  </si>
  <si>
    <t>Ms. Sidra Fayyaz</t>
  </si>
  <si>
    <t>Ms. Amina Siddique</t>
  </si>
  <si>
    <t>Mr. Shoaib Saleem Khattak</t>
  </si>
  <si>
    <t>Ms. Daniya Jadoon</t>
  </si>
  <si>
    <t>Mr. Ali Hamza</t>
  </si>
  <si>
    <t>Ms.Ghulam Fatima</t>
  </si>
  <si>
    <t>Mr. Talha Tariq</t>
  </si>
  <si>
    <t>Ms. Kanwal Naz</t>
  </si>
  <si>
    <t>Muhammad Muneeb Baig</t>
  </si>
  <si>
    <t>Mr. Ubaid Ullah</t>
  </si>
  <si>
    <t>Mr. Muhammad Hamza</t>
  </si>
  <si>
    <t>Faculty List</t>
  </si>
  <si>
    <t>Total Count</t>
  </si>
  <si>
    <t>Current Count</t>
  </si>
  <si>
    <t>CS</t>
  </si>
  <si>
    <t>47,63</t>
  </si>
  <si>
    <t>Dr. Aftab Ahmed Maroof</t>
  </si>
  <si>
    <t>AI/DS</t>
  </si>
  <si>
    <t>34,42</t>
  </si>
  <si>
    <t>CY</t>
  </si>
  <si>
    <t>15/18</t>
  </si>
  <si>
    <t>SE</t>
  </si>
  <si>
    <t>25/28</t>
  </si>
  <si>
    <t>Dr. Noreen Jamil</t>
  </si>
  <si>
    <t>Dr. Waseem Shahzad</t>
  </si>
  <si>
    <t>Dr. Omer Beg</t>
  </si>
  <si>
    <t>Dr. Irum Inayat</t>
  </si>
  <si>
    <t>Mr. Umair Arshad</t>
  </si>
  <si>
    <t>Ms. Parisa Salma</t>
  </si>
  <si>
    <t>Ms. Shahbaz Hassan</t>
  </si>
  <si>
    <t>Ms. Uzma Mahar</t>
  </si>
  <si>
    <t>Ms. Maheen Arshad Malik</t>
  </si>
  <si>
    <t>Ms. Shafaq Riaz</t>
  </si>
  <si>
    <t>Ms. Syeda Shahnoor Haider</t>
  </si>
  <si>
    <t>Ms. Maham Haider</t>
  </si>
  <si>
    <t>Mr. Naveed Khurshid</t>
  </si>
  <si>
    <t>Mr. Muhammad Suleman Saboor</t>
  </si>
  <si>
    <t>Name</t>
  </si>
  <si>
    <t>Dr. Aftab Maroof</t>
  </si>
  <si>
    <t>Dr. Isma Ul Hassan</t>
  </si>
  <si>
    <t>Dr. Mir Suleman Sarwar</t>
  </si>
  <si>
    <t>Dr. Hina Ayaz</t>
  </si>
  <si>
    <t>Dr. Muhammad Aleem</t>
  </si>
  <si>
    <t>Dr. Kashif Munir</t>
  </si>
  <si>
    <t>Ms. Javeria Zia</t>
  </si>
  <si>
    <t>Mr. Hassan Ali Ansari</t>
  </si>
  <si>
    <t>Mr. Khwaja Bilal Hassan</t>
  </si>
  <si>
    <t>Dr. Uzair Iqbal</t>
  </si>
  <si>
    <t>Done</t>
  </si>
  <si>
    <t>Mr. Mateen Yaqoob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</si>
</sst>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14">
    <font>
      <sz val="10"/>
      <color rgb="FF000000"/>
      <name val="Arial"/>
      <scheme val="minor"/>
    </font>
    <font>
      <sz val="10"/>
      <color theme="1"/>
      <name val="Arial"/>
      <scheme val="minor"/>
    </font>
    <font>
      <sz val="10"/>
      <color theme="1"/>
      <name val="Arial"/>
    </font>
    <font>
      <sz val="10"/>
      <color rgb="FF000000"/>
      <name val="Arial"/>
    </font>
    <font>
      <b/>
      <sz val="11"/>
      <color theme="1"/>
      <name val="Arial"/>
      <scheme val="minor"/>
    </font>
    <font>
      <b/>
      <sz val="11"/>
      <color rgb="FF000000"/>
      <name val="&quot;Google Sans Mono&quot;"/>
    </font>
    <font>
      <b/>
      <sz val="10"/>
      <color theme="1"/>
      <name val="Arial"/>
    </font>
    <font>
      <sz val="10"/>
      <name val="Arial"/>
    </font>
    <font>
      <sz val="9"/>
      <color rgb="FF000000"/>
      <name val="&quot;Google Sans Mono&quot;"/>
    </font>
    <font>
      <sz val="11"/>
      <color rgb="FF000000"/>
      <name val="&quot;Aptos Narrow&quot;"/>
    </font>
    <font>
      <b/>
      <sz val="12"/>
      <color theme="1"/>
      <name val="Calibri"/>
    </font>
    <font>
      <sz val="11"/>
      <color theme="1"/>
      <name val="Calibri"/>
    </font>
    <font>
      <sz val="11"/>
      <color rgb="FF1F1F1F"/>
      <name val="&quot;Google Sans&quot;"/>
    </font>
    <font>
      <b/>
      <i/>
      <sz val="10"/>
      <color theme="1"/>
      <name val="Arial"/>
    </font>
  </fonts>
  <fills count="12">
    <fill>
      <patternFill patternType="none"/>
    </fill>
    <fill>
      <patternFill patternType="gray125"/>
    </fill>
    <fill>
      <patternFill patternType="solid">
        <fgColor rgb="FFEA9999"/>
        <bgColor rgb="FFEA9999"/>
      </patternFill>
    </fill>
    <fill>
      <patternFill patternType="solid">
        <fgColor rgb="FF00FFFF"/>
        <bgColor rgb="FF00FFFF"/>
      </patternFill>
    </fill>
    <fill>
      <patternFill patternType="solid">
        <fgColor rgb="FFFFFFFF"/>
        <bgColor rgb="FFFFFFFF"/>
      </patternFill>
    </fill>
    <fill>
      <patternFill patternType="solid">
        <fgColor rgb="FFFFE599"/>
        <bgColor rgb="FFFFE599"/>
      </patternFill>
    </fill>
    <fill>
      <patternFill patternType="solid">
        <fgColor rgb="FFFFF2CC"/>
        <bgColor rgb="FFFFF2CC"/>
      </patternFill>
    </fill>
    <fill>
      <patternFill patternType="solid">
        <fgColor rgb="FFCCCCCC"/>
        <bgColor rgb="FFCCCCCC"/>
      </patternFill>
    </fill>
    <fill>
      <patternFill patternType="solid">
        <fgColor rgb="FFD9D9D9"/>
        <bgColor rgb="FFD9D9D9"/>
      </patternFill>
    </fill>
    <fill>
      <patternFill patternType="solid">
        <fgColor rgb="FFE6B8AF"/>
        <bgColor rgb="FFE6B8AF"/>
      </patternFill>
    </fill>
    <fill>
      <patternFill patternType="solid">
        <fgColor rgb="FF00FF00"/>
        <bgColor rgb="FF00FF00"/>
      </patternFill>
    </fill>
    <fill>
      <patternFill patternType="solid">
        <fgColor rgb="FFDD7E6B"/>
        <bgColor rgb="FFDD7E6B"/>
      </patternFill>
    </fill>
  </fills>
  <borders count="4">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36">
    <xf numFmtId="0" fontId="0" fillId="0" borderId="0" xfId="0"/>
    <xf numFmtId="0" fontId="1" fillId="0" borderId="0" xfId="0" applyFont="1"/>
    <xf numFmtId="0" fontId="1" fillId="0" borderId="0" xfId="0" applyFont="1" applyAlignment="1">
      <alignment wrapText="1"/>
    </xf>
    <xf numFmtId="164" fontId="1" fillId="0" borderId="0" xfId="0" applyNumberFormat="1" applyFont="1"/>
    <xf numFmtId="0" fontId="1" fillId="0" borderId="0" xfId="0" quotePrefix="1" applyFont="1"/>
    <xf numFmtId="0" fontId="3" fillId="4" borderId="0" xfId="0" applyFont="1" applyFill="1" applyAlignment="1">
      <alignment horizontal="left"/>
    </xf>
    <xf numFmtId="0" fontId="1" fillId="5" borderId="0" xfId="0" applyFont="1" applyFill="1"/>
    <xf numFmtId="0" fontId="1" fillId="6" borderId="0" xfId="0" applyFont="1" applyFill="1"/>
    <xf numFmtId="0" fontId="4" fillId="0" borderId="1" xfId="0" applyFont="1" applyBorder="1" applyAlignment="1">
      <alignment horizontal="center" vertical="center"/>
    </xf>
    <xf numFmtId="0" fontId="5" fillId="4" borderId="1" xfId="0" applyFont="1" applyFill="1" applyBorder="1" applyAlignment="1">
      <alignment horizontal="center" vertical="center" wrapText="1"/>
    </xf>
    <xf numFmtId="0" fontId="5" fillId="4" borderId="1" xfId="0" applyFont="1" applyFill="1" applyBorder="1" applyAlignment="1">
      <alignment horizontal="center" wrapText="1"/>
    </xf>
    <xf numFmtId="0" fontId="4" fillId="0" borderId="0" xfId="0" applyFont="1" applyAlignment="1">
      <alignment horizontal="center"/>
    </xf>
    <xf numFmtId="0" fontId="1" fillId="0" borderId="1" xfId="0" applyFont="1" applyBorder="1" applyAlignment="1">
      <alignment horizontal="center" vertical="center"/>
    </xf>
    <xf numFmtId="0" fontId="1" fillId="0" borderId="1" xfId="0" applyFont="1" applyBorder="1" applyAlignment="1">
      <alignment horizontal="center" vertical="center" wrapText="1"/>
    </xf>
    <xf numFmtId="0" fontId="1" fillId="0" borderId="1" xfId="0" applyFont="1" applyBorder="1" applyAlignment="1">
      <alignment wrapText="1"/>
    </xf>
    <xf numFmtId="0" fontId="1" fillId="3" borderId="1" xfId="0" applyFont="1" applyFill="1" applyBorder="1" applyAlignment="1">
      <alignment horizontal="center"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1" fillId="8" borderId="1" xfId="0" applyFont="1" applyFill="1" applyBorder="1"/>
    <xf numFmtId="0" fontId="8" fillId="4" borderId="0" xfId="0" applyFont="1" applyFill="1"/>
    <xf numFmtId="164" fontId="1" fillId="5" borderId="0" xfId="0" applyNumberFormat="1" applyFont="1" applyFill="1"/>
    <xf numFmtId="0" fontId="9" fillId="0" borderId="0" xfId="0" applyFont="1" applyAlignment="1">
      <alignment horizontal="left" vertical="center" wrapText="1"/>
    </xf>
    <xf numFmtId="0" fontId="1" fillId="8" borderId="0" xfId="0" applyFont="1" applyFill="1"/>
    <xf numFmtId="0" fontId="1" fillId="0" borderId="1" xfId="0" applyFont="1" applyBorder="1"/>
    <xf numFmtId="0" fontId="10" fillId="7" borderId="1" xfId="0" applyFont="1" applyFill="1" applyBorder="1" applyAlignment="1">
      <alignment horizontal="center"/>
    </xf>
    <xf numFmtId="0" fontId="1" fillId="7" borderId="1" xfId="0" applyFont="1" applyFill="1" applyBorder="1" applyAlignment="1">
      <alignment horizontal="center"/>
    </xf>
    <xf numFmtId="0" fontId="11" fillId="0" borderId="1" xfId="0" applyFont="1" applyBorder="1"/>
    <xf numFmtId="0" fontId="11" fillId="10" borderId="1" xfId="0" applyFont="1" applyFill="1" applyBorder="1"/>
    <xf numFmtId="0" fontId="12" fillId="4" borderId="0" xfId="0" applyFont="1" applyFill="1"/>
    <xf numFmtId="0" fontId="11" fillId="7" borderId="1" xfId="0" applyFont="1" applyFill="1" applyBorder="1"/>
    <xf numFmtId="0" fontId="11" fillId="2" borderId="1" xfId="0" applyFont="1" applyFill="1" applyBorder="1"/>
    <xf numFmtId="0" fontId="2" fillId="0" borderId="1" xfId="0" applyFont="1" applyBorder="1"/>
    <xf numFmtId="0" fontId="6" fillId="11" borderId="1" xfId="0" applyFont="1" applyFill="1" applyBorder="1"/>
    <xf numFmtId="0" fontId="13" fillId="9" borderId="1" xfId="0" applyFont="1" applyFill="1" applyBorder="1"/>
    <xf numFmtId="0" fontId="1" fillId="7" borderId="2" xfId="0" applyFont="1" applyFill="1" applyBorder="1" applyAlignment="1">
      <alignment horizontal="center"/>
    </xf>
    <xf numFmtId="0" fontId="7" fillId="0" borderId="3" xfId="0" applyFont="1" applyBorder="1"/>
  </cellXfs>
  <cellStyles count="1">
    <cellStyle name="Normal" xfId="0" builtinId="0"/>
  </cellStyles>
  <dxfs count="7">
    <dxf>
      <fill>
        <patternFill patternType="solid">
          <fgColor rgb="FFFFF2CC"/>
          <bgColor rgb="FFFFF2CC"/>
        </patternFill>
      </fill>
    </dxf>
    <dxf>
      <fill>
        <patternFill patternType="solid">
          <fgColor rgb="FFEA9999"/>
          <bgColor rgb="FFEA9999"/>
        </patternFill>
      </fill>
    </dxf>
    <dxf>
      <fill>
        <patternFill patternType="solid">
          <fgColor rgb="FFEA9999"/>
          <bgColor rgb="FFEA9999"/>
        </patternFill>
      </fill>
    </dxf>
    <dxf>
      <fill>
        <patternFill patternType="solid">
          <fgColor rgb="FFA4C2F4"/>
          <bgColor rgb="FFA4C2F4"/>
        </patternFill>
      </fill>
    </dxf>
    <dxf>
      <font>
        <color rgb="FF000000"/>
      </font>
      <fill>
        <patternFill patternType="solid">
          <fgColor rgb="FFEA9999"/>
          <bgColor rgb="FFEA9999"/>
        </patternFill>
      </fill>
    </dxf>
    <dxf>
      <fill>
        <patternFill patternType="solid">
          <fgColor rgb="FFEA9999"/>
          <bgColor rgb="FFEA9999"/>
        </patternFill>
      </fill>
    </dxf>
    <dxf>
      <fill>
        <patternFill patternType="solid">
          <fgColor rgb="FFEA9999"/>
          <bgColor rgb="FFEA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0"/>
  <sheetViews>
    <sheetView tabSelected="1" workbookViewId="0">
      <selection activeCell="B18" sqref="B18"/>
    </sheetView>
  </sheetViews>
  <sheetFormatPr defaultColWidth="12.5703125" defaultRowHeight="15.75" customHeight="1"/>
  <cols>
    <col min="1" max="1" width="25.42578125" customWidth="1"/>
    <col min="2" max="2" width="56" customWidth="1"/>
    <col min="3" max="3" width="79.140625" customWidth="1"/>
    <col min="4" max="4" width="30.5703125" customWidth="1"/>
    <col min="5" max="5" width="31.5703125" customWidth="1"/>
    <col min="6" max="6" width="25.42578125" customWidth="1"/>
    <col min="8" max="8" width="28.28515625" customWidth="1"/>
    <col min="10" max="10" width="24.7109375" customWidth="1"/>
    <col min="11" max="11" width="14.7109375" customWidth="1"/>
  </cols>
  <sheetData>
    <row r="1" spans="1:26" ht="15.75" customHeight="1">
      <c r="A1" s="8" t="str">
        <f ca="1">IFERROR(__xludf.DUMMYFUNCTION("IMPORTRANGE(""https://docs.google.com/spreadsheets/d/10k1GMh10yhkQIserNdZTyM3hTqdRzdq87lbCp4ZJN2c/edit?usp=sharing"",""ShortTitles!G:G"")"),"Short_Title")</f>
        <v>Short_Title</v>
      </c>
      <c r="B1" s="9" t="str">
        <f ca="1">IFERROR(__xludf.DUMMYFUNCTION("IMPORTRANGE(""https://docs.google.com/spreadsheets/d/10k1GMh10yhkQIserNdZTyM3hTqdRzdq87lbCp4ZJN2c/edit?usp=sharing"",""RegistrationsF24!C:C"")"),"Project Title")</f>
        <v>Project Title</v>
      </c>
      <c r="C1" s="10" t="str">
        <f ca="1">IFERROR(__xludf.DUMMYFUNCTION("IMPORTRANGE(""https://docs.google.com/spreadsheets/d/10k1GMh10yhkQIserNdZTyM3hTqdRzdq87lbCp4ZJN2c/edit?usp=sharing"",""RegistrationsF24!AG:AG"")"),"Project Scope")</f>
        <v>Project Scope</v>
      </c>
      <c r="D1" s="8" t="str">
        <f ca="1">IFERROR(__xludf.DUMMYFUNCTION("IMPORTRANGE(""https://docs.google.com/spreadsheets/d/10k1GMh10yhkQIserNdZTyM3hTqdRzdq87lbCp4ZJN2c/edit?usp=sharing"",""RegistrationsF24!E:F"")"),"Supervisor")</f>
        <v>Supervisor</v>
      </c>
      <c r="E1" s="8" t="str">
        <f ca="1">IFERROR(__xludf.DUMMYFUNCTION("""COMPUTED_VALUE"""),"Co-Supervisor")</f>
        <v>Co-Supervisor</v>
      </c>
      <c r="F1" s="8" t="str">
        <f ca="1">IFERROR(__xludf.DUMMYFUNCTION("IMPORTRANGE(""https://docs.google.com/spreadsheets/d/10k1GMh10yhkQIserNdZTyM3hTqdRzdq87lbCp4ZJN2c/edit?usp=sharing"",""RegistrationsF24!H:I"")"),"Name (Member-1)")</f>
        <v>Name (Member-1)</v>
      </c>
      <c r="G1" s="8" t="str">
        <f ca="1">IFERROR(__xludf.DUMMYFUNCTION("""COMPUTED_VALUE"""),"Roll Number (i19XXXX)  (Member-1)")</f>
        <v>Roll Number (i19XXXX)  (Member-1)</v>
      </c>
      <c r="H1" s="8" t="str">
        <f ca="1">IFERROR(__xludf.DUMMYFUNCTION("IMPORTRANGE(""https://docs.google.com/spreadsheets/d/10k1GMh10yhkQIserNdZTyM3hTqdRzdq87lbCp4ZJN2c/edit?usp=sharing"",""RegistrationsF24!P:Q"")"),"Name  (Member-2)")</f>
        <v>Name  (Member-2)</v>
      </c>
      <c r="I1" s="8" t="str">
        <f ca="1">IFERROR(__xludf.DUMMYFUNCTION("""COMPUTED_VALUE"""),"Roll Number (i19XXXX)  (Member-2)")</f>
        <v>Roll Number (i19XXXX)  (Member-2)</v>
      </c>
      <c r="J1" s="8" t="str">
        <f ca="1">IFERROR(__xludf.DUMMYFUNCTION("IMPORTRANGE(""https://docs.google.com/spreadsheets/d/10k1GMh10yhkQIserNdZTyM3hTqdRzdq87lbCp4ZJN2c/edit?usp=sharing"",""RegistrationsF24!X:Y"")"),"Name  (Member-3)")</f>
        <v>Name  (Member-3)</v>
      </c>
      <c r="K1" s="8" t="str">
        <f ca="1">IFERROR(__xludf.DUMMYFUNCTION("""COMPUTED_VALUE"""),"Roll Number (i19XXXX)  (Member-3)")</f>
        <v>Roll Number (i19XXXX)  (Member-3)</v>
      </c>
      <c r="L1" s="11"/>
      <c r="M1" s="11"/>
      <c r="N1" s="11"/>
      <c r="O1" s="11"/>
      <c r="P1" s="11"/>
      <c r="Q1" s="11"/>
      <c r="R1" s="11"/>
      <c r="S1" s="11"/>
      <c r="T1" s="11"/>
      <c r="U1" s="11"/>
      <c r="V1" s="11"/>
      <c r="W1" s="11"/>
      <c r="X1" s="11"/>
      <c r="Y1" s="11"/>
      <c r="Z1" s="11"/>
    </row>
    <row r="2" spans="1:26">
      <c r="A2" s="12" t="str">
        <f ca="1">IFERROR(__xludf.DUMMYFUNCTION("""COMPUTED_VALUE"""),"F24-001-D-ProbeXpert")</f>
        <v>F24-001-D-ProbeXpert</v>
      </c>
      <c r="B2" s="13" t="str">
        <f ca="1">IFERROR(__xludf.DUMMYFUNCTION("""COMPUTED_VALUE"""),"ProbeXpert")</f>
        <v>ProbeXpert</v>
      </c>
      <c r="C2" s="14" t="str">
        <f ca="1">IFERROR(__xludf.DUMMYFUNCTION("""COMPUTED_VALUE"""),"ProbeXpert is a risk assessment tool that integrates security testing through independent worker nodes. Its intuitive, one click interface is designed for both tech experts and beginners alike. The platform boosts a robust tools manager, enriched by data "&amp;"from multiple sources for precise accuracy for evaluating network vulnerabilities, IP reputation, DNS health, or endpoint security. ProbeXpert offers efficient, accurate, and scalable solutions for cybersecurity and risk assessments")</f>
        <v>ProbeXpert is a risk assessment tool that integrates security testing through independent worker nodes. Its intuitive, one click interface is designed for both tech experts and beginners alike. The platform boosts a robust tools manager, enriched by data from multiple sources for precise accuracy for evaluating network vulnerabilities, IP reputation, DNS health, or endpoint security. ProbeXpert offers efficient, accurate, and scalable solutions for cybersecurity and risk assessments</v>
      </c>
      <c r="D2" s="12" t="str">
        <f ca="1">IFERROR(__xludf.DUMMYFUNCTION("""COMPUTED_VALUE"""),"Dr. Muhammad Asim")</f>
        <v>Dr. Muhammad Asim</v>
      </c>
      <c r="E2" s="12" t="str">
        <f ca="1">IFERROR(__xludf.DUMMYFUNCTION("""COMPUTED_VALUE"""),"Mr. Irfan Ullah")</f>
        <v>Mr. Irfan Ullah</v>
      </c>
      <c r="F2" s="12" t="str">
        <f ca="1">IFERROR(__xludf.DUMMYFUNCTION("""COMPUTED_VALUE"""),"Usman Naeem")</f>
        <v>Usman Naeem</v>
      </c>
      <c r="G2" s="12" t="str">
        <f ca="1">IFERROR(__xludf.DUMMYFUNCTION("""COMPUTED_VALUE"""),"i211560")</f>
        <v>i211560</v>
      </c>
      <c r="H2" s="12" t="str">
        <f ca="1">IFERROR(__xludf.DUMMYFUNCTION("""COMPUTED_VALUE"""),"Muhammad Faheem")</f>
        <v>Muhammad Faheem</v>
      </c>
      <c r="I2" s="12" t="str">
        <f ca="1">IFERROR(__xludf.DUMMYFUNCTION("""COMPUTED_VALUE"""),"i211910")</f>
        <v>i211910</v>
      </c>
      <c r="J2" s="12" t="str">
        <f ca="1">IFERROR(__xludf.DUMMYFUNCTION("""COMPUTED_VALUE"""),"Mahareeb Fatima")</f>
        <v>Mahareeb Fatima</v>
      </c>
      <c r="K2" s="12" t="str">
        <f ca="1">IFERROR(__xludf.DUMMYFUNCTION("""COMPUTED_VALUE"""),"i211564")</f>
        <v>i211564</v>
      </c>
    </row>
    <row r="3" spans="1:26">
      <c r="A3" s="12" t="str">
        <f ca="1">IFERROR(__xludf.DUMMYFUNCTION("""COMPUTED_VALUE"""),"F24-002-D-Khiladi")</f>
        <v>F24-002-D-Khiladi</v>
      </c>
      <c r="B3" s="13" t="str">
        <f ca="1">IFERROR(__xludf.DUMMYFUNCTION("""COMPUTED_VALUE"""),"Khiladi")</f>
        <v>Khiladi</v>
      </c>
      <c r="C3" s="14" t="str">
        <f ca="1">IFERROR(__xludf.DUMMYFUNCTION("""COMPUTED_VALUE"""),"Khiladi: AI-Powered Cricket Coaching is an advanced application that uses artificial intelligence to provide personalized cricket coaching and performance analysis. The project focuses on delivering real-time feedback on player techniques,(bowling), throu"&amp;"gh video analysis and performance metrics. It includes tailored training programs, strategic insights, and progress tracking to enhance players' skills. Integration with wearable technology will enable detailed data collection, making the app a comprehens"&amp;"ive tool for improving cricket performance.
Real-Time Video Analysis: Captures and analyzes player techniques using AI to provide instant feedback and recommendations.
Personalized Training Programs: Custom training regimens based on the player's skill "&amp;"level, goals, and performance data.
Performance Metrics Tracking: Monitors and displays key performance indicators like batting average, bowling speed, and fielding accuracy.
AI-Driven Skill Improvement: Offers targeted drills and exercises designed to "&amp;"enhance specific skills based on analysis.
Progress Reports: Generates detailed reports and visualizations to track improvements and identify areas for further development.
Community Features: Allows users to connect with coaches and other players for f"&amp;"eedback, advice, and sharing achievements.
Interactive Tutorials: Includes video tutorials and interactive lessons from professional coaches and players.
Functionality: Users must be able to create new cricket matches or events through an intuitive inte"&amp;"rface.")</f>
        <v>Khiladi: AI-Powered Cricket Coaching is an advanced application that uses artificial intelligence to provide personalized cricket coaching and performance analysis. The project focuses on delivering real-time feedback on player techniques,(bowling), through video analysis and performance metrics. It includes tailored training programs, strategic insights, and progress tracking to enhance players' skills. Integration with wearable technology will enable detailed data collection, making the app a comprehensive tool for improving cricket performance.
Real-Time Video Analysis: Captures and analyzes player techniques using AI to provide instant feedback and recommendations.
Personalized Training Programs: Custom training regimens based on the player's skill level, goals, and performance data.
Performance Metrics Tracking: Monitors and displays key performance indicators like batting average, bowling speed, and fielding accuracy.
AI-Driven Skill Improvement: Offers targeted drills and exercises designed to enhance specific skills based on analysis.
Progress Reports: Generates detailed reports and visualizations to track improvements and identify areas for further development.
Community Features: Allows users to connect with coaches and other players for feedback, advice, and sharing achievements.
Interactive Tutorials: Includes video tutorials and interactive lessons from professional coaches and players.
Functionality: Users must be able to create new cricket matches or events through an intuitive interface.</v>
      </c>
      <c r="D3" s="12" t="str">
        <f ca="1">IFERROR(__xludf.DUMMYFUNCTION("""COMPUTED_VALUE"""),"Mr. Saad Salman")</f>
        <v>Mr. Saad Salman</v>
      </c>
      <c r="E3" s="12"/>
      <c r="F3" s="12" t="str">
        <f ca="1">IFERROR(__xludf.DUMMYFUNCTION("""COMPUTED_VALUE"""),"Minahil Rashid")</f>
        <v>Minahil Rashid</v>
      </c>
      <c r="G3" s="12" t="str">
        <f ca="1">IFERROR(__xludf.DUMMYFUNCTION("""COMPUTED_VALUE"""),"i212547")</f>
        <v>i212547</v>
      </c>
      <c r="H3" s="12" t="str">
        <f ca="1">IFERROR(__xludf.DUMMYFUNCTION("""COMPUTED_VALUE"""),"Muhammad Ibrahim bin Naeem")</f>
        <v>Muhammad Ibrahim bin Naeem</v>
      </c>
      <c r="I3" s="12" t="str">
        <f ca="1">IFERROR(__xludf.DUMMYFUNCTION("""COMPUTED_VALUE"""),"i210512")</f>
        <v>i210512</v>
      </c>
      <c r="J3" s="12" t="str">
        <f ca="1">IFERROR(__xludf.DUMMYFUNCTION("""COMPUTED_VALUE"""),"Muhammad Talal Habshi")</f>
        <v>Muhammad Talal Habshi</v>
      </c>
      <c r="K3" s="12" t="str">
        <f ca="1">IFERROR(__xludf.DUMMYFUNCTION("""COMPUTED_VALUE"""),"i212456")</f>
        <v>i212456</v>
      </c>
    </row>
    <row r="4" spans="1:26">
      <c r="A4" s="12" t="str">
        <f ca="1">IFERROR(__xludf.DUMMYFUNCTION("""COMPUTED_VALUE"""),"F24-003-D-GRCAssist")</f>
        <v>F24-003-D-GRCAssist</v>
      </c>
      <c r="B4" s="13" t="str">
        <f ca="1">IFERROR(__xludf.DUMMYFUNCTION("""COMPUTED_VALUE"""),"Smart ISO 27001 Compliance Solution")</f>
        <v>Smart ISO 27001 Compliance Solution</v>
      </c>
      <c r="C4" s="14" t="str">
        <f ca="1">IFERROR(__xludf.DUMMYFUNCTION("""COMPUTED_VALUE"""),"GRCAssistant is a virtual assistant for auditors, helping them conduct internal compliance easily. It automates the extraction of important network information related to ISO 27001, eliminating the need for manual extraction. Additionally, GRCAssistant us"&amp;"es NLP to extract information from company standard documents and allows auditors to manage multiple projects.
1.Automated Network Information Extraction
2.NLP Document Analysis
3.Project Management
4.User-Friendly Interface
5.Template Library
6.Recommen"&amp;"dation on compliance  
7.Excel Sheet Upload")</f>
        <v>GRCAssistant is a virtual assistant for auditors, helping them conduct internal compliance easily. It automates the extraction of important network information related to ISO 27001, eliminating the need for manual extraction. Additionally, GRCAssistant uses NLP to extract information from company standard documents and allows auditors to manage multiple projects.
1.Automated Network Information Extraction
2.NLP Document Analysis
3.Project Management
4.User-Friendly Interface
5.Template Library
6.Recommendation on compliance  
7.Excel Sheet Upload</v>
      </c>
      <c r="D4" s="12" t="str">
        <f ca="1">IFERROR(__xludf.DUMMYFUNCTION("""COMPUTED_VALUE"""),"Mr. Mehmood Ul Hassan")</f>
        <v>Mr. Mehmood Ul Hassan</v>
      </c>
      <c r="E4" s="12" t="str">
        <f ca="1">IFERROR(__xludf.DUMMYFUNCTION("""COMPUTED_VALUE"""),"Mr. Muhammad Abdullah Abid")</f>
        <v>Mr. Muhammad Abdullah Abid</v>
      </c>
      <c r="F4" s="12" t="str">
        <f ca="1">IFERROR(__xludf.DUMMYFUNCTION("""COMPUTED_VALUE"""),"Israr Ahmed ")</f>
        <v xml:space="preserve">Israr Ahmed </v>
      </c>
      <c r="G4" s="12" t="str">
        <f ca="1">IFERROR(__xludf.DUMMYFUNCTION("""COMPUTED_VALUE"""),"i211902")</f>
        <v>i211902</v>
      </c>
      <c r="H4" s="12" t="str">
        <f ca="1">IFERROR(__xludf.DUMMYFUNCTION("""COMPUTED_VALUE"""),"Burhan ud din ")</f>
        <v xml:space="preserve">Burhan ud din </v>
      </c>
      <c r="I4" s="12" t="str">
        <f ca="1">IFERROR(__xludf.DUMMYFUNCTION("""COMPUTED_VALUE"""),"i211558")</f>
        <v>i211558</v>
      </c>
      <c r="J4" s="12" t="str">
        <f ca="1">IFERROR(__xludf.DUMMYFUNCTION("""COMPUTED_VALUE"""),"Hadia Tariq")</f>
        <v>Hadia Tariq</v>
      </c>
      <c r="K4" s="12" t="str">
        <f ca="1">IFERROR(__xludf.DUMMYFUNCTION("""COMPUTED_VALUE"""),"i211907")</f>
        <v>i211907</v>
      </c>
    </row>
    <row r="5" spans="1:26">
      <c r="A5" s="12" t="str">
        <f ca="1">IFERROR(__xludf.DUMMYFUNCTION("""COMPUTED_VALUE"""),"F24-004-D-Traffix")</f>
        <v>F24-004-D-Traffix</v>
      </c>
      <c r="B5" s="13" t="str">
        <f ca="1">IFERROR(__xludf.DUMMYFUNCTION("""COMPUTED_VALUE"""),"Traffix")</f>
        <v>Traffix</v>
      </c>
      <c r="C5" s="14" t="str">
        <f ca="1">IFERROR(__xludf.DUMMYFUNCTION("""COMPUTED_VALUE"""),"Our project will be a smart traffic management system which will be using integration of video processing algorithms. It will be able to use cctv footages as inputs and apply scheduling algorithms on smart signals to automate them such that it reduces wai"&amp;"ting time and in return reduces traffic congestion. Also this project will be dealing with emergency vehicles to provide them clear paths and generate automated challan to reduce traffic blockage and smoother the traffic flow.
1-Real-time object detectio"&amp;"n using YOLO.
2-Car density calculation across different lanes.
3-Adaptive traffic signal scheduling based on real-time data.
4-Emergency vehicle detection and prioritization.
5-Automated vehicle challan detection for traffic violations.
6-Traffic congest"&amp;"ion control strategies.
7-Real-time monitoring of traffic conditions.
8-Manual signal timing adjustments.")</f>
        <v>Our project will be a smart traffic management system which will be using integration of video processing algorithms. It will be able to use cctv footages as inputs and apply scheduling algorithms on smart signals to automate them such that it reduces waiting time and in return reduces traffic congestion. Also this project will be dealing with emergency vehicles to provide them clear paths and generate automated challan to reduce traffic blockage and smoother the traffic flow.
1-Real-time object detection using YOLO.
2-Car density calculation across different lanes.
3-Adaptive traffic signal scheduling based on real-time data.
4-Emergency vehicle detection and prioritization.
5-Automated vehicle challan detection for traffic violations.
6-Traffic congestion control strategies.
7-Real-time monitoring of traffic conditions.
8-Manual signal timing adjustments.</v>
      </c>
      <c r="D5" s="12" t="str">
        <f ca="1">IFERROR(__xludf.DUMMYFUNCTION("""COMPUTED_VALUE"""),"Mr. Bilal Khalid Dar")</f>
        <v>Mr. Bilal Khalid Dar</v>
      </c>
      <c r="E5" s="12" t="str">
        <f ca="1">IFERROR(__xludf.DUMMYFUNCTION("""COMPUTED_VALUE"""),"Ms. Zoya Mahboob")</f>
        <v>Ms. Zoya Mahboob</v>
      </c>
      <c r="F5" s="12" t="str">
        <f ca="1">IFERROR(__xludf.DUMMYFUNCTION("""COMPUTED_VALUE"""),"Zaib Un Nisa")</f>
        <v>Zaib Un Nisa</v>
      </c>
      <c r="G5" s="12" t="str">
        <f ca="1">IFERROR(__xludf.DUMMYFUNCTION("""COMPUTED_VALUE"""),"i210383")</f>
        <v>i210383</v>
      </c>
      <c r="H5" s="12" t="str">
        <f ca="1">IFERROR(__xludf.DUMMYFUNCTION("""COMPUTED_VALUE"""),"Sara Meer Hussain")</f>
        <v>Sara Meer Hussain</v>
      </c>
      <c r="I5" s="12" t="str">
        <f ca="1">IFERROR(__xludf.DUMMYFUNCTION("""COMPUTED_VALUE"""),"i210644")</f>
        <v>i210644</v>
      </c>
      <c r="J5" s="12" t="str">
        <f ca="1">IFERROR(__xludf.DUMMYFUNCTION("""COMPUTED_VALUE"""),"Javaria Habib ")</f>
        <v xml:space="preserve">Javaria Habib </v>
      </c>
      <c r="K5" s="12" t="str">
        <f ca="1">IFERROR(__xludf.DUMMYFUNCTION("""COMPUTED_VALUE"""),"i212485")</f>
        <v>i212485</v>
      </c>
    </row>
    <row r="6" spans="1:26">
      <c r="A6" s="12" t="str">
        <f ca="1">IFERROR(__xludf.DUMMYFUNCTION("""COMPUTED_VALUE"""),"F24-005-D-HireUp")</f>
        <v>F24-005-D-HireUp</v>
      </c>
      <c r="B6" s="13" t="str">
        <f ca="1">IFERROR(__xludf.DUMMYFUNCTION("""COMPUTED_VALUE"""),"HireUp")</f>
        <v>HireUp</v>
      </c>
      <c r="C6" s="14" t="str">
        <f ca="1">IFERROR(__xludf.DUMMYFUNCTION("""COMPUTED_VALUE"""),"HireUp will enable recruiters to have an automated recruitment system which will shortlist the most eligible candidates for them by automatically filtering their CVs and assessing them through automated interviews or tests. 
Applicants will receive an eas"&amp;"ier access to job opportunities as they will receive job suggestions according to their domains and desired locations. They can then apply to their desired jobs and receive notifications about the status of their application throughout. 
Features:
1. CV F"&amp;"iltration 
2. Video Interview Analysis
3. Test Creation
4. Job posting and management
5. Job search and application
6. Job Recommendations
7.  Subscription
8. Interview and test scheduling
9. Notifications
10. Application tracking")</f>
        <v>HireUp will enable recruiters to have an automated recruitment system which will shortlist the most eligible candidates for them by automatically filtering their CVs and assessing them through automated interviews or tests. 
Applicants will receive an easier access to job opportunities as they will receive job suggestions according to their domains and desired locations. They can then apply to their desired jobs and receive notifications about the status of their application throughout. 
Features:
1. CV Filtration 
2. Video Interview Analysis
3. Test Creation
4. Job posting and management
5. Job search and application
6. Job Recommendations
7.  Subscription
8. Interview and test scheduling
9. Notifications
10. Application tracking</v>
      </c>
      <c r="D6" s="12" t="str">
        <f ca="1">IFERROR(__xludf.DUMMYFUNCTION("""COMPUTED_VALUE"""),"Mr. Bilal Khalid Dar")</f>
        <v>Mr. Bilal Khalid Dar</v>
      </c>
      <c r="E6" s="12" t="str">
        <f ca="1">IFERROR(__xludf.DUMMYFUNCTION("""COMPUTED_VALUE"""),"Ms. Zoya Mahboob")</f>
        <v>Ms. Zoya Mahboob</v>
      </c>
      <c r="F6" s="12" t="str">
        <f ca="1">IFERROR(__xludf.DUMMYFUNCTION("""COMPUTED_VALUE"""),"Khadija Afzal ")</f>
        <v xml:space="preserve">Khadija Afzal </v>
      </c>
      <c r="G6" s="12" t="str">
        <f ca="1">IFERROR(__xludf.DUMMYFUNCTION("""COMPUTED_VALUE"""),"i210377")</f>
        <v>i210377</v>
      </c>
      <c r="H6" s="12" t="str">
        <f ca="1">IFERROR(__xludf.DUMMYFUNCTION("""COMPUTED_VALUE"""),"Fatima Mustafa ")</f>
        <v xml:space="preserve">Fatima Mustafa </v>
      </c>
      <c r="I6" s="12" t="str">
        <f ca="1">IFERROR(__xludf.DUMMYFUNCTION("""COMPUTED_VALUE"""),"i210535")</f>
        <v>i210535</v>
      </c>
      <c r="J6" s="12" t="str">
        <f ca="1">IFERROR(__xludf.DUMMYFUNCTION("""COMPUTED_VALUE"""),"Malaika Azeem")</f>
        <v>Malaika Azeem</v>
      </c>
      <c r="K6" s="12" t="str">
        <f ca="1">IFERROR(__xludf.DUMMYFUNCTION("""COMPUTED_VALUE"""),"i212597")</f>
        <v>i212597</v>
      </c>
    </row>
    <row r="7" spans="1:26">
      <c r="A7" s="12" t="str">
        <f ca="1">IFERROR(__xludf.DUMMYFUNCTION("""COMPUTED_VALUE"""),"F24-006-D-MedTrove")</f>
        <v>F24-006-D-MedTrove</v>
      </c>
      <c r="B7" s="13" t="str">
        <f ca="1">IFERROR(__xludf.DUMMYFUNCTION("""COMPUTED_VALUE"""),"MedTrove")</f>
        <v>MedTrove</v>
      </c>
      <c r="C7" s="14" t="str">
        <f ca="1">IFERROR(__xludf.DUMMYFUNCTION("""COMPUTED_VALUE"""),"Scope:
MedTrove is a cross platform mobile app which allows users to search for medications and find the appropriate medications at cheaper prices. Medibot, the AI chatbot provides basic medical advice and breaks down complex medical terms. The Pharmacy L"&amp;"ocator helps users find nearby pharmacies for convenient access to medication and services. The substitute drug identifier helps users check if two medications are safe to take together and users can book online consultations with certified doctors. Users"&amp;" can manage transactions securely with the Payment module, and contribute to those in need via the Donation feature.
MedTrove also helps users manage their intake of medications with the help of reminders.
Features:
1. Medibot
2. Pharmacy Locator
3. Med"&amp;"ication Search and Alternatives
4. Drug Interaction Checker
5. Online Consultations
6. Payment
7. Donations
8. Reminders
9. Profile Management
10. Vendor Portal
")</f>
        <v xml:space="preserve">Scope:
MedTrove is a cross platform mobile app which allows users to search for medications and find the appropriate medications at cheaper prices. Medibot, the AI chatbot provides basic medical advice and breaks down complex medical terms. The Pharmacy Locator helps users find nearby pharmacies for convenient access to medication and services. The substitute drug identifier helps users check if two medications are safe to take together and users can book online consultations with certified doctors. Users can manage transactions securely with the Payment module, and contribute to those in need via the Donation feature.
MedTrove also helps users manage their intake of medications with the help of reminders.
Features:
1. Medibot
2. Pharmacy Locator
3. Medication Search and Alternatives
4. Drug Interaction Checker
5. Online Consultations
6. Payment
7. Donations
8. Reminders
9. Profile Management
10. Vendor Portal
</v>
      </c>
      <c r="D7" s="12" t="str">
        <f ca="1">IFERROR(__xludf.DUMMYFUNCTION("""COMPUTED_VALUE"""),"Mr. Bilal Khalid Dar")</f>
        <v>Mr. Bilal Khalid Dar</v>
      </c>
      <c r="E7" s="12" t="str">
        <f ca="1">IFERROR(__xludf.DUMMYFUNCTION("""COMPUTED_VALUE"""),"Ms. Zoya Mahboob")</f>
        <v>Ms. Zoya Mahboob</v>
      </c>
      <c r="F7" s="12" t="str">
        <f ca="1">IFERROR(__xludf.DUMMYFUNCTION("""COMPUTED_VALUE"""),"Kissa Zahra")</f>
        <v>Kissa Zahra</v>
      </c>
      <c r="G7" s="12" t="str">
        <f ca="1">IFERROR(__xludf.DUMMYFUNCTION("""COMPUTED_VALUE"""),"i210572")</f>
        <v>i210572</v>
      </c>
      <c r="H7" s="12" t="str">
        <f ca="1">IFERROR(__xludf.DUMMYFUNCTION("""COMPUTED_VALUE"""),"Aliza Ibrahim")</f>
        <v>Aliza Ibrahim</v>
      </c>
      <c r="I7" s="12" t="str">
        <f ca="1">IFERROR(__xludf.DUMMYFUNCTION("""COMPUTED_VALUE"""),"i210470")</f>
        <v>i210470</v>
      </c>
      <c r="J7" s="12" t="str">
        <f ca="1">IFERROR(__xludf.DUMMYFUNCTION("""COMPUTED_VALUE"""),"Hamna Sadia Rizwan")</f>
        <v>Hamna Sadia Rizwan</v>
      </c>
      <c r="K7" s="12" t="str">
        <f ca="1">IFERROR(__xludf.DUMMYFUNCTION("""COMPUTED_VALUE"""),"i210603")</f>
        <v>i210603</v>
      </c>
    </row>
    <row r="8" spans="1:26">
      <c r="A8" s="12" t="str">
        <f ca="1">IFERROR(__xludf.DUMMYFUNCTION("""COMPUTED_VALUE"""),"F24-007-D-Voyaige")</f>
        <v>F24-007-D-Voyaige</v>
      </c>
      <c r="B8" s="13" t="str">
        <f ca="1">IFERROR(__xludf.DUMMYFUNCTION("""COMPUTED_VALUE"""),"Voyaige")</f>
        <v>Voyaige</v>
      </c>
      <c r="C8" s="14" t="str">
        <f ca="1">IFERROR(__xludf.DUMMYFUNCTION("""COMPUTED_VALUE"""),"In an era where planning a vacation may feel like navigating a maze of choices and unknowns, Voyaige stands out as a source of clarity for tourists traveling in Pakistan by addressing the numerous challenges associated with trip planning. It redefines per"&amp;"sonalization with the help of artificial intelligence (AI) and machine learning (ML). We aim to add the following features: 
- Chatbot 
- Form-based Recommendation System to Plan Itineraries 
- User Customized Trip Planning
- Tourist Attractions Panoramas"&amp;"
- Pre-Planned Trips 
- Challenges &amp; Incentives
- Booking Systems
- Payment Options")</f>
        <v>In an era where planning a vacation may feel like navigating a maze of choices and unknowns, Voyaige stands out as a source of clarity for tourists traveling in Pakistan by addressing the numerous challenges associated with trip planning. It redefines personalization with the help of artificial intelligence (AI) and machine learning (ML). We aim to add the following features: 
- Chatbot 
- Form-based Recommendation System to Plan Itineraries 
- User Customized Trip Planning
- Tourist Attractions Panoramas
- Pre-Planned Trips 
- Challenges &amp; Incentives
- Booking Systems
- Payment Options</v>
      </c>
      <c r="D8" s="12" t="str">
        <f ca="1">IFERROR(__xludf.DUMMYFUNCTION("""COMPUTED_VALUE"""),"Mr. Bilal Khalid Dar")</f>
        <v>Mr. Bilal Khalid Dar</v>
      </c>
      <c r="E8" s="12" t="str">
        <f ca="1">IFERROR(__xludf.DUMMYFUNCTION("""COMPUTED_VALUE"""),"Ms. Zoya Mahboob")</f>
        <v>Ms. Zoya Mahboob</v>
      </c>
      <c r="F8" s="12" t="str">
        <f ca="1">IFERROR(__xludf.DUMMYFUNCTION("""COMPUTED_VALUE"""),"Hamza Rauf")</f>
        <v>Hamza Rauf</v>
      </c>
      <c r="G8" s="12" t="str">
        <f ca="1">IFERROR(__xludf.DUMMYFUNCTION("""COMPUTED_VALUE"""),"i210604")</f>
        <v>i210604</v>
      </c>
      <c r="H8" s="12" t="str">
        <f ca="1">IFERROR(__xludf.DUMMYFUNCTION("""COMPUTED_VALUE"""),"Shamail Aamir Khan")</f>
        <v>Shamail Aamir Khan</v>
      </c>
      <c r="I8" s="12" t="str">
        <f ca="1">IFERROR(__xludf.DUMMYFUNCTION("""COMPUTED_VALUE"""),"i211772")</f>
        <v>i211772</v>
      </c>
      <c r="J8" s="12" t="str">
        <f ca="1">IFERROR(__xludf.DUMMYFUNCTION("""COMPUTED_VALUE"""),"Eman Furrukh")</f>
        <v>Eman Furrukh</v>
      </c>
      <c r="K8" s="12" t="str">
        <f ca="1">IFERROR(__xludf.DUMMYFUNCTION("""COMPUTED_VALUE"""),"i211726")</f>
        <v>i211726</v>
      </c>
    </row>
    <row r="9" spans="1:26">
      <c r="A9" s="12" t="str">
        <f ca="1">IFERROR(__xludf.DUMMYFUNCTION("""COMPUTED_VALUE"""),"F24-008-D-IntraSec")</f>
        <v>F24-008-D-IntraSec</v>
      </c>
      <c r="B9" s="13" t="str">
        <f ca="1">IFERROR(__xludf.DUMMYFUNCTION("""COMPUTED_VALUE"""),"Context aware user stories generator")</f>
        <v>Context aware user stories generator</v>
      </c>
      <c r="C9" s="14" t="str">
        <f ca="1">IFERROR(__xludf.DUMMYFUNCTION("""COMPUTED_VALUE"""),"Project Description:
This project focuses on developing an AI-powered tool that automates the generation of user stories from user requirements. The tool is designed to assist product managers, developers, and business analysts by translating high-level "&amp;"product requirements into clear, actionable user stories. These user stories will be detailed enough to guide the development process, ensuring alignment between stakeholders' visions and the final product. The scope of the project includes understanding "&amp;"user inputs, identifying functional and non-functional requirements, and creating comprehensive user stories that can be integrated into agile workflows.
Key Features:
1. Natural Language Processing (NLP): Utilizes advanced NLP algorithms to interpret a"&amp;"nd understand user requirements.
2. Customizable Templates: Offers a variety of user story templates to fit different project needs and methodologies.
3. AI-Driven User Story Generation: Automatically generates final user stories based on user requirement"&amp;"s and industry best practices, ensuring they are ready for immediate use in    development workflows.
4. Functional and Non-Functional Requirements Extraction: Automatically differentiates between functional and non-functional requirements from user input"&amp;"s.
5. Interactive User Interface: Features an intuitive interface for users to input, review, and modify requirements easily.
6. Requirement Validation: Includes a validation step to ensure that the generated user stories are complete and coherent.
7. Col"&amp;"laboration Features: Allows multiple users to collaborate and refine requirements in real time.
8. Version Control: Keeps track of changes to requirements and user stories, ensuring a clear history of revisions.")</f>
        <v>Project Description:
This project focuses on developing an AI-powered tool that automates the generation of user stories from user requirements. The tool is designed to assist product managers, developers, and business analysts by translating high-level product requirements into clear, actionable user stories. These user stories will be detailed enough to guide the development process, ensuring alignment between stakeholders' visions and the final product. The scope of the project includes understanding user inputs, identifying functional and non-functional requirements, and creating comprehensive user stories that can be integrated into agile workflows.
Key Features:
1. Natural Language Processing (NLP): Utilizes advanced NLP algorithms to interpret and understand user requirements.
2. Customizable Templates: Offers a variety of user story templates to fit different project needs and methodologies.
3. AI-Driven User Story Generation: Automatically generates final user stories based on user requirements and industry best practices, ensuring they are ready for immediate use in    development workflows.
4. Functional and Non-Functional Requirements Extraction: Automatically differentiates between functional and non-functional requirements from user inputs.
5. Interactive User Interface: Features an intuitive interface for users to input, review, and modify requirements easily.
6. Requirement Validation: Includes a validation step to ensure that the generated user stories are complete and coherent.
7. Collaboration Features: Allows multiple users to collaborate and refine requirements in real time.
8. Version Control: Keeps track of changes to requirements and user stories, ensuring a clear history of revisions.</v>
      </c>
      <c r="D9" s="12" t="str">
        <f ca="1">IFERROR(__xludf.DUMMYFUNCTION("""COMPUTED_VALUE"""),"Dr. Muhammad Asim")</f>
        <v>Dr. Muhammad Asim</v>
      </c>
      <c r="E9" s="12"/>
      <c r="F9" s="12" t="str">
        <f ca="1">IFERROR(__xludf.DUMMYFUNCTION("""COMPUTED_VALUE"""),"Muhammad Shamil Umar")</f>
        <v>Muhammad Shamil Umar</v>
      </c>
      <c r="G9" s="12" t="str">
        <f ca="1">IFERROR(__xludf.DUMMYFUNCTION("""COMPUTED_VALUE"""),"i211786")</f>
        <v>i211786</v>
      </c>
      <c r="H9" s="12" t="str">
        <f ca="1">IFERROR(__xludf.DUMMYFUNCTION("""COMPUTED_VALUE"""),"Afnaan Asif")</f>
        <v>Afnaan Asif</v>
      </c>
      <c r="I9" s="12" t="str">
        <f ca="1">IFERROR(__xludf.DUMMYFUNCTION("""COMPUTED_VALUE"""),"i211387")</f>
        <v>i211387</v>
      </c>
      <c r="J9" s="12" t="str">
        <f ca="1">IFERROR(__xludf.DUMMYFUNCTION("""COMPUTED_VALUE"""),"Hamiz Ahmed Siddiqui")</f>
        <v>Hamiz Ahmed Siddiqui</v>
      </c>
      <c r="K9" s="12" t="str">
        <f ca="1">IFERROR(__xludf.DUMMYFUNCTION("""COMPUTED_VALUE"""),"i211678")</f>
        <v>i211678</v>
      </c>
    </row>
    <row r="10" spans="1:26">
      <c r="A10" s="12" t="str">
        <f ca="1">IFERROR(__xludf.DUMMYFUNCTION("""COMPUTED_VALUE"""),"F24-009-D-FearLESS")</f>
        <v>F24-009-D-FearLESS</v>
      </c>
      <c r="B10" s="13" t="str">
        <f ca="1">IFERROR(__xludf.DUMMYFUNCTION("""COMPUTED_VALUE"""),"FearLESS")</f>
        <v>FearLESS</v>
      </c>
      <c r="C10" s="14" t="str">
        <f ca="1">IFERROR(__xludf.DUMMYFUNCTION("""COMPUTED_VALUE"""),"FearLESS is an application that uses Virtual Reality to provide the users with Exposure Therapy (VRET), this helps users face their fear gradually and overcome them. The exposure to the fear will be done using VR simulations. Users can also get help from "&amp;"a therapist/psychiatrist on our application, who can guide them (using video chat and messages) and help them face their fears. 
FearLESS's key features include:
1. Phobia Simulations (users see simulations of a particular phobia)
2. Simulation Levels (us"&amp;"ers can access easy, medium and hard levels of the simulation)
3. Counseling (users can chat and message the therapist)
4. Intensity Confirmation of fear (using questionnaires)
5. Progress Tracking (to see if simulations are helping users overcome their f"&amp;"ears)
6. Payment Module (users select a payment method to access therapist)
7. User Profile Management 
8. Feedback (of the application and simulations)")</f>
        <v>FearLESS is an application that uses Virtual Reality to provide the users with Exposure Therapy (VRET), this helps users face their fear gradually and overcome them. The exposure to the fear will be done using VR simulations. Users can also get help from a therapist/psychiatrist on our application, who can guide them (using video chat and messages) and help them face their fears. 
FearLESS's key features include:
1. Phobia Simulations (users see simulations of a particular phobia)
2. Simulation Levels (users can access easy, medium and hard levels of the simulation)
3. Counseling (users can chat and message the therapist)
4. Intensity Confirmation of fear (using questionnaires)
5. Progress Tracking (to see if simulations are helping users overcome their fears)
6. Payment Module (users select a payment method to access therapist)
7. User Profile Management 
8. Feedback (of the application and simulations)</v>
      </c>
      <c r="D10" s="12" t="str">
        <f ca="1">IFERROR(__xludf.DUMMYFUNCTION("""COMPUTED_VALUE"""),"Mr. Bilal Khalid Dar")</f>
        <v>Mr. Bilal Khalid Dar</v>
      </c>
      <c r="E10" s="12" t="str">
        <f ca="1">IFERROR(__xludf.DUMMYFUNCTION("""COMPUTED_VALUE"""),"Mr. Wasif Ali Wasif")</f>
        <v>Mr. Wasif Ali Wasif</v>
      </c>
      <c r="F10" s="12" t="str">
        <f ca="1">IFERROR(__xludf.DUMMYFUNCTION("""COMPUTED_VALUE"""),"Anum Batool")</f>
        <v>Anum Batool</v>
      </c>
      <c r="G10" s="12" t="str">
        <f ca="1">IFERROR(__xludf.DUMMYFUNCTION("""COMPUTED_VALUE"""),"i211186")</f>
        <v>i211186</v>
      </c>
      <c r="H10" s="12" t="str">
        <f ca="1">IFERROR(__xludf.DUMMYFUNCTION("""COMPUTED_VALUE"""),"Maleeha Younas")</f>
        <v>Maleeha Younas</v>
      </c>
      <c r="I10" s="12" t="str">
        <f ca="1">IFERROR(__xludf.DUMMYFUNCTION("""COMPUTED_VALUE"""),"i211168")</f>
        <v>i211168</v>
      </c>
      <c r="J10" s="12" t="str">
        <f ca="1">IFERROR(__xludf.DUMMYFUNCTION("""COMPUTED_VALUE"""),"Syeda Fatima Kazmi")</f>
        <v>Syeda Fatima Kazmi</v>
      </c>
      <c r="K10" s="12" t="str">
        <f ca="1">IFERROR(__xludf.DUMMYFUNCTION("""COMPUTED_VALUE"""),"i211213")</f>
        <v>i211213</v>
      </c>
    </row>
    <row r="11" spans="1:26">
      <c r="A11" s="12" t="str">
        <f ca="1">IFERROR(__xludf.DUMMYFUNCTION("""COMPUTED_VALUE"""),"F24-010-D-TalkTracks")</f>
        <v>F24-010-D-TalkTracks</v>
      </c>
      <c r="B11" s="13" t="str">
        <f ca="1">IFERROR(__xludf.DUMMYFUNCTION("""COMPUTED_VALUE"""),"Talk Tracks")</f>
        <v>Talk Tracks</v>
      </c>
      <c r="C11" s="14" t="str">
        <f ca="1">IFERROR(__xludf.DUMMYFUNCTION("""COMPUTED_VALUE"""),"Users have to navigate to the main page of Talk Tracks and to access features of our web app, they would have to Log in/Sign up to their Account. Now, they will be redirected to Talk Tracks Home Page. The user will be free to explore all features such as "&amp;"Search through audio/video files, Generate Summary, Generate Subtitles and Reduce Noise, purchase packages or manage their profile. If the user desires to explore or access a features, they will click on the button for that particular feature and will be "&amp;"redirected to the feature page. On this page, the user will upload an audio/video file or even record their own audio at the spot. Now let’s observe what the further steps would be for each feature.
For example, user desires to Search through audio/video "&amp;"files, after uploading the file user will enter the upload button, then a search field will appear for the user to enter a word, phrase or record their voice. The user will have the option to syntactically or semantically search this input in the uploaded"&amp;" file. Wherever the matched text (semantic or syntactic) lies, the audio/video timestamps will get highlighted along with the matched phrase. In addition, a chatbot will be available for the user to interact with their file and extract information efficie"&amp;"ntly from the file. User will ask queries to the bot and receive answers present in the file. If the user desires to Generate summary of the audio/video file, after uploading the file, the user will have the option to generate extractive or abstractive su"&amp;"mmarization. Once the option is selected, summary will be generated. The user will download this summary but clicking the download button. Similar steps will be taken for subtitle generation and noise reduction as well.
All the files uploaded and the proc"&amp;"essing done on the files will be stored on the user profile.
Features:
1. Semantic Search
2. Syntactic Search 
3. Summary Generation 
4. Noise Reduction 
5. Subtitle Generation
6.Chatbot Assisstant
7 User Profile Management 
8. Admin Portal Management 
9."&amp;" Payment Management")</f>
        <v>Users have to navigate to the main page of Talk Tracks and to access features of our web app, they would have to Log in/Sign up to their Account. Now, they will be redirected to Talk Tracks Home Page. The user will be free to explore all features such as Search through audio/video files, Generate Summary, Generate Subtitles and Reduce Noise, purchase packages or manage their profile. If the user desires to explore or access a features, they will click on the button for that particular feature and will be redirected to the feature page. On this page, the user will upload an audio/video file or even record their own audio at the spot. Now let’s observe what the further steps would be for each feature.
For example, user desires to Search through audio/video files, after uploading the file user will enter the upload button, then a search field will appear for the user to enter a word, phrase or record their voice. The user will have the option to syntactically or semantically search this input in the uploaded file. Wherever the matched text (semantic or syntactic) lies, the audio/video timestamps will get highlighted along with the matched phrase. In addition, a chatbot will be available for the user to interact with their file and extract information efficiently from the file. User will ask queries to the bot and receive answers present in the file. If the user desires to Generate summary of the audio/video file, after uploading the file, the user will have the option to generate extractive or abstractive summarization. Once the option is selected, summary will be generated. The user will download this summary but clicking the download button. Similar steps will be taken for subtitle generation and noise reduction as well.
All the files uploaded and the processing done on the files will be stored on the user profile.
Features:
1. Semantic Search
2. Syntactic Search 
3. Summary Generation 
4. Noise Reduction 
5. Subtitle Generation
6.Chatbot Assisstant
7 User Profile Management 
8. Admin Portal Management 
9. Payment Management</v>
      </c>
      <c r="D11" s="12" t="str">
        <f ca="1">IFERROR(__xludf.DUMMYFUNCTION("""COMPUTED_VALUE"""),"Mr. Bilal Khalid Dar")</f>
        <v>Mr. Bilal Khalid Dar</v>
      </c>
      <c r="E11" s="12" t="str">
        <f ca="1">IFERROR(__xludf.DUMMYFUNCTION("""COMPUTED_VALUE"""),"Ms. Zoya Mahboob")</f>
        <v>Ms. Zoya Mahboob</v>
      </c>
      <c r="F11" s="12" t="str">
        <f ca="1">IFERROR(__xludf.DUMMYFUNCTION("""COMPUTED_VALUE"""),"Zunaira Amir")</f>
        <v>Zunaira Amir</v>
      </c>
      <c r="G11" s="12" t="str">
        <f ca="1">IFERROR(__xludf.DUMMYFUNCTION("""COMPUTED_VALUE"""),"i210780")</f>
        <v>i210780</v>
      </c>
      <c r="H11" s="12" t="str">
        <f ca="1">IFERROR(__xludf.DUMMYFUNCTION("""COMPUTED_VALUE"""),"Fizza Mumtaz")</f>
        <v>Fizza Mumtaz</v>
      </c>
      <c r="I11" s="12" t="str">
        <f ca="1">IFERROR(__xludf.DUMMYFUNCTION("""COMPUTED_VALUE"""),"i210437")</f>
        <v>i210437</v>
      </c>
      <c r="J11" s="12" t="str">
        <f ca="1">IFERROR(__xludf.DUMMYFUNCTION("""COMPUTED_VALUE"""),"Javeriah Abid")</f>
        <v>Javeriah Abid</v>
      </c>
      <c r="K11" s="12" t="str">
        <f ca="1">IFERROR(__xludf.DUMMYFUNCTION("""COMPUTED_VALUE"""),"i210885")</f>
        <v>i210885</v>
      </c>
    </row>
    <row r="12" spans="1:26">
      <c r="A12" s="12" t="str">
        <f ca="1">IFERROR(__xludf.DUMMYFUNCTION("""COMPUTED_VALUE"""),"F24-011-D-SmartGuard")</f>
        <v>F24-011-D-SmartGuard</v>
      </c>
      <c r="B12" s="13" t="str">
        <f ca="1">IFERROR(__xludf.DUMMYFUNCTION("""COMPUTED_VALUE"""),"SmartGuard: Advanced Shoplifting Detection System")</f>
        <v>SmartGuard: Advanced Shoplifting Detection System</v>
      </c>
      <c r="C12" s="14" t="str">
        <f ca="1">IFERROR(__xludf.DUMMYFUNCTION("""COMPUTED_VALUE"""),"Project Scope Description:
The SmartGuard project focuses on creating an advanced shoplifting detection system that utilizes artificial intelligence to enhance retail security. By integrating machine learning algorithms with computer vision technology, Sm"&amp;"artGuard will provide real-time monitoring and detection of suspicious activities within retail environments. The system aims to significantly reduce incidents of shoplifting, improve overall store security, and offer actionable insights and alerts to sto"&amp;"re management, ultimately minimizing financial losses and supporting a safer shopping experience.
Key Features:
1. Real-time shoplifting detection using AI-driven algorithms.
2. Integration of computer vision for continuous surveillance.
3. Automated ale"&amp;"rt system for suspicious activities.
4. User-friendly interface for monitoring and managing alerts.
5. Detailed reporting and analytics on shoplifting incidents.
6. Ability to differentiate between genuine theft and false alarms.
7. Historical data analys"&amp;"is to identify patterns and trends.
8. Scalability to support various retail environments, including stores, supermarkets, and pharmacies.
9. Customizable alert settings for different store policies.
10. Secure data storage and access control for sensitiv"&amp;"e information.")</f>
        <v>Project Scope Description:
The SmartGuard project focuses on creating an advanced shoplifting detection system that utilizes artificial intelligence to enhance retail security. By integrating machine learning algorithms with computer vision technology, SmartGuard will provide real-time monitoring and detection of suspicious activities within retail environments. The system aims to significantly reduce incidents of shoplifting, improve overall store security, and offer actionable insights and alerts to store management, ultimately minimizing financial losses and supporting a safer shopping experience.
Key Features:
1. Real-time shoplifting detection using AI-driven algorithms.
2. Integration of computer vision for continuous surveillance.
3. Automated alert system for suspicious activities.
4. User-friendly interface for monitoring and managing alerts.
5. Detailed reporting and analytics on shoplifting incidents.
6. Ability to differentiate between genuine theft and false alarms.
7. Historical data analysis to identify patterns and trends.
8. Scalability to support various retail environments, including stores, supermarkets, and pharmacies.
9. Customizable alert settings for different store policies.
10. Secure data storage and access control for sensitive information.</v>
      </c>
      <c r="D12" s="12" t="str">
        <f ca="1">IFERROR(__xludf.DUMMYFUNCTION("""COMPUTED_VALUE"""),"Dr. Asif Muhammad")</f>
        <v>Dr. Asif Muhammad</v>
      </c>
      <c r="E12" s="12"/>
      <c r="F12" s="12" t="str">
        <f ca="1">IFERROR(__xludf.DUMMYFUNCTION("""COMPUTED_VALUE"""),"Rana Umer Farooq")</f>
        <v>Rana Umer Farooq</v>
      </c>
      <c r="G12" s="12" t="str">
        <f ca="1">IFERROR(__xludf.DUMMYFUNCTION("""COMPUTED_VALUE"""),"i211184")</f>
        <v>i211184</v>
      </c>
      <c r="H12" s="12" t="str">
        <f ca="1">IFERROR(__xludf.DUMMYFUNCTION("""COMPUTED_VALUE"""),"Muhammad Abdullah Khan")</f>
        <v>Muhammad Abdullah Khan</v>
      </c>
      <c r="I12" s="12" t="str">
        <f ca="1">IFERROR(__xludf.DUMMYFUNCTION("""COMPUTED_VALUE"""),"i211176")</f>
        <v>i211176</v>
      </c>
      <c r="J12" s="12" t="str">
        <f ca="1">IFERROR(__xludf.DUMMYFUNCTION("""COMPUTED_VALUE"""),"Harris Maizan")</f>
        <v>Harris Maizan</v>
      </c>
      <c r="K12" s="12" t="str">
        <f ca="1">IFERROR(__xludf.DUMMYFUNCTION("""COMPUTED_VALUE"""),"i211146")</f>
        <v>i211146</v>
      </c>
    </row>
    <row r="13" spans="1:26">
      <c r="A13" s="12" t="str">
        <f ca="1">IFERROR(__xludf.DUMMYFUNCTION("""COMPUTED_VALUE"""),"F24-012-D-SprintCraft")</f>
        <v>F24-012-D-SprintCraft</v>
      </c>
      <c r="B13" s="13" t="str">
        <f ca="1">IFERROR(__xludf.DUMMYFUNCTION("""COMPUTED_VALUE"""),"RefactoAi : Revamping Code Excellence through AI-Driven Refactoring")</f>
        <v>RefactoAi : Revamping Code Excellence through AI-Driven Refactoring</v>
      </c>
      <c r="C13" s="14" t="str">
        <f ca="1">IFERROR(__xludf.DUMMYFUNCTION("""COMPUTED_VALUE"""),"Description: This project aims to revamp a single Python file by leveraging LLMs for AI-driven refactoring, automated testing for errors, and performance optimization. The project involves analyzing the existing code, identifying areas for improvement, an"&amp;"d using LLMs to suggest and implement changes. Additionally, the project utilizes pylint for code analysis and gathers user requirements to ensure the refactored code meets their needs.
Features:
 1.⁠ ⁠AI-driven Code Refactoring: Using LLMs to suggest c"&amp;"ode improvements and refactoring.
 2.⁠ ⁠Automated Testing of errors: Implementing automated testing for the single Python file to check errors.
 3.⁠ ⁠Code Analysis: Analyzing the existing code using pylint to identify areas for improvement.
 4.⁠ ⁠Perfo"&amp;"rmance Optimization: Using LLMs to suggest performance improvements.
 5.⁠ ⁠Requirements Gathering: Collecting user requirements to ensure the refactored code meets their needs.
 6.⁠ ⁠Requirements Integration: Adding user requirements to the existing cod"&amp;"e.
 7.⁠ ⁠Code Quality Enhancement: Improving code readability, maintainability, and efficiency.
 8.⁠ ⁠LLM Integration: Utilizing LLMs for code refactoring and optimization.
")</f>
        <v xml:space="preserve">Description: This project aims to revamp a single Python file by leveraging LLMs for AI-driven refactoring, automated testing for errors, and performance optimization. The project involves analyzing the existing code, identifying areas for improvement, and using LLMs to suggest and implement changes. Additionally, the project utilizes pylint for code analysis and gathers user requirements to ensure the refactored code meets their needs.
Features:
 1.⁠ ⁠AI-driven Code Refactoring: Using LLMs to suggest code improvements and refactoring.
 2.⁠ ⁠Automated Testing of errors: Implementing automated testing for the single Python file to check errors.
 3.⁠ ⁠Code Analysis: Analyzing the existing code using pylint to identify areas for improvement.
 4.⁠ ⁠Performance Optimization: Using LLMs to suggest performance improvements.
 5.⁠ ⁠Requirements Gathering: Collecting user requirements to ensure the refactored code meets their needs.
 6.⁠ ⁠Requirements Integration: Adding user requirements to the existing code.
 7.⁠ ⁠Code Quality Enhancement: Improving code readability, maintainability, and efficiency.
 8.⁠ ⁠LLM Integration: Utilizing LLMs for code refactoring and optimization.
</v>
      </c>
      <c r="D13" s="12" t="str">
        <f ca="1">IFERROR(__xludf.DUMMYFUNCTION("""COMPUTED_VALUE"""),"Mr. Pir Sami Ullah Shah")</f>
        <v>Mr. Pir Sami Ullah Shah</v>
      </c>
      <c r="E13" s="12"/>
      <c r="F13" s="12" t="str">
        <f ca="1">IFERROR(__xludf.DUMMYFUNCTION("""COMPUTED_VALUE"""),"Muhammad Nibras Aamir")</f>
        <v>Muhammad Nibras Aamir</v>
      </c>
      <c r="G13" s="12" t="str">
        <f ca="1">IFERROR(__xludf.DUMMYFUNCTION("""COMPUTED_VALUE"""),"i212683")</f>
        <v>i212683</v>
      </c>
      <c r="H13" s="12" t="str">
        <f ca="1">IFERROR(__xludf.DUMMYFUNCTION("""COMPUTED_VALUE"""),"Khadeeja Shah")</f>
        <v>Khadeeja Shah</v>
      </c>
      <c r="I13" s="12" t="str">
        <f ca="1">IFERROR(__xludf.DUMMYFUNCTION("""COMPUTED_VALUE"""),"i211653")</f>
        <v>i211653</v>
      </c>
      <c r="J13" s="12" t="str">
        <f ca="1">IFERROR(__xludf.DUMMYFUNCTION("""COMPUTED_VALUE"""),"Areeba Riaz Ahmed")</f>
        <v>Areeba Riaz Ahmed</v>
      </c>
      <c r="K13" s="12" t="str">
        <f ca="1">IFERROR(__xludf.DUMMYFUNCTION("""COMPUTED_VALUE"""),"i211736")</f>
        <v>i211736</v>
      </c>
    </row>
    <row r="14" spans="1:26">
      <c r="A14" s="12" t="str">
        <f ca="1">IFERROR(__xludf.DUMMYFUNCTION("""COMPUTED_VALUE"""),"F24-013-D-SnapShop")</f>
        <v>F24-013-D-SnapShop</v>
      </c>
      <c r="B14" s="13" t="str">
        <f ca="1">IFERROR(__xludf.DUMMYFUNCTION("""COMPUTED_VALUE"""),"SnapShop ")</f>
        <v xml:space="preserve">SnapShop </v>
      </c>
      <c r="C14" s="14" t="str">
        <f ca="1">IFERROR(__xludf.DUMMYFUNCTION("""COMPUTED_VALUE"""),"Snap Shop is an innovative platform that leverages Generative AI to revolutionize e-commerce advertising. This project enables users to create seamless, high-quality ads by generating images of models wearing specified clothing items in various poses. The"&amp;" process is straightforward: users provide an image of a subject in an initial pose, upload a clothing item, and then specify the desired pose. Snap Shop’s AI then generates a realistic image of the subject wearing the clothing item in the specified pose."&amp;" This cutting-edge solution is designed to streamline ad creation, enhance visual appeal, and drive engagement for e-commerce platforms.
Key Features:
- Ad Generation on Provided Person
- AI-Powered Pose Generation
- Clothing Item Integration
- Customiz"&amp;"able Pose
- High-Quality Image Rendering
- Custom Scene Generation
- Intuitive User Interface
- Flexible Styling Options")</f>
        <v>Snap Shop is an innovative platform that leverages Generative AI to revolutionize e-commerce advertising. This project enables users to create seamless, high-quality ads by generating images of models wearing specified clothing items in various poses. The process is straightforward: users provide an image of a subject in an initial pose, upload a clothing item, and then specify the desired pose. Snap Shop’s AI then generates a realistic image of the subject wearing the clothing item in the specified pose. This cutting-edge solution is designed to streamline ad creation, enhance visual appeal, and drive engagement for e-commerce platforms.
Key Features:
- Ad Generation on Provided Person
- AI-Powered Pose Generation
- Clothing Item Integration
- Customizable Pose
- High-Quality Image Rendering
- Custom Scene Generation
- Intuitive User Interface
- Flexible Styling Options</v>
      </c>
      <c r="D14" s="12" t="str">
        <f ca="1">IFERROR(__xludf.DUMMYFUNCTION("""COMPUTED_VALUE"""),"Dr. Hammad Majeed")</f>
        <v>Dr. Hammad Majeed</v>
      </c>
      <c r="E14" s="12" t="str">
        <f ca="1">IFERROR(__xludf.DUMMYFUNCTION("""COMPUTED_VALUE"""),"Mr. Muhammad Farrukh Bashir")</f>
        <v>Mr. Muhammad Farrukh Bashir</v>
      </c>
      <c r="F14" s="12" t="str">
        <f ca="1">IFERROR(__xludf.DUMMYFUNCTION("""COMPUTED_VALUE"""),"Zaraar Malik")</f>
        <v>Zaraar Malik</v>
      </c>
      <c r="G14" s="12" t="str">
        <f ca="1">IFERROR(__xludf.DUMMYFUNCTION("""COMPUTED_VALUE"""),"i212705")</f>
        <v>i212705</v>
      </c>
      <c r="H14" s="12" t="str">
        <f ca="1">IFERROR(__xludf.DUMMYFUNCTION("""COMPUTED_VALUE"""),"Ahmed Kamal")</f>
        <v>Ahmed Kamal</v>
      </c>
      <c r="I14" s="12" t="str">
        <f ca="1">IFERROR(__xludf.DUMMYFUNCTION("""COMPUTED_VALUE"""),"i210308")</f>
        <v>i210308</v>
      </c>
      <c r="J14" s="12" t="str">
        <f ca="1">IFERROR(__xludf.DUMMYFUNCTION("""COMPUTED_VALUE"""),"Raffay Khan")</f>
        <v>Raffay Khan</v>
      </c>
      <c r="K14" s="12" t="str">
        <f ca="1">IFERROR(__xludf.DUMMYFUNCTION("""COMPUTED_VALUE"""),"i210335")</f>
        <v>i210335</v>
      </c>
    </row>
    <row r="15" spans="1:26">
      <c r="A15" s="12" t="str">
        <f ca="1">IFERROR(__xludf.DUMMYFUNCTION("""COMPUTED_VALUE"""),"F24-014-D-Sehat-e-tafseel")</f>
        <v>F24-014-D-Sehat-e-tafseel</v>
      </c>
      <c r="B15" s="13" t="str">
        <f ca="1">IFERROR(__xludf.DUMMYFUNCTION("""COMPUTED_VALUE"""),"Development of a Centralized Electronic Medical Record System – in HealthCare &amp; Governance")</f>
        <v>Development of a Centralized Electronic Medical Record System – in HealthCare &amp; Governance</v>
      </c>
      <c r="C15" s="14" t="str">
        <f ca="1">IFERROR(__xludf.DUMMYFUNCTION("""COMPUTED_VALUE"""),"We aim to develop an advanced application for Pakistan's healthcare system that assigns each patient a unique reference ID based on their CNIC number during their initial hospital visit. This application will store comprehensive patient data in a centrali"&amp;"zed database accessible by all hospitals. It will record details such as the doctors consulted, reasons for visits, tests conducted, and their results. This system will ensure that a patient's entire medical history is readily available during subsequent "&amp;"hospital visits through their reference ID. This will streamline the consultation process by eliminating the need for repetitive history-taking and alleviate patients from the burden of remembering their medical history and test results. The solution prom"&amp;"ises significant benefits for both healthcare providers and patients by enhancing efficiency and accuracy in medical care.
Key Features:
1) Patient Profile
2) Medical History
3) Test Reports
4) Medications and Allergies
5) Application Forms
6) Operation F"&amp;"orms
7) Discharge Forms
8) Consent Forms
9) Data Accessibility and Sharing
10) Data Privacy and Security
11) Doctor Consultation
12) Healthcare Chatbot")</f>
        <v>We aim to develop an advanced application for Pakistan's healthcare system that assigns each patient a unique reference ID based on their CNIC number during their initial hospital visit. This application will store comprehensive patient data in a centralized database accessible by all hospitals. It will record details such as the doctors consulted, reasons for visits, tests conducted, and their results. This system will ensure that a patient's entire medical history is readily available during subsequent hospital visits through their reference ID. This will streamline the consultation process by eliminating the need for repetitive history-taking and alleviate patients from the burden of remembering their medical history and test results. The solution promises significant benefits for both healthcare providers and patients by enhancing efficiency and accuracy in medical care.
Key Features:
1) Patient Profile
2) Medical History
3) Test Reports
4) Medications and Allergies
5) Application Forms
6) Operation Forms
7) Discharge Forms
8) Consent Forms
9) Data Accessibility and Sharing
10) Data Privacy and Security
11) Doctor Consultation
12) Healthcare Chatbot</v>
      </c>
      <c r="D15" s="12" t="str">
        <f ca="1">IFERROR(__xludf.DUMMYFUNCTION("""COMPUTED_VALUE"""),"Mr. Owais Idrees")</f>
        <v>Mr. Owais Idrees</v>
      </c>
      <c r="E15" s="12"/>
      <c r="F15" s="12" t="str">
        <f ca="1">IFERROR(__xludf.DUMMYFUNCTION("""COMPUTED_VALUE"""),"Azmeer Sohail Khan")</f>
        <v>Azmeer Sohail Khan</v>
      </c>
      <c r="G15" s="12" t="str">
        <f ca="1">IFERROR(__xludf.DUMMYFUNCTION("""COMPUTED_VALUE"""),"i212977")</f>
        <v>i212977</v>
      </c>
      <c r="H15" s="12" t="str">
        <f ca="1">IFERROR(__xludf.DUMMYFUNCTION("""COMPUTED_VALUE"""),"Hania Zahid")</f>
        <v>Hania Zahid</v>
      </c>
      <c r="I15" s="12" t="str">
        <f ca="1">IFERROR(__xludf.DUMMYFUNCTION("""COMPUTED_VALUE"""),"i221270")</f>
        <v>i221270</v>
      </c>
      <c r="J15" s="12" t="str">
        <f ca="1">IFERROR(__xludf.DUMMYFUNCTION("""COMPUTED_VALUE"""),"Laiba Shafique")</f>
        <v>Laiba Shafique</v>
      </c>
      <c r="K15" s="12" t="str">
        <f ca="1">IFERROR(__xludf.DUMMYFUNCTION("""COMPUTED_VALUE"""),"i210840")</f>
        <v>i210840</v>
      </c>
    </row>
    <row r="16" spans="1:26">
      <c r="A16" s="12" t="str">
        <f ca="1">IFERROR(__xludf.DUMMYFUNCTION("""COMPUTED_VALUE"""),"F24-015-D-Sketch2Face")</f>
        <v>F24-015-D-Sketch2Face</v>
      </c>
      <c r="B16" s="13" t="str">
        <f ca="1">IFERROR(__xludf.DUMMYFUNCTION("""COMPUTED_VALUE"""),"Face Synthesis Using Sketch and Textual Descriptions")</f>
        <v>Face Synthesis Using Sketch and Textual Descriptions</v>
      </c>
      <c r="C16" s="14" t="str">
        <f ca="1">IFERROR(__xludf.DUMMYFUNCTION("""COMPUTED_VALUE"""),"The project aims to develop a system that generates realistic facial images from sketches and text descriptions using Generative Adversarial Networks (GANs). It involves preprocessing a paired dataset of sketches, text, and images, designing and training "&amp;"a GAN model, and optimizing it for detailed and accurate image synthesis. The project also includes a user-friendly interface for inputting sketches and descriptions, exploring various GAN architectures to optimize performance and image quality. 
Key Feat"&amp;"ures :
 1. Facial Image generation using sketches.
2. Facial Image generation using text.
3. Implementation of GANs.
4. High Accuracy.
5. User Interface.
6. High Performance.
7. Image Preprocessing.
8. Customizability and Flexibility.")</f>
        <v>The project aims to develop a system that generates realistic facial images from sketches and text descriptions using Generative Adversarial Networks (GANs). It involves preprocessing a paired dataset of sketches, text, and images, designing and training a GAN model, and optimizing it for detailed and accurate image synthesis. The project also includes a user-friendly interface for inputting sketches and descriptions, exploring various GAN architectures to optimize performance and image quality. 
Key Features :
 1. Facial Image generation using sketches.
2. Facial Image generation using text.
3. Implementation of GANs.
4. High Accuracy.
5. User Interface.
6. High Performance.
7. Image Preprocessing.
8. Customizability and Flexibility.</v>
      </c>
      <c r="D16" s="12" t="str">
        <f ca="1">IFERROR(__xludf.DUMMYFUNCTION("""COMPUTED_VALUE"""),"Ms. Saira Qamar")</f>
        <v>Ms. Saira Qamar</v>
      </c>
      <c r="E16" s="12"/>
      <c r="F16" s="12" t="str">
        <f ca="1">IFERROR(__xludf.DUMMYFUNCTION("""COMPUTED_VALUE"""),"Muhammad Tayyeb Hamid")</f>
        <v>Muhammad Tayyeb Hamid</v>
      </c>
      <c r="G16" s="12" t="str">
        <f ca="1">IFERROR(__xludf.DUMMYFUNCTION("""COMPUTED_VALUE"""),"i210378")</f>
        <v>i210378</v>
      </c>
      <c r="H16" s="12" t="str">
        <f ca="1">IFERROR(__xludf.DUMMYFUNCTION("""COMPUTED_VALUE"""),"Moatasim Zaman")</f>
        <v>Moatasim Zaman</v>
      </c>
      <c r="I16" s="12" t="str">
        <f ca="1">IFERROR(__xludf.DUMMYFUNCTION("""COMPUTED_VALUE"""),"i212996")</f>
        <v>i212996</v>
      </c>
      <c r="J16" s="12" t="str">
        <f ca="1">IFERROR(__xludf.DUMMYFUNCTION("""COMPUTED_VALUE"""),"Muhaddis Farooq")</f>
        <v>Muhaddis Farooq</v>
      </c>
      <c r="K16" s="12" t="str">
        <f ca="1">IFERROR(__xludf.DUMMYFUNCTION("""COMPUTED_VALUE"""),"i210391")</f>
        <v>i210391</v>
      </c>
    </row>
    <row r="17" spans="1:11">
      <c r="A17" s="12" t="str">
        <f ca="1">IFERROR(__xludf.DUMMYFUNCTION("""COMPUTED_VALUE"""),"F24-016-D-InsightWire")</f>
        <v>F24-016-D-InsightWire</v>
      </c>
      <c r="B17" s="13" t="str">
        <f ca="1">IFERROR(__xludf.DUMMYFUNCTION("""COMPUTED_VALUE"""),"Insight Wire : News Media Bias Analyzer")</f>
        <v>Insight Wire : News Media Bias Analyzer</v>
      </c>
      <c r="C17" s="14" t="str">
        <f ca="1">IFERROR(__xludf.DUMMYFUNCTION("""COMPUTED_VALUE"""),"The project aims to create a news aggregation platform that addresses media bias. By collecting and analyzing news articles from a diverse range of sources, the platform will offer comprehensive insights into the political leanings and biases of various m"&amp;"edia outlets. We will have advanced bias detection algorithms, and tools for comparing stories across different sources. The platform will also include visual representations of bias and coverage, AI-powered summarization of articles, and unique features "&amp;"like Twitter trends analysis and local news highlighting. Additionally, it will allow user to contribute to bias ratings and a personal bias dashboard to help users understand their own reading habits. This multifaceted approach aims to promote critical t"&amp;"hinking and reduce media polarization by providing a clearer, more balanced view of the news landscape.
Features:
News Aggregation: Collects articles from various sources via web scraping and APIs.
Categorization and Tagging: Uses NLP to categorize and"&amp;" tag articles by topic and metadata.
Bias Detection: Analyzes articles and sources for political bias using sentiment analysis and machine learning.
Story Comparison: Displays articles on the same topic from multiple sources for perspective comparison.
"&amp;"
Visual Representation: Provides charts and graphs to visualize bias and coverage.
Summarization: Automatically summarizes articles and identifies key themes.
Twitter Trends Analysis: Analyzes and displays trending topics on Twitter.
Local News Highlig"&amp;"hting: Prioritizes coverage of local news and community issues.
User Voting on Bias: Allows users to contribute to bias ratings and feedback.
Personal Bias Dashboard: Provides insights into users' reading habits and potential biases.")</f>
        <v>The project aims to create a news aggregation platform that addresses media bias. By collecting and analyzing news articles from a diverse range of sources, the platform will offer comprehensive insights into the political leanings and biases of various media outlets. We will have advanced bias detection algorithms, and tools for comparing stories across different sources. The platform will also include visual representations of bias and coverage, AI-powered summarization of articles, and unique features like Twitter trends analysis and local news highlighting. Additionally, it will allow user to contribute to bias ratings and a personal bias dashboard to help users understand their own reading habits. This multifaceted approach aims to promote critical thinking and reduce media polarization by providing a clearer, more balanced view of the news landscape.
Features:
News Aggregation: Collects articles from various sources via web scraping and APIs.
Categorization and Tagging: Uses NLP to categorize and tag articles by topic and metadata.
Bias Detection: Analyzes articles and sources for political bias using sentiment analysis and machine learning.
Story Comparison: Displays articles on the same topic from multiple sources for perspective comparison.
Visual Representation: Provides charts and graphs to visualize bias and coverage.
Summarization: Automatically summarizes articles and identifies key themes.
Twitter Trends Analysis: Analyzes and displays trending topics on Twitter.
Local News Highlighting: Prioritizes coverage of local news and community issues.
User Voting on Bias: Allows users to contribute to bias ratings and feedback.
Personal Bias Dashboard: Provides insights into users' reading habits and potential biases.</v>
      </c>
      <c r="D17" s="12" t="str">
        <f ca="1">IFERROR(__xludf.DUMMYFUNCTION("""COMPUTED_VALUE"""),"Ms. Kainat Iqbal")</f>
        <v>Ms. Kainat Iqbal</v>
      </c>
      <c r="E17" s="12" t="str">
        <f ca="1">IFERROR(__xludf.DUMMYFUNCTION("""COMPUTED_VALUE"""),"Ms. Amna Irum")</f>
        <v>Ms. Amna Irum</v>
      </c>
      <c r="F17" s="12" t="str">
        <f ca="1">IFERROR(__xludf.DUMMYFUNCTION("""COMPUTED_VALUE"""),"Muhammad Umar Ihsan")</f>
        <v>Muhammad Umar Ihsan</v>
      </c>
      <c r="G17" s="12" t="str">
        <f ca="1">IFERROR(__xludf.DUMMYFUNCTION("""COMPUTED_VALUE"""),"i211113")</f>
        <v>i211113</v>
      </c>
      <c r="H17" s="12" t="str">
        <f ca="1">IFERROR(__xludf.DUMMYFUNCTION("""COMPUTED_VALUE"""),"Junaid Jamshaid")</f>
        <v>Junaid Jamshaid</v>
      </c>
      <c r="I17" s="12" t="str">
        <f ca="1">IFERROR(__xludf.DUMMYFUNCTION("""COMPUTED_VALUE"""),"i211203")</f>
        <v>i211203</v>
      </c>
      <c r="J17" s="12" t="str">
        <f ca="1">IFERROR(__xludf.DUMMYFUNCTION("""COMPUTED_VALUE"""),"Muhammad Sameer")</f>
        <v>Muhammad Sameer</v>
      </c>
      <c r="K17" s="12" t="str">
        <f ca="1">IFERROR(__xludf.DUMMYFUNCTION("""COMPUTED_VALUE"""),"i211185")</f>
        <v>i211185</v>
      </c>
    </row>
    <row r="18" spans="1:11">
      <c r="A18" s="12" t="str">
        <f ca="1">IFERROR(__xludf.DUMMYFUNCTION("""COMPUTED_VALUE"""),"F24-017-D-BotForge")</f>
        <v>F24-017-D-BotForge</v>
      </c>
      <c r="B18" s="13" t="str">
        <f ca="1">IFERROR(__xludf.DUMMYFUNCTION("""COMPUTED_VALUE"""),"BotForge: Build Your Bot with Ease")</f>
        <v>BotForge: Build Your Bot with Ease</v>
      </c>
      <c r="C18" s="14" t="str">
        <f ca="1">IFERROR(__xludf.DUMMYFUNCTION("""COMPUTED_VALUE"""),"PROJECT OVERVIEW
Develop a web application that enables users to create personalized chatbots based on their
data. The application will use micro frontend architecture to enhance modularity, scalability, and maintainability.
Key Modules:
UI Customization"&amp;" Module
Data Upload Module
Profile Management Module
Chatbot Hosting Module
Natural Language Processing (NLP) Module
Voice Interaction Module
Collaboration Module
AI-Driven Insights Module")</f>
        <v>PROJECT OVERVIEW
Develop a web application that enables users to create personalized chatbots based on their
data. The application will use micro frontend architecture to enhance modularity, scalability, and maintainability.
Key Modules:
UI Customization Module
Data Upload Module
Profile Management Module
Chatbot Hosting Module
Natural Language Processing (NLP) Module
Voice Interaction Module
Collaboration Module
AI-Driven Insights Module</v>
      </c>
      <c r="D18" s="12" t="str">
        <f ca="1">IFERROR(__xludf.DUMMYFUNCTION("""COMPUTED_VALUE"""),"Dr. Atif Jilani")</f>
        <v>Dr. Atif Jilani</v>
      </c>
      <c r="E18" s="12"/>
      <c r="F18" s="12" t="str">
        <f ca="1">IFERROR(__xludf.DUMMYFUNCTION("""COMPUTED_VALUE"""),"Mahnoor Younas")</f>
        <v>Mahnoor Younas</v>
      </c>
      <c r="G18" s="12" t="str">
        <f ca="1">IFERROR(__xludf.DUMMYFUNCTION("""COMPUTED_VALUE"""),"i212995")</f>
        <v>i212995</v>
      </c>
      <c r="H18" s="12" t="str">
        <f ca="1">IFERROR(__xludf.DUMMYFUNCTION("""COMPUTED_VALUE"""),"Muhammad Arqam Nasir")</f>
        <v>Muhammad Arqam Nasir</v>
      </c>
      <c r="I18" s="12" t="str">
        <f ca="1">IFERROR(__xludf.DUMMYFUNCTION("""COMPUTED_VALUE"""),"i212491")</f>
        <v>i212491</v>
      </c>
      <c r="J18" s="12" t="str">
        <f ca="1">IFERROR(__xludf.DUMMYFUNCTION("""COMPUTED_VALUE"""),"Saira Somal")</f>
        <v>Saira Somal</v>
      </c>
      <c r="K18" s="12" t="str">
        <f ca="1">IFERROR(__xludf.DUMMYFUNCTION("""COMPUTED_VALUE"""),"i210620")</f>
        <v>i210620</v>
      </c>
    </row>
    <row r="19" spans="1:11">
      <c r="A19" s="12" t="str">
        <f ca="1">IFERROR(__xludf.DUMMYFUNCTION("""COMPUTED_VALUE"""),"F24-018-D-GradeMate")</f>
        <v>F24-018-D-GradeMate</v>
      </c>
      <c r="B19" s="13" t="str">
        <f ca="1">IFERROR(__xludf.DUMMYFUNCTION("""COMPUTED_VALUE"""),"A smart app designed to scan and evaluate handwritten C++ programs, automating grading and detect plagiarism.")</f>
        <v>A smart app designed to scan and evaluate handwritten C++ programs, automating grading and detect plagiarism.</v>
      </c>
      <c r="C19" s="14" t="str">
        <f ca="1">IFERROR(__xludf.DUMMYFUNCTION("""COMPUTED_VALUE"""),"GradeMate is an innovative application designed to streamline the assessment process of handwritten programming quizzes in C++. The app utilizes advanced image recognition technology to scan handwritten submissions, automatically grade them based on prede"&amp;"fined rubrics, and detect potential plagiarism among submissions. The goal is to provide educators with a reliable and efficient tool to evaluate student work, reducing manual effort and ensuring consistency in grading.
Key Features:
- Handwriting Recogn"&amp;"ition
- Automated Grading
- Plagiarism Detection
- User Friendly Interface
- Cloud Storage
- Offline Functionality
- Customization Option
- Batch Processing of quizzes
")</f>
        <v xml:space="preserve">GradeMate is an innovative application designed to streamline the assessment process of handwritten programming quizzes in C++. The app utilizes advanced image recognition technology to scan handwritten submissions, automatically grade them based on predefined rubrics, and detect potential plagiarism among submissions. The goal is to provide educators with a reliable and efficient tool to evaluate student work, reducing manual effort and ensuring consistency in grading.
Key Features:
- Handwriting Recognition
- Automated Grading
- Plagiarism Detection
- User Friendly Interface
- Cloud Storage
- Offline Functionality
- Customization Option
- Batch Processing of quizzes
</v>
      </c>
      <c r="D19" s="12" t="str">
        <f ca="1">IFERROR(__xludf.DUMMYFUNCTION("""COMPUTED_VALUE"""),"Ms. Saira Qamar")</f>
        <v>Ms. Saira Qamar</v>
      </c>
      <c r="E19" s="12"/>
      <c r="F19" s="12" t="str">
        <f ca="1">IFERROR(__xludf.DUMMYFUNCTION("""COMPUTED_VALUE"""),"Amna Khan")</f>
        <v>Amna Khan</v>
      </c>
      <c r="G19" s="12" t="str">
        <f ca="1">IFERROR(__xludf.DUMMYFUNCTION("""COMPUTED_VALUE"""),"i210345")</f>
        <v>i210345</v>
      </c>
      <c r="H19" s="12" t="str">
        <f ca="1">IFERROR(__xludf.DUMMYFUNCTION("""COMPUTED_VALUE"""),"Shanzay Alam")</f>
        <v>Shanzay Alam</v>
      </c>
      <c r="I19" s="12" t="str">
        <f ca="1">IFERROR(__xludf.DUMMYFUNCTION("""COMPUTED_VALUE"""),"i212707")</f>
        <v>i212707</v>
      </c>
      <c r="J19" s="12" t="str">
        <f ca="1">IFERROR(__xludf.DUMMYFUNCTION("""COMPUTED_VALUE"""),"Ansab Alam")</f>
        <v>Ansab Alam</v>
      </c>
      <c r="K19" s="12" t="str">
        <f ca="1">IFERROR(__xludf.DUMMYFUNCTION("""COMPUTED_VALUE"""),"i212706")</f>
        <v>i212706</v>
      </c>
    </row>
    <row r="20" spans="1:11">
      <c r="A20" s="12" t="str">
        <f ca="1">IFERROR(__xludf.DUMMYFUNCTION("""COMPUTED_VALUE"""),"F24-019-D-DataTails")</f>
        <v>F24-019-D-DataTails</v>
      </c>
      <c r="B20" s="13" t="str">
        <f ca="1">IFERROR(__xludf.DUMMYFUNCTION("""COMPUTED_VALUE"""),"DocUCare")</f>
        <v>DocUCare</v>
      </c>
      <c r="C20" s="14" t="str">
        <f ca="1">IFERROR(__xludf.DUMMYFUNCTION("""COMPUTED_VALUE"""),"DocUCare is an AI-powered healthcare system designed to automate the patient-doctor interaction process. The system leverages speech-to-text technology, natural language processing (NLP), and medical transcription services to enable efficient, multilingua"&amp;"l, voice-based conversations with patients and doctors. DocUCare automates the collection of patient data, generates comprehensive reports, and provides transcription services, enhancing healthcare efficiency and reducing manual effort.
Key Features:
"&amp;"Multilingual Medical Transcription: (English, Urdu)
Audio-Based Chatbot: For gathering medical history, symptoms, and other relevant data without manual input.
Doctor-Patient Meeting Integration: Integration with telemedicine platforms (Zoom, Google"&amp;" Meet) for online consultations.
Medical Transcription: Automatically transcribes doctor-patient conversations, ensuring error-free transcriptions for future reference, including detailed prescriptions and treatment plans.
Speaker Identification: Di"&amp;"stinguishes between patient and doctor voices, assigning contextually relevant labels to ensure accurate transcription of symptoms, prescriptions, and recommendations.
Context-Aware NLP Models: To provide context-aware insights during the conversation,"&amp;" asking follow-up questions and generating comprehensive reports.
Integration with EHR: Syncs all patient data, conversation minutes, and reports directly with Electronic Health Records (EHR) systems, ensuring secure and seamless record-keeping.
Post-"&amp;"Consultation Summaries: Automatically generates detailed summaries of the entire consultation, including doctor's recommendations, prescriptions, and care plans.")</f>
        <v>DocUCare is an AI-powered healthcare system designed to automate the patient-doctor interaction process. The system leverages speech-to-text technology, natural language processing (NLP), and medical transcription services to enable efficient, multilingual, voice-based conversations with patients and doctors. DocUCare automates the collection of patient data, generates comprehensive reports, and provides transcription services, enhancing healthcare efficiency and reducing manual effort.
Key Features:
Multilingual Medical Transcription: (English, Urdu)
Audio-Based Chatbot: For gathering medical history, symptoms, and other relevant data without manual input.
Doctor-Patient Meeting Integration: Integration with telemedicine platforms (Zoom, Google Meet) for online consultations.
Medical Transcription: Automatically transcribes doctor-patient conversations, ensuring error-free transcriptions for future reference, including detailed prescriptions and treatment plans.
Speaker Identification: Distinguishes between patient and doctor voices, assigning contextually relevant labels to ensure accurate transcription of symptoms, prescriptions, and recommendations.
Context-Aware NLP Models: To provide context-aware insights during the conversation, asking follow-up questions and generating comprehensive reports.
Integration with EHR: Syncs all patient data, conversation minutes, and reports directly with Electronic Health Records (EHR) systems, ensuring secure and seamless record-keeping.
Post-Consultation Summaries: Automatically generates detailed summaries of the entire consultation, including doctor's recommendations, prescriptions, and care plans.</v>
      </c>
      <c r="D20" s="12" t="str">
        <f ca="1">IFERROR(__xludf.DUMMYFUNCTION("""COMPUTED_VALUE"""),"Dr. Muhammad Arshad Islam")</f>
        <v>Dr. Muhammad Arshad Islam</v>
      </c>
      <c r="E20" s="12"/>
      <c r="F20" s="12" t="str">
        <f ca="1">IFERROR(__xludf.DUMMYFUNCTION("""COMPUTED_VALUE"""),"Wasif Mehboob")</f>
        <v>Wasif Mehboob</v>
      </c>
      <c r="G20" s="12" t="str">
        <f ca="1">IFERROR(__xludf.DUMMYFUNCTION("""COMPUTED_VALUE"""),"i211766")</f>
        <v>i211766</v>
      </c>
      <c r="H20" s="12" t="str">
        <f ca="1">IFERROR(__xludf.DUMMYFUNCTION("""COMPUTED_VALUE"""),"Ahsan Waseem")</f>
        <v>Ahsan Waseem</v>
      </c>
      <c r="I20" s="12" t="str">
        <f ca="1">IFERROR(__xludf.DUMMYFUNCTION("""COMPUTED_VALUE"""),"i212696")</f>
        <v>i212696</v>
      </c>
      <c r="J20" s="12" t="str">
        <f ca="1">IFERROR(__xludf.DUMMYFUNCTION("""COMPUTED_VALUE"""),"Abdul Moiz")</f>
        <v>Abdul Moiz</v>
      </c>
      <c r="K20" s="12" t="str">
        <f ca="1">IFERROR(__xludf.DUMMYFUNCTION("""COMPUTED_VALUE"""),"i212687")</f>
        <v>i212687</v>
      </c>
    </row>
    <row r="21" spans="1:11">
      <c r="A21" s="12" t="str">
        <f ca="1">IFERROR(__xludf.DUMMYFUNCTION("""COMPUTED_VALUE"""),"F24-020-D-Mumtahin")</f>
        <v>F24-020-D-Mumtahin</v>
      </c>
      <c r="B21" s="13" t="str">
        <f ca="1">IFERROR(__xludf.DUMMYFUNCTION("""COMPUTED_VALUE"""),"AI Evaluator")</f>
        <v>AI Evaluator</v>
      </c>
      <c r="C21" s="14" t="str">
        <f ca="1">IFERROR(__xludf.DUMMYFUNCTION("""COMPUTED_VALUE"""),"Our project AIE focuses on helping the industry to check coding based assignments, which is a hectic work on its own. Our project will facilitate in checking the code and finding plagiarism  which will find similarities in the codes of submission and also"&amp;" try to find them on the internet. It will help the user identify the plagiarisms and also help conduct demos where we will use it to take demos and record the facial expressions of the students looking for issues i.e. if they are looking around, are not "&amp;"properly responding and then we use NLP to check the responses and their correctness and marking the assignment, which can be later disputed and can be rechecked in case of unsatisfactory results.
Key Features:
Facial Recognition.
Plagiarism Detection.
Sl"&amp;"ot Management.
Submission Checking.
Facial Expression Evaluation.
Generate Report.
Evaluation of Assignments.
Video Demos.
")</f>
        <v xml:space="preserve">Our project AIE focuses on helping the industry to check coding based assignments, which is a hectic work on its own. Our project will facilitate in checking the code and finding plagiarism  which will find similarities in the codes of submission and also try to find them on the internet. It will help the user identify the plagiarisms and also help conduct demos where we will use it to take demos and record the facial expressions of the students looking for issues i.e. if they are looking around, are not properly responding and then we use NLP to check the responses and their correctness and marking the assignment, which can be later disputed and can be rechecked in case of unsatisfactory results.
Key Features:
Facial Recognition.
Plagiarism Detection.
Slot Management.
Submission Checking.
Facial Expression Evaluation.
Generate Report.
Evaluation of Assignments.
Video Demos.
</v>
      </c>
      <c r="D21" s="12" t="str">
        <f ca="1">IFERROR(__xludf.DUMMYFUNCTION("""COMPUTED_VALUE"""),"Mr. Saad Salman")</f>
        <v>Mr. Saad Salman</v>
      </c>
      <c r="E21" s="12"/>
      <c r="F21" s="12" t="str">
        <f ca="1">IFERROR(__xludf.DUMMYFUNCTION("""COMPUTED_VALUE"""),"Aaimlik Abbasi")</f>
        <v>Aaimlik Abbasi</v>
      </c>
      <c r="G21" s="12" t="str">
        <f ca="1">IFERROR(__xludf.DUMMYFUNCTION("""COMPUTED_VALUE"""),"i212540")</f>
        <v>i212540</v>
      </c>
      <c r="H21" s="12" t="str">
        <f ca="1">IFERROR(__xludf.DUMMYFUNCTION("""COMPUTED_VALUE"""),"Affan Anwar")</f>
        <v>Affan Anwar</v>
      </c>
      <c r="I21" s="12" t="str">
        <f ca="1">IFERROR(__xludf.DUMMYFUNCTION("""COMPUTED_VALUE"""),"i212548")</f>
        <v>i212548</v>
      </c>
      <c r="J21" s="12" t="str">
        <f ca="1">IFERROR(__xludf.DUMMYFUNCTION("""COMPUTED_VALUE"""),"Muhammad Hammad")</f>
        <v>Muhammad Hammad</v>
      </c>
      <c r="K21" s="12" t="str">
        <f ca="1">IFERROR(__xludf.DUMMYFUNCTION("""COMPUTED_VALUE"""),"i212586")</f>
        <v>i212586</v>
      </c>
    </row>
    <row r="22" spans="1:11">
      <c r="A22" s="12" t="str">
        <f ca="1">IFERROR(__xludf.DUMMYFUNCTION("""COMPUTED_VALUE"""),"F24-021-D-Connexus")</f>
        <v>F24-021-D-Connexus</v>
      </c>
      <c r="B22" s="13" t="str">
        <f ca="1">IFERROR(__xludf.DUMMYFUNCTION("""COMPUTED_VALUE"""),"Virtual Reality-based Social Interaction Training System for Introverted Individuals")</f>
        <v>Virtual Reality-based Social Interaction Training System for Introverted Individuals</v>
      </c>
      <c r="C22" s="14" t="str">
        <f ca="1">IFERROR(__xludf.DUMMYFUNCTION("""COMPUTED_VALUE"""),"The ""Virtual Reality-based Social Interaction Training System for Introverted Individuals"" is an innovative VR-based platform designed to help introverts navigate and manage real-world social scenarios through immersive simulations. By leveraging advanc"&amp;"ed virtual reality technology, the system creates realistic environments where users can practice and refine their social skills in a controlled, supportive setting. The project aims to build confidence, improve communication abilities, and reduce social "&amp;"anxiety by providing personalized training modules and feedback. It incorporates various scenarios ranging from casual conversations to professional interactions, tailored to the user's comfort level and progress.
Key Features:
1) Immersive VR Scenarios"&amp;": Realistic simulations of diverse social situations including everyday interactions, professional meetings, and public speaking events.
2) Customizable Difficulty Levels: Adjustable settings to match the user's comfort level and gradually increase the c"&amp;"hallenge.
3) Personalized Feedback: Detailed performance analysis and constructive feedback to help users improve their social skills.
4) Interactive AI Characters: Virtual characters with dynamic responses to simulate real-life conversations and social"&amp;" cues.
5) Progress Tracking: Tools for monitoring user progress over time, including skill improvements and areas needing attention.
6) Scenario Replay: The ability to revisit and practice specific scenarios to reinforce learning and gain confidence.
7"&amp;") Voice Recognition and Analysis: Built-in voice recognition to provide real-time feedback on speech clarity, tone, and pacing, helping users refine their verbal communication skills.
8) Integration with Wearables: Support for VR-compatible wearables to "&amp;"enhance the immersion and provide physiological feedback.")</f>
        <v>The "Virtual Reality-based Social Interaction Training System for Introverted Individuals" is an innovative VR-based platform designed to help introverts navigate and manage real-world social scenarios through immersive simulations. By leveraging advanced virtual reality technology, the system creates realistic environments where users can practice and refine their social skills in a controlled, supportive setting. The project aims to build confidence, improve communication abilities, and reduce social anxiety by providing personalized training modules and feedback. It incorporates various scenarios ranging from casual conversations to professional interactions, tailored to the user's comfort level and progress.
Key Features:
1) Immersive VR Scenarios: Realistic simulations of diverse social situations including everyday interactions, professional meetings, and public speaking events.
2) Customizable Difficulty Levels: Adjustable settings to match the user's comfort level and gradually increase the challenge.
3) Personalized Feedback: Detailed performance analysis and constructive feedback to help users improve their social skills.
4) Interactive AI Characters: Virtual characters with dynamic responses to simulate real-life conversations and social cues.
5) Progress Tracking: Tools for monitoring user progress over time, including skill improvements and areas needing attention.
6) Scenario Replay: The ability to revisit and practice specific scenarios to reinforce learning and gain confidence.
7) Voice Recognition and Analysis: Built-in voice recognition to provide real-time feedback on speech clarity, tone, and pacing, helping users refine their verbal communication skills.
8) Integration with Wearables: Support for VR-compatible wearables to enhance the immersion and provide physiological feedback.</v>
      </c>
      <c r="D22" s="12" t="str">
        <f ca="1">IFERROR(__xludf.DUMMYFUNCTION("""COMPUTED_VALUE"""),"Ms. Noor ul Ain")</f>
        <v>Ms. Noor ul Ain</v>
      </c>
      <c r="E22" s="12" t="str">
        <f ca="1">IFERROR(__xludf.DUMMYFUNCTION("""COMPUTED_VALUE"""),"Mr. Usama Bin Imran")</f>
        <v>Mr. Usama Bin Imran</v>
      </c>
      <c r="F22" s="12" t="str">
        <f ca="1">IFERROR(__xludf.DUMMYFUNCTION("""COMPUTED_VALUE"""),"Ayesha Naeem ")</f>
        <v xml:space="preserve">Ayesha Naeem </v>
      </c>
      <c r="G22" s="12" t="str">
        <f ca="1">IFERROR(__xludf.DUMMYFUNCTION("""COMPUTED_VALUE"""),"i212451")</f>
        <v>i212451</v>
      </c>
      <c r="H22" s="12" t="str">
        <f ca="1">IFERROR(__xludf.DUMMYFUNCTION("""COMPUTED_VALUE"""),"Tajiya Daarain")</f>
        <v>Tajiya Daarain</v>
      </c>
      <c r="I22" s="12" t="str">
        <f ca="1">IFERROR(__xludf.DUMMYFUNCTION("""COMPUTED_VALUE"""),"i212588")</f>
        <v>i212588</v>
      </c>
      <c r="J22" s="12" t="str">
        <f ca="1">IFERROR(__xludf.DUMMYFUNCTION("""COMPUTED_VALUE"""),"Kainat Ali")</f>
        <v>Kainat Ali</v>
      </c>
      <c r="K22" s="12" t="str">
        <f ca="1">IFERROR(__xludf.DUMMYFUNCTION("""COMPUTED_VALUE"""),"i212470")</f>
        <v>i212470</v>
      </c>
    </row>
    <row r="23" spans="1:11">
      <c r="A23" s="12" t="str">
        <f ca="1">IFERROR(__xludf.DUMMYFUNCTION("""COMPUTED_VALUE"""),"F24-022-D-Apna Budget")</f>
        <v>F24-022-D-Apna Budget</v>
      </c>
      <c r="B23" s="13" t="str">
        <f ca="1">IFERROR(__xludf.DUMMYFUNCTION("""COMPUTED_VALUE"""),"Apna Budget: Empowering Your Financial Future through Smart Budgeting")</f>
        <v>Apna Budget: Empowering Your Financial Future through Smart Budgeting</v>
      </c>
      <c r="C23" s="14" t="str">
        <f ca="1">IFERROR(__xludf.DUMMYFUNCTION("""COMPUTED_VALUE"""),"We aim to produce a cross-platform mobile application aimed towards the general population of Pakistan. With a heavy economic decline we aim to produce an application to help provide users with better financial literacy by helping them budget, plan, visua"&amp;"lize, and forecast thus providing them financial advice on their finances thus empowering them through automatically picking up transactions through SMS along with the ability to enter transactions manually. Our application is focused on the Pakistani mar"&amp;"ket which will run on iOS and android and will run in offline as well. 𝗢𝘂𝗿 𝗮𝗽𝗽𝗹𝗶𝗰𝗮𝘁𝗶𝗼𝗻 𝘄𝗶𝗹𝗹 𝗻𝗼𝘁 𝗯𝗲 𝗳𝗼𝗰𝘂𝘀𝗲𝗱 𝗼𝗻 𝗽𝗲𝗿𝗳𝗼𝗿𝗺𝗶𝗻𝗴 𝘁𝗿𝗮𝗻𝘀𝗮𝗰𝘁𝗶𝗼𝗻𝘀. We will not be dealing with any money or wallets. Furthermore, our"&amp;" application will be focused on basic predictions. 
𝐴 𝑑𝑒𝑡𝑎𝑖𝑙𝑒𝑑 𝑠𝑐𝑜𝑝𝑒 𝑠ℎ𝑎𝑙𝑙 𝑏𝑒 𝑝𝑟𝑜𝑣𝑖𝑑𝑒𝑑 𝑖𝑛 𝑜𝑢𝑟 𝑝𝑟𝑜𝑗𝑒𝑐𝑡 𝑑𝑜𝑐𝑢𝑚𝑒𝑛𝑡 𝑙𝑎𝑡𝑒𝑟 𝑜𝑛 𝑎𝑠 𝑤𝑒𝑙𝑙
Features:
- SMS reading for automatic transaction retrieval
- "&amp;"Ability to manually add transactions
- Ability to categorize transaction
- Sorting and filtering categories
- Creating budgets for different transaction categories
- Notifications
- Visualization of categories and spending
- Reminders for bill payments, p"&amp;"artial payments, cash withdrawals, and other manual reminders
- Ability to set plans and goals
- Dynamic goal planning using models
- Generating models for plan related recommendations
- Scenario planning and visualization
- Stock visualization
- Comparis"&amp;"on of different insurance, savings, and retirement plans etc.")</f>
        <v>We aim to produce a cross-platform mobile application aimed towards the general population of Pakistan. With a heavy economic decline we aim to produce an application to help provide users with better financial literacy by helping them budget, plan, visualize, and forecast thus providing them financial advice on their finances thus empowering them through automatically picking up transactions through SMS along with the ability to enter transactions manually. Our application is focused on the Pakistani market which will run on iOS and android and will run in offline as well. 𝗢𝘂𝗿 𝗮𝗽𝗽𝗹𝗶𝗰𝗮𝘁𝗶𝗼𝗻 𝘄𝗶𝗹𝗹 𝗻𝗼𝘁 𝗯𝗲 𝗳𝗼𝗰𝘂𝘀𝗲𝗱 𝗼𝗻 𝗽𝗲𝗿𝗳𝗼𝗿𝗺𝗶𝗻𝗴 𝘁𝗿𝗮𝗻𝘀𝗮𝗰𝘁𝗶𝗼𝗻𝘀. We will not be dealing with any money or wallets. Furthermore, our application will be focused on basic predictions. 
𝐴 𝑑𝑒𝑡𝑎𝑖𝑙𝑒𝑑 𝑠𝑐𝑜𝑝𝑒 𝑠ℎ𝑎𝑙𝑙 𝑏𝑒 𝑝𝑟𝑜𝑣𝑖𝑑𝑒𝑑 𝑖𝑛 𝑜𝑢𝑟 𝑝𝑟𝑜𝑗𝑒𝑐𝑡 𝑑𝑜𝑐𝑢𝑚𝑒𝑛𝑡 𝑙𝑎𝑡𝑒𝑟 𝑜𝑛 𝑎𝑠 𝑤𝑒𝑙𝑙
Features:
- SMS reading for automatic transaction retrieval
- Ability to manually add transactions
- Ability to categorize transaction
- Sorting and filtering categories
- Creating budgets for different transaction categories
- Notifications
- Visualization of categories and spending
- Reminders for bill payments, partial payments, cash withdrawals, and other manual reminders
- Ability to set plans and goals
- Dynamic goal planning using models
- Generating models for plan related recommendations
- Scenario planning and visualization
- Stock visualization
- Comparison of different insurance, savings, and retirement plans etc.</v>
      </c>
      <c r="D23" s="12" t="str">
        <f ca="1">IFERROR(__xludf.DUMMYFUNCTION("""COMPUTED_VALUE"""),"Ms. Marium Hida")</f>
        <v>Ms. Marium Hida</v>
      </c>
      <c r="E23" s="12"/>
      <c r="F23" s="12" t="str">
        <f ca="1">IFERROR(__xludf.DUMMYFUNCTION("""COMPUTED_VALUE"""),"Ahmad Hassan")</f>
        <v>Ahmad Hassan</v>
      </c>
      <c r="G23" s="12" t="str">
        <f ca="1">IFERROR(__xludf.DUMMYFUNCTION("""COMPUTED_VALUE"""),"i210403")</f>
        <v>i210403</v>
      </c>
      <c r="H23" s="12" t="str">
        <f ca="1">IFERROR(__xludf.DUMMYFUNCTION("""COMPUTED_VALUE"""),"Muhammad Faraz Rashid")</f>
        <v>Muhammad Faraz Rashid</v>
      </c>
      <c r="I23" s="12" t="str">
        <f ca="1">IFERROR(__xludf.DUMMYFUNCTION("""COMPUTED_VALUE"""),"i210659")</f>
        <v>i210659</v>
      </c>
      <c r="J23" s="12" t="str">
        <f ca="1">IFERROR(__xludf.DUMMYFUNCTION("""COMPUTED_VALUE"""),"Muhammad Affan")</f>
        <v>Muhammad Affan</v>
      </c>
      <c r="K23" s="12" t="str">
        <f ca="1">IFERROR(__xludf.DUMMYFUNCTION("""COMPUTED_VALUE"""),"i210474")</f>
        <v>i210474</v>
      </c>
    </row>
    <row r="24" spans="1:11">
      <c r="A24" s="12" t="str">
        <f ca="1">IFERROR(__xludf.DUMMYFUNCTION("""COMPUTED_VALUE"""),"F24-023-D-RefactoAi")</f>
        <v>F24-023-D-RefactoAi</v>
      </c>
      <c r="B24" s="13" t="str">
        <f ca="1">IFERROR(__xludf.DUMMYFUNCTION("""COMPUTED_VALUE"""),"AI-Driven Sales Conversation Enhancement Tool")</f>
        <v>AI-Driven Sales Conversation Enhancement Tool</v>
      </c>
      <c r="C24" s="14" t="str">
        <f ca="1">IFERROR(__xludf.DUMMYFUNCTION("""COMPUTED_VALUE"""),"Calls Craft is an AI-driven sales conversation enhancement tool designed to assist sales professionals by providing real-time insights and suggestions. The platform integrates advanced AI analysis for behavioral and emotional assessment, automatic transcr"&amp;"iption, and meeting minutes generation, ensuring more effective and personalized communication. Built as a web application using the MERN stack, Calls Craft offers features such as Zoom integration, document sharing and preview, a rich text editor for not"&amp;"e-taking, and dynamic visualization tools. It seamlessly integrates with a CRM system to manage and track sales activities, making it a comprehensive solution for improving sales performance.")</f>
        <v>Calls Craft is an AI-driven sales conversation enhancement tool designed to assist sales professionals by providing real-time insights and suggestions. The platform integrates advanced AI analysis for behavioral and emotional assessment, automatic transcription, and meeting minutes generation, ensuring more effective and personalized communication. Built as a web application using the MERN stack, Calls Craft offers features such as Zoom integration, document sharing and preview, a rich text editor for note-taking, and dynamic visualization tools. It seamlessly integrates with a CRM system to manage and track sales activities, making it a comprehensive solution for improving sales performance.</v>
      </c>
      <c r="D24" s="12" t="str">
        <f ca="1">IFERROR(__xludf.DUMMYFUNCTION("""COMPUTED_VALUE"""),"Mr. Pir Sami Ullah Shah")</f>
        <v>Mr. Pir Sami Ullah Shah</v>
      </c>
      <c r="E24" s="12"/>
      <c r="F24" s="12" t="str">
        <f ca="1">IFERROR(__xludf.DUMMYFUNCTION("""COMPUTED_VALUE"""),"Faizan Ul Haq")</f>
        <v>Faizan Ul Haq</v>
      </c>
      <c r="G24" s="12" t="str">
        <f ca="1">IFERROR(__xludf.DUMMYFUNCTION("""COMPUTED_VALUE"""),"i211771")</f>
        <v>i211771</v>
      </c>
      <c r="H24" s="12" t="str">
        <f ca="1">IFERROR(__xludf.DUMMYFUNCTION("""COMPUTED_VALUE"""),"M.Mubashir Hassan")</f>
        <v>M.Mubashir Hassan</v>
      </c>
      <c r="I24" s="12" t="str">
        <f ca="1">IFERROR(__xludf.DUMMYFUNCTION("""COMPUTED_VALUE"""),"i211764")</f>
        <v>i211764</v>
      </c>
      <c r="J24" s="12" t="str">
        <f ca="1">IFERROR(__xludf.DUMMYFUNCTION("""COMPUTED_VALUE"""),"Abdullah Bin Faisal")</f>
        <v>Abdullah Bin Faisal</v>
      </c>
      <c r="K24" s="12" t="str">
        <f ca="1">IFERROR(__xludf.DUMMYFUNCTION("""COMPUTED_VALUE"""),"i211183")</f>
        <v>i211183</v>
      </c>
    </row>
    <row r="25" spans="1:11">
      <c r="A25" s="12" t="str">
        <f ca="1">IFERROR(__xludf.DUMMYFUNCTION("""COMPUTED_VALUE"""),"F24-024-D-TherapEase")</f>
        <v>F24-024-D-TherapEase</v>
      </c>
      <c r="B25" s="13" t="str">
        <f ca="1">IFERROR(__xludf.DUMMYFUNCTION("""COMPUTED_VALUE"""),"A Virtual Therapist Assistant Digital Twin")</f>
        <v>A Virtual Therapist Assistant Digital Twin</v>
      </c>
      <c r="C25" s="14" t="str">
        <f ca="1">IFERROR(__xludf.DUMMYFUNCTION("""COMPUTED_VALUE"""),"The project aims to develop an Assistant designed to support therapists in diagnosing and treating people with autism. This assistant will interact with the person to assess their position on the autism spectrum, providing therapists with a quantified sco"&amp;"re that reflects the severity of autism. By leveraging advanced AI technologies, including Computer Vision (CV) ,Generative AI and Natural Language Processing (NLP). The customizable 3D model will operate in various environments tailored to each person's "&amp;"unique needs, and a comprehensive database will store and visualize the child's progress over time.
1. Emotion Detection and Facial Features
2. Generating Questions based on previous input
3. Database for keeping records
4. Interactive Dashboard for"&amp;" Therapist
5. Generating Background Images to keep the person Engaged
6. Autism Spectrum Scoring
7. Text-To-Speech
8. Voice Recognition
9. Multilingual (Optional)
10. LipSync(Optional)")</f>
        <v>The project aims to develop an Assistant designed to support therapists in diagnosing and treating people with autism. This assistant will interact with the person to assess their position on the autism spectrum, providing therapists with a quantified score that reflects the severity of autism. By leveraging advanced AI technologies, including Computer Vision (CV) ,Generative AI and Natural Language Processing (NLP). The customizable 3D model will operate in various environments tailored to each person's unique needs, and a comprehensive database will store and visualize the child's progress over time.
1. Emotion Detection and Facial Features
2. Generating Questions based on previous input
3. Database for keeping records
4. Interactive Dashboard for Therapist
5. Generating Background Images to keep the person Engaged
6. Autism Spectrum Scoring
7. Text-To-Speech
8. Voice Recognition
9. Multilingual (Optional)
10. LipSync(Optional)</v>
      </c>
      <c r="D25" s="12" t="str">
        <f ca="1">IFERROR(__xludf.DUMMYFUNCTION("""COMPUTED_VALUE"""),"Dr. Usman Habib")</f>
        <v>Dr. Usman Habib</v>
      </c>
      <c r="E25" s="12" t="str">
        <f ca="1">IFERROR(__xludf.DUMMYFUNCTION("""COMPUTED_VALUE"""),"Mr. Muhammad Farrukh Bashir")</f>
        <v>Mr. Muhammad Farrukh Bashir</v>
      </c>
      <c r="F25" s="12" t="str">
        <f ca="1">IFERROR(__xludf.DUMMYFUNCTION("""COMPUTED_VALUE"""),"Maryam Amjad")</f>
        <v>Maryam Amjad</v>
      </c>
      <c r="G25" s="12" t="str">
        <f ca="1">IFERROR(__xludf.DUMMYFUNCTION("""COMPUTED_VALUE"""),"i210309")</f>
        <v>i210309</v>
      </c>
      <c r="H25" s="12" t="str">
        <f ca="1">IFERROR(__xludf.DUMMYFUNCTION("""COMPUTED_VALUE"""),"Ehtsham Walidad")</f>
        <v>Ehtsham Walidad</v>
      </c>
      <c r="I25" s="12" t="str">
        <f ca="1">IFERROR(__xludf.DUMMYFUNCTION("""COMPUTED_VALUE"""),"i210260")</f>
        <v>i210260</v>
      </c>
      <c r="J25" s="12" t="str">
        <f ca="1">IFERROR(__xludf.DUMMYFUNCTION("""COMPUTED_VALUE"""),"Maaheen Siddiqi")</f>
        <v>Maaheen Siddiqi</v>
      </c>
      <c r="K25" s="12" t="str">
        <f ca="1">IFERROR(__xludf.DUMMYFUNCTION("""COMPUTED_VALUE"""),"i210278")</f>
        <v>i210278</v>
      </c>
    </row>
    <row r="26" spans="1:11">
      <c r="A26" s="12" t="str">
        <f ca="1">IFERROR(__xludf.DUMMYFUNCTION("""COMPUTED_VALUE"""),"F24-025-D-DocUCare")</f>
        <v>F24-025-D-DocUCare</v>
      </c>
      <c r="B26" s="13" t="str">
        <f ca="1">IFERROR(__xludf.DUMMYFUNCTION("""COMPUTED_VALUE"""),"Insider Threat Identification using SIEM Solution Enhanced by AI Model.")</f>
        <v>Insider Threat Identification using SIEM Solution Enhanced by AI Model.</v>
      </c>
      <c r="C26" s="14" t="str">
        <f ca="1">IFERROR(__xludf.DUMMYFUNCTION("""COMPUTED_VALUE"""),"Scope: Internal Network of an Organization
The project will involve developing a SIEM dashboard/Integration. This dashboard will provide real-time monitoring, detection, and analysis of security events across the organization's internal network. This wil"&amp;"l include both system and network logs and will feature visualizations, such as event trend graphs and source distribution pie charts, along with filtering options for quick insights into potential threats. This will also include dataset creation and labe"&amp;"lling from the ground up. 
Key Features:
Insider Threat Detection
Internal Network Monitoring 
Threat Visualisation 
Model Training 
Dataset Creation 
Dataset Labelling 
Agent Creation
SIEM Integration 
")</f>
        <v xml:space="preserve">Scope: Internal Network of an Organization
The project will involve developing a SIEM dashboard/Integration. This dashboard will provide real-time monitoring, detection, and analysis of security events across the organization's internal network. This will include both system and network logs and will feature visualizations, such as event trend graphs and source distribution pie charts, along with filtering options for quick insights into potential threats. This will also include dataset creation and labelling from the ground up. 
Key Features:
Insider Threat Detection
Internal Network Monitoring 
Threat Visualisation 
Model Training 
Dataset Creation 
Dataset Labelling 
Agent Creation
SIEM Integration 
</v>
      </c>
      <c r="D26" s="12" t="str">
        <f ca="1">IFERROR(__xludf.DUMMYFUNCTION("""COMPUTED_VALUE"""),"Mr. Saad Salman")</f>
        <v>Mr. Saad Salman</v>
      </c>
      <c r="E26" s="12" t="str">
        <f ca="1">IFERROR(__xludf.DUMMYFUNCTION("""COMPUTED_VALUE"""),"Mr. Muhammad Abdullah Abid")</f>
        <v>Mr. Muhammad Abdullah Abid</v>
      </c>
      <c r="F26" s="12" t="str">
        <f ca="1">IFERROR(__xludf.DUMMYFUNCTION("""COMPUTED_VALUE"""),"Muhammad Hassaan Jamil")</f>
        <v>Muhammad Hassaan Jamil</v>
      </c>
      <c r="G26" s="12" t="str">
        <f ca="1">IFERROR(__xludf.DUMMYFUNCTION("""COMPUTED_VALUE"""),"i212774")</f>
        <v>i212774</v>
      </c>
      <c r="H26" s="12" t="str">
        <f ca="1">IFERROR(__xludf.DUMMYFUNCTION("""COMPUTED_VALUE"""),"Hadia Shahid")</f>
        <v>Hadia Shahid</v>
      </c>
      <c r="I26" s="12" t="str">
        <f ca="1">IFERROR(__xludf.DUMMYFUNCTION("""COMPUTED_VALUE"""),"i211563")</f>
        <v>i211563</v>
      </c>
      <c r="J26" s="12" t="str">
        <f ca="1">IFERROR(__xludf.DUMMYFUNCTION("""COMPUTED_VALUE"""),"Nawfal Waqar")</f>
        <v>Nawfal Waqar</v>
      </c>
      <c r="K26" s="12" t="str">
        <f ca="1">IFERROR(__xludf.DUMMYFUNCTION("""COMPUTED_VALUE"""),"i211914")</f>
        <v>i211914</v>
      </c>
    </row>
    <row r="27" spans="1:11">
      <c r="A27" s="12" t="str">
        <f ca="1">IFERROR(__xludf.DUMMYFUNCTION("""COMPUTED_VALUE"""),"F24-026-D-VocalCraftAI")</f>
        <v>F24-026-D-VocalCraftAI</v>
      </c>
      <c r="B27" s="13" t="str">
        <f ca="1">IFERROR(__xludf.DUMMYFUNCTION("""COMPUTED_VALUE"""),"VocalCraft: AI-Driven Pamphlet Creation Through Voice Commands")</f>
        <v>VocalCraft: AI-Driven Pamphlet Creation Through Voice Commands</v>
      </c>
      <c r="C27" s="14" t="str">
        <f ca="1">IFERROR(__xludf.DUMMYFUNCTION("""COMPUTED_VALUE"""),"The project is focused on developing an AI-driven system that automates the creation of fast food pamphlets using voice input. By integrating an image generation model and a large language model (LLM), the system allows users, particularly small business "&amp;"owners, to generate customized marketing materials quickly and efficiently without requiring design expertise. The scope of the project includes the development of a user-friendly interface that accepts voice commands, processes them to generate relevant "&amp;"content and imagery, and outputs ready-to-use pamphlets. The project aims to empower users with limited resources to create professional-grade marketing materials, enhancing their ability to promote their products effectively.
Key Features:
1. Voice Comm"&amp;"and Input: Users can create pamphlets by speaking instructions, making the process accessible and easy.
2. Automated Image Generation: The software uses AI to generate relevant images based on the user's spoken content.
3. Text Content Generation: The sys"&amp;"tem utilizes an LLM to create persuasive and contextually appropriate text for the pamphlets.
4. Customizable Templates: Users can choose from various design templates to match their brand's style.
5. Real-time Preview: The software provides a real-time p"&amp;"review of the pamphlet as it's being created.
6. User-Friendly Interface: The interface is intuitive, designed for users with little to no design or technical experience.
7. Cloud-Based Storage: Generated pamphlets can be saved and accessed from the cloud"&amp;", ensuring easy storage and retrieval.
8. Print-Ready Output: The software produces high-quality, print-ready files suitable for professional printing.
9. Analytics and Feedback: The system includes basic analytics to track the effectiveness of different "&amp;"pamphlet designs and content, offering feedback for improvements.")</f>
        <v>The project is focused on developing an AI-driven system that automates the creation of fast food pamphlets using voice input. By integrating an image generation model and a large language model (LLM), the system allows users, particularly small business owners, to generate customized marketing materials quickly and efficiently without requiring design expertise. The scope of the project includes the development of a user-friendly interface that accepts voice commands, processes them to generate relevant content and imagery, and outputs ready-to-use pamphlets. The project aims to empower users with limited resources to create professional-grade marketing materials, enhancing their ability to promote their products effectively.
Key Features:
1. Voice Command Input: Users can create pamphlets by speaking instructions, making the process accessible and easy.
2. Automated Image Generation: The software uses AI to generate relevant images based on the user's spoken content.
3. Text Content Generation: The system utilizes an LLM to create persuasive and contextually appropriate text for the pamphlets.
4. Customizable Templates: Users can choose from various design templates to match their brand's style.
5. Real-time Preview: The software provides a real-time preview of the pamphlet as it's being created.
6. User-Friendly Interface: The interface is intuitive, designed for users with little to no design or technical experience.
7. Cloud-Based Storage: Generated pamphlets can be saved and accessed from the cloud, ensuring easy storage and retrieval.
8. Print-Ready Output: The software produces high-quality, print-ready files suitable for professional printing.
9. Analytics and Feedback: The system includes basic analytics to track the effectiveness of different pamphlet designs and content, offering feedback for improvements.</v>
      </c>
      <c r="D27" s="12" t="str">
        <f ca="1">IFERROR(__xludf.DUMMYFUNCTION("""COMPUTED_VALUE"""),"Dr. Asif Naeem")</f>
        <v>Dr. Asif Naeem</v>
      </c>
      <c r="E27" s="12" t="str">
        <f ca="1">IFERROR(__xludf.DUMMYFUNCTION("""COMPUTED_VALUE"""),"Mr. Muhammad Aamir Gulzar")</f>
        <v>Mr. Muhammad Aamir Gulzar</v>
      </c>
      <c r="F27" s="12" t="str">
        <f ca="1">IFERROR(__xludf.DUMMYFUNCTION("""COMPUTED_VALUE"""),"Muhammad Raees Shujaan Azhar")</f>
        <v>Muhammad Raees Shujaan Azhar</v>
      </c>
      <c r="G27" s="12" t="str">
        <f ca="1">IFERROR(__xludf.DUMMYFUNCTION("""COMPUTED_VALUE"""),"i210406")</f>
        <v>i210406</v>
      </c>
      <c r="H27" s="12" t="str">
        <f ca="1">IFERROR(__xludf.DUMMYFUNCTION("""COMPUTED_VALUE"""),"Farzeen Qaiser")</f>
        <v>Farzeen Qaiser</v>
      </c>
      <c r="I27" s="12" t="str">
        <f ca="1">IFERROR(__xludf.DUMMYFUNCTION("""COMPUTED_VALUE"""),"i210782")</f>
        <v>i210782</v>
      </c>
      <c r="J27" s="12" t="str">
        <f ca="1">IFERROR(__xludf.DUMMYFUNCTION("""COMPUTED_VALUE"""),"Ali Ashraf")</f>
        <v>Ali Ashraf</v>
      </c>
      <c r="K27" s="12" t="str">
        <f ca="1">IFERROR(__xludf.DUMMYFUNCTION("""COMPUTED_VALUE"""),"i210605")</f>
        <v>i210605</v>
      </c>
    </row>
    <row r="28" spans="1:11">
      <c r="A28" s="12" t="str">
        <f ca="1">IFERROR(__xludf.DUMMYFUNCTION("""COMPUTED_VALUE"""),"F24-027-D-SpecBot")</f>
        <v>F24-027-D-SpecBot</v>
      </c>
      <c r="B28" s="13" t="str">
        <f ca="1">IFERROR(__xludf.DUMMYFUNCTION("""COMPUTED_VALUE"""),"Automated Code Generation Based on Specs")</f>
        <v>Automated Code Generation Based on Specs</v>
      </c>
      <c r="C28" s="14" t="str">
        <f ca="1">IFERROR(__xludf.DUMMYFUNCTION("""COMPUTED_VALUE"""),"SpecBot is a cutting-edge tool designed to generate automated code tailored to the user's hardware specifications. It leverages knowledge graphs or large language models (LLMs) for intelligent code generation, producing recursive or iterative code based o"&amp;"n specific hardware configurations. By removing dependencies and generating new variables, SpecBot enhances code efficiency and prevents race conditions and shared cache conflicts, improving space complexity. It optimizes execution time, converting sequen"&amp;"tial code to parallel code in languages like C++ using OpenMP or OpenMPI, and in Python using Ray or the threading library. Additionally, it handles spatial exceptions in mathematical calculations, ensuring accurate results. SpecBot is deployed as an easy"&amp;"-to-use Visual Studio Code (VSC) extension.")</f>
        <v>SpecBot is a cutting-edge tool designed to generate automated code tailored to the user's hardware specifications. It leverages knowledge graphs or large language models (LLMs) for intelligent code generation, producing recursive or iterative code based on specific hardware configurations. By removing dependencies and generating new variables, SpecBot enhances code efficiency and prevents race conditions and shared cache conflicts, improving space complexity. It optimizes execution time, converting sequential code to parallel code in languages like C++ using OpenMP or OpenMPI, and in Python using Ray or the threading library. Additionally, it handles spatial exceptions in mathematical calculations, ensuring accurate results. SpecBot is deployed as an easy-to-use Visual Studio Code (VSC) extension.</v>
      </c>
      <c r="D28" s="12" t="str">
        <f ca="1">IFERROR(__xludf.DUMMYFUNCTION("""COMPUTED_VALUE"""),"Dr. Muhammad Arshad Islam")</f>
        <v>Dr. Muhammad Arshad Islam</v>
      </c>
      <c r="E28" s="12"/>
      <c r="F28" s="12" t="str">
        <f ca="1">IFERROR(__xludf.DUMMYFUNCTION("""COMPUTED_VALUE"""),"Muhammad Abdur Rafey")</f>
        <v>Muhammad Abdur Rafey</v>
      </c>
      <c r="G28" s="12" t="str">
        <f ca="1">IFERROR(__xludf.DUMMYFUNCTION("""COMPUTED_VALUE"""),"i210705")</f>
        <v>i210705</v>
      </c>
      <c r="H28" s="12" t="str">
        <f ca="1">IFERROR(__xludf.DUMMYFUNCTION("""COMPUTED_VALUE"""),"Ayra Alamdar")</f>
        <v>Ayra Alamdar</v>
      </c>
      <c r="I28" s="12" t="str">
        <f ca="1">IFERROR(__xludf.DUMMYFUNCTION("""COMPUTED_VALUE"""),"i212968")</f>
        <v>i212968</v>
      </c>
      <c r="J28" s="12" t="str">
        <f ca="1">IFERROR(__xludf.DUMMYFUNCTION("""COMPUTED_VALUE"""),"Husnain Ali")</f>
        <v>Husnain Ali</v>
      </c>
      <c r="K28" s="12" t="str">
        <f ca="1">IFERROR(__xludf.DUMMYFUNCTION("""COMPUTED_VALUE"""),"i210542")</f>
        <v>i210542</v>
      </c>
    </row>
    <row r="29" spans="1:11">
      <c r="A29" s="12" t="str">
        <f ca="1">IFERROR(__xludf.DUMMYFUNCTION("""COMPUTED_VALUE"""),"F24-028-D-Art2Sprite")</f>
        <v>F24-028-D-Art2Sprite</v>
      </c>
      <c r="B29" s="13" t="str">
        <f ca="1">IFERROR(__xludf.DUMMYFUNCTION("""COMPUTED_VALUE"""),"Art2Sprite: AI Conversion from Hand-Drawn Sketches to Digital Sprite Sheets")</f>
        <v>Art2Sprite: AI Conversion from Hand-Drawn Sketches to Digital Sprite Sheets</v>
      </c>
      <c r="C29" s="14" t="str">
        <f ca="1">IFERROR(__xludf.DUMMYFUNCTION("""COMPUTED_VALUE"""),"ART2SPRITE (A2S) is an innovative platform designed to automate the transformation of hand-drawn sketches into fully functional digital sprite sheets for use in video games, animations, and other digital media. Leveraging advanced AI-driven models and ima"&amp;"ge processing techniques, A2S streamlines the conversion process, enabling artists to easily enhance, refine, and convert their artwork into ready-to-use sprites. The platform offers an intuitive interface and powerful tools for customization,, making it "&amp;"an essential tool for game developers, animators, and digital designers.
Key Features:
- Sketch-to-Image Conversion: Converts hand-drawn sketches into detailed digital images using advanced AI models.
- Image Processing: Enhances the quality of sketches "&amp;"through noise reduction, sharpening, and contrast adjustment.
- Automated Sprite Generation: Creates ready-to-use sprites from the enhanced images, optimized for digital applications using a text prompt.
- Sprite Sheet Creation: Automatically generates sp"&amp;"rite sheets for efficient use in game engines, with files for mapping sprites.
- Interactive Preview: Previewing and interacting with sprites before final export.
- Background Removal: Provides tools to automatically remove backgrounds, ensuring clean, tr"&amp;"ansparent sprites.
- Resolution Adjustment: Allows users to resize images to meet specific resolution requirements.
- PNG Conversion: Ensures all final outputs are in PNG format, supporting transparency and high-quality rendering.
- User-Friendly Interfac"&amp;"e: Features an intuitive UI for easy upload, processing, and download of images.
- Customizable Output Options: Lets users adjust sprite attributes like size, color palette, and resolution to match their needs.
- Version Control: Tracks and stores previou"&amp;"s versions of images, allowing users to revert to earlier stages if needed.")</f>
        <v>ART2SPRITE (A2S) is an innovative platform designed to automate the transformation of hand-drawn sketches into fully functional digital sprite sheets for use in video games, animations, and other digital media. Leveraging advanced AI-driven models and image processing techniques, A2S streamlines the conversion process, enabling artists to easily enhance, refine, and convert their artwork into ready-to-use sprites. The platform offers an intuitive interface and powerful tools for customization,, making it an essential tool for game developers, animators, and digital designers.
Key Features:
- Sketch-to-Image Conversion: Converts hand-drawn sketches into detailed digital images using advanced AI models.
- Image Processing: Enhances the quality of sketches through noise reduction, sharpening, and contrast adjustment.
- Automated Sprite Generation: Creates ready-to-use sprites from the enhanced images, optimized for digital applications using a text prompt.
- Sprite Sheet Creation: Automatically generates sprite sheets for efficient use in game engines, with files for mapping sprites.
- Interactive Preview: Previewing and interacting with sprites before final export.
- Background Removal: Provides tools to automatically remove backgrounds, ensuring clean, transparent sprites.
- Resolution Adjustment: Allows users to resize images to meet specific resolution requirements.
- PNG Conversion: Ensures all final outputs are in PNG format, supporting transparency and high-quality rendering.
- User-Friendly Interface: Features an intuitive UI for easy upload, processing, and download of images.
- Customizable Output Options: Lets users adjust sprite attributes like size, color palette, and resolution to match their needs.
- Version Control: Tracks and stores previous versions of images, allowing users to revert to earlier stages if needed.</v>
      </c>
      <c r="D29" s="12" t="str">
        <f ca="1">IFERROR(__xludf.DUMMYFUNCTION("""COMPUTED_VALUE"""),"Ms. Marium Hida")</f>
        <v>Ms. Marium Hida</v>
      </c>
      <c r="E29" s="12"/>
      <c r="F29" s="12" t="str">
        <f ca="1">IFERROR(__xludf.DUMMYFUNCTION("""COMPUTED_VALUE"""),"Mohammad Attique")</f>
        <v>Mohammad Attique</v>
      </c>
      <c r="G29" s="12" t="str">
        <f ca="1">IFERROR(__xludf.DUMMYFUNCTION("""COMPUTED_VALUE"""),"i210410")</f>
        <v>i210410</v>
      </c>
      <c r="H29" s="12" t="str">
        <f ca="1">IFERROR(__xludf.DUMMYFUNCTION("""COMPUTED_VALUE"""),"Rayyan Zia")</f>
        <v>Rayyan Zia</v>
      </c>
      <c r="I29" s="12" t="str">
        <f ca="1">IFERROR(__xludf.DUMMYFUNCTION("""COMPUTED_VALUE"""),"i212951")</f>
        <v>i212951</v>
      </c>
      <c r="J29" s="12" t="str">
        <f ca="1">IFERROR(__xludf.DUMMYFUNCTION("""COMPUTED_VALUE"""),"Muhammad Taimur Aamir")</f>
        <v>Muhammad Taimur Aamir</v>
      </c>
      <c r="K29" s="12" t="str">
        <f ca="1">IFERROR(__xludf.DUMMYFUNCTION("""COMPUTED_VALUE"""),"i210668")</f>
        <v>i210668</v>
      </c>
    </row>
    <row r="30" spans="1:11">
      <c r="A30" s="12" t="str">
        <f ca="1">IFERROR(__xludf.DUMMYFUNCTION("""COMPUTED_VALUE"""),"F24-029-D-VerseCraft")</f>
        <v>F24-029-D-VerseCraft</v>
      </c>
      <c r="B30" s="13" t="str">
        <f ca="1">IFERROR(__xludf.DUMMYFUNCTION("""COMPUTED_VALUE"""),"VerseCraft:Transforming Story, novel and creative writing with Ai enhanced productivity tool")</f>
        <v>VerseCraft:Transforming Story, novel and creative writing with Ai enhanced productivity tool</v>
      </c>
      <c r="C30" s="14" t="str">
        <f ca="1">IFERROR(__xludf.DUMMYFUNCTION("""COMPUTED_VALUE"""),"VerseCraft is a software platform designed to help writers by using AI to boost their creative writing. It provides a complete environment where writers can create stories, work with others, and overcome creative blocks with AI tools. We will be fine-tuni"&amp;"ng and optimizing AI models, including LLMs, to enhance these tools and make them more effective. VerseCraft aims to improve productivity with a customizable writing interface and secure content through advanced technology. Whether you're a seasoned write"&amp;"r or just starting out, VerseCraft is here to simplify the creative process, letting you focus on storytelling while it takes care of everything else, from generating ideas to managing your workflow.  Key features: AI-Powered Story Assistance, Mind Map fo"&amp;"r Brainstorming, Collaborative Writing, Version Control, Character Development Assistant, Inline Notes Creation, Content Customization and Personalization, Decentralized/Hybrid Content Management, Social Sharing and Community Engagement, Interactive Plot "&amp;"Development Tool. These are main features but during implementation some more changes can be expected ")</f>
        <v xml:space="preserve">VerseCraft is a software platform designed to help writers by using AI to boost their creative writing. It provides a complete environment where writers can create stories, work with others, and overcome creative blocks with AI tools. We will be fine-tuning and optimizing AI models, including LLMs, to enhance these tools and make them more effective. VerseCraft aims to improve productivity with a customizable writing interface and secure content through advanced technology. Whether you're a seasoned writer or just starting out, VerseCraft is here to simplify the creative process, letting you focus on storytelling while it takes care of everything else, from generating ideas to managing your workflow.  Key features: AI-Powered Story Assistance, Mind Map for Brainstorming, Collaborative Writing, Version Control, Character Development Assistant, Inline Notes Creation, Content Customization and Personalization, Decentralized/Hybrid Content Management, Social Sharing and Community Engagement, Interactive Plot Development Tool. These are main features but during implementation some more changes can be expected </v>
      </c>
      <c r="D30" s="12" t="str">
        <f ca="1">IFERROR(__xludf.DUMMYFUNCTION("""COMPUTED_VALUE"""),"Mr. Owais Idrees")</f>
        <v>Mr. Owais Idrees</v>
      </c>
      <c r="E30" s="12"/>
      <c r="F30" s="12" t="str">
        <f ca="1">IFERROR(__xludf.DUMMYFUNCTION("""COMPUTED_VALUE"""),"Muhammad Waleed")</f>
        <v>Muhammad Waleed</v>
      </c>
      <c r="G30" s="12" t="str">
        <f ca="1">IFERROR(__xludf.DUMMYFUNCTION("""COMPUTED_VALUE"""),"i210438")</f>
        <v>i210438</v>
      </c>
      <c r="H30" s="12" t="str">
        <f ca="1">IFERROR(__xludf.DUMMYFUNCTION("""COMPUTED_VALUE"""),"Murtaza kazmi")</f>
        <v>Murtaza kazmi</v>
      </c>
      <c r="I30" s="12" t="str">
        <f ca="1">IFERROR(__xludf.DUMMYFUNCTION("""COMPUTED_VALUE"""),"i210685")</f>
        <v>i210685</v>
      </c>
      <c r="J30" s="12" t="str">
        <f ca="1">IFERROR(__xludf.DUMMYFUNCTION("""COMPUTED_VALUE"""),"Saad Ahmed Qureshi ")</f>
        <v xml:space="preserve">Saad Ahmed Qureshi </v>
      </c>
      <c r="K30" s="12" t="str">
        <f ca="1">IFERROR(__xludf.DUMMYFUNCTION("""COMPUTED_VALUE"""),"i210616")</f>
        <v>i210616</v>
      </c>
    </row>
    <row r="31" spans="1:11">
      <c r="A31" s="12" t="str">
        <f ca="1">IFERROR(__xludf.DUMMYFUNCTION("""COMPUTED_VALUE"""),"F24-030-R-SurgiGuide")</f>
        <v>F24-030-R-SurgiGuide</v>
      </c>
      <c r="B31" s="13" t="str">
        <f ca="1">IFERROR(__xludf.DUMMYFUNCTION("""COMPUTED_VALUE"""),"SurgiGuide: AI-Powered Decision Support for Surgeons")</f>
        <v>SurgiGuide: AI-Powered Decision Support for Surgeons</v>
      </c>
      <c r="C31" s="14" t="str">
        <f ca="1">IFERROR(__xludf.DUMMYFUNCTION("""COMPUTED_VALUE"""),"SurgiGuide is an AI-driven surgical assistance system designed to enhance the precision, efficiency, and safety of surgical procedures. The project focuses on developing an intelligent platform that provides real-time guidance, error detection, and decisi"&amp;"on support to surgeons during operations. By analyzing live data, SurgiGuide offers predictive insights, monitors vital signs, and suggests optimal actions to mitigate risks and improve patient outcomes.")</f>
        <v>SurgiGuide is an AI-driven surgical assistance system designed to enhance the precision, efficiency, and safety of surgical procedures. The project focuses on developing an intelligent platform that provides real-time guidance, error detection, and decision support to surgeons during operations. By analyzing live data, SurgiGuide offers predictive insights, monitors vital signs, and suggests optimal actions to mitigate risks and improve patient outcomes.</v>
      </c>
      <c r="D31" s="12" t="str">
        <f ca="1">IFERROR(__xludf.DUMMYFUNCTION("""COMPUTED_VALUE"""),"Ms. Marium Hida")</f>
        <v>Ms. Marium Hida</v>
      </c>
      <c r="E31" s="12"/>
      <c r="F31" s="12" t="str">
        <f ca="1">IFERROR(__xludf.DUMMYFUNCTION("""COMPUTED_VALUE"""),"Ahmed Mustafa")</f>
        <v>Ahmed Mustafa</v>
      </c>
      <c r="G31" s="12" t="str">
        <f ca="1">IFERROR(__xludf.DUMMYFUNCTION("""COMPUTED_VALUE"""),"i210689")</f>
        <v>i210689</v>
      </c>
      <c r="H31" s="12" t="str">
        <f ca="1">IFERROR(__xludf.DUMMYFUNCTION("""COMPUTED_VALUE"""),"Abdullah Zafar")</f>
        <v>Abdullah Zafar</v>
      </c>
      <c r="I31" s="12" t="str">
        <f ca="1">IFERROR(__xludf.DUMMYFUNCTION("""COMPUTED_VALUE"""),"i210510")</f>
        <v>i210510</v>
      </c>
      <c r="J31" s="12" t="str">
        <f ca="1">IFERROR(__xludf.DUMMYFUNCTION("""COMPUTED_VALUE"""),"Waleed Asif")</f>
        <v>Waleed Asif</v>
      </c>
      <c r="K31" s="12" t="str">
        <f ca="1">IFERROR(__xludf.DUMMYFUNCTION("""COMPUTED_VALUE"""),"i210537")</f>
        <v>i210537</v>
      </c>
    </row>
    <row r="32" spans="1:11">
      <c r="A32" s="12" t="str">
        <f ca="1">IFERROR(__xludf.DUMMYFUNCTION("""COMPUTED_VALUE"""),"F24-031-D-KubeSecure")</f>
        <v>F24-031-D-KubeSecure</v>
      </c>
      <c r="B32" s="13" t="str">
        <f ca="1">IFERROR(__xludf.DUMMYFUNCTION("""COMPUTED_VALUE"""),"AI-Driven Network Anomaly Detection for Securing Kubernetes Clusters")</f>
        <v>AI-Driven Network Anomaly Detection for Securing Kubernetes Clusters</v>
      </c>
      <c r="C32" s="14" t="str">
        <f ca="1">IFERROR(__xludf.DUMMYFUNCTION("""COMPUTED_VALUE"""),"KubeSecure is an advanced security solution designed to enhance the integrity and protection of Kubernetes clusters through real-time anomaly detection. Leveraging state-of-the-art deep learning models, KubeSecure continuously monitors network traffic wit"&amp;"hin the cluster to identify and respond to suspicious activities. The system is capable of blocking malicious IP addresses and redirecting traffic to an external honeypot for further analysis. Key features are:
1. In time traffic analysis
2. Deep Learning"&amp;"-Based Detection
3. Automated Response Mechanism
4. Comprehensive Logging and Alerting
5. User-Friendly Dashboards
6. Creating own DDOS Dataset")</f>
        <v>KubeSecure is an advanced security solution designed to enhance the integrity and protection of Kubernetes clusters through real-time anomaly detection. Leveraging state-of-the-art deep learning models, KubeSecure continuously monitors network traffic within the cluster to identify and respond to suspicious activities. The system is capable of blocking malicious IP addresses and redirecting traffic to an external honeypot for further analysis. Key features are:
1. In time traffic analysis
2. Deep Learning-Based Detection
3. Automated Response Mechanism
4. Comprehensive Logging and Alerting
5. User-Friendly Dashboards
6. Creating own DDOS Dataset</v>
      </c>
      <c r="D32" s="12" t="str">
        <f ca="1">IFERROR(__xludf.DUMMYFUNCTION("""COMPUTED_VALUE"""),"Dr. Muhammad Arshad Islam")</f>
        <v>Dr. Muhammad Arshad Islam</v>
      </c>
      <c r="E32" s="12"/>
      <c r="F32" s="12" t="str">
        <f ca="1">IFERROR(__xludf.DUMMYFUNCTION("""COMPUTED_VALUE"""),"Muhammad Hani")</f>
        <v>Muhammad Hani</v>
      </c>
      <c r="G32" s="12" t="str">
        <f ca="1">IFERROR(__xludf.DUMMYFUNCTION("""COMPUTED_VALUE"""),"i212595")</f>
        <v>i212595</v>
      </c>
      <c r="H32" s="12" t="str">
        <f ca="1">IFERROR(__xludf.DUMMYFUNCTION("""COMPUTED_VALUE"""),"Muhammad Usman Azam")</f>
        <v>Muhammad Usman Azam</v>
      </c>
      <c r="I32" s="12" t="str">
        <f ca="1">IFERROR(__xludf.DUMMYFUNCTION("""COMPUTED_VALUE"""),"i210653")</f>
        <v>i210653</v>
      </c>
      <c r="J32" s="12" t="str">
        <f ca="1">IFERROR(__xludf.DUMMYFUNCTION("""COMPUTED_VALUE"""),"Daniyal Ahmed")</f>
        <v>Daniyal Ahmed</v>
      </c>
      <c r="K32" s="12" t="str">
        <f ca="1">IFERROR(__xludf.DUMMYFUNCTION("""COMPUTED_VALUE"""),"i212493")</f>
        <v>i212493</v>
      </c>
    </row>
    <row r="33" spans="1:11">
      <c r="A33" s="12" t="str">
        <f ca="1">IFERROR(__xludf.DUMMYFUNCTION("""COMPUTED_VALUE"""),"F24-032-D-CallsCraft")</f>
        <v>F24-032-D-CallsCraft</v>
      </c>
      <c r="B33" s="13" t="str">
        <f ca="1">IFERROR(__xludf.DUMMYFUNCTION("""COMPUTED_VALUE"""),"DataTails: Weaving Unstructured Data into Insightful Visuals")</f>
        <v>DataTails: Weaving Unstructured Data into Insightful Visuals</v>
      </c>
      <c r="C33" s="14" t="str">
        <f ca="1">IFERROR(__xludf.DUMMYFUNCTION("""COMPUTED_VALUE"""),"DataTails is a Web Analytics Platform that delivers insights from unstructured data by analyzing user queries and dynamically selecting the most relevant visualizations. It makes it easier for people to explore and manage data, and quicker to discover and"&amp;" share insights. It uses LLMs, data scraping and advanced visualization tools to provide relevant answers to both free and premium users.")</f>
        <v>DataTails is a Web Analytics Platform that delivers insights from unstructured data by analyzing user queries and dynamically selecting the most relevant visualizations. It makes it easier for people to explore and manage data, and quicker to discover and share insights. It uses LLMs, data scraping and advanced visualization tools to provide relevant answers to both free and premium users.</v>
      </c>
      <c r="D33" s="15" t="str">
        <f ca="1">IFERROR(__xludf.DUMMYFUNCTION("""COMPUTED_VALUE"""),"Mr. Pir Sami Ullah Shah")</f>
        <v>Mr. Pir Sami Ullah Shah</v>
      </c>
      <c r="E33" s="12"/>
      <c r="F33" s="12" t="str">
        <f ca="1">IFERROR(__xludf.DUMMYFUNCTION("""COMPUTED_VALUE"""),"Shitba Kashif")</f>
        <v>Shitba Kashif</v>
      </c>
      <c r="G33" s="12" t="str">
        <f ca="1">IFERROR(__xludf.DUMMYFUNCTION("""COMPUTED_VALUE"""),"i212676")</f>
        <v>i212676</v>
      </c>
      <c r="H33" s="12" t="str">
        <f ca="1">IFERROR(__xludf.DUMMYFUNCTION("""COMPUTED_VALUE"""),"Fasih Ur Rehman")</f>
        <v>Fasih Ur Rehman</v>
      </c>
      <c r="I33" s="12" t="str">
        <f ca="1">IFERROR(__xludf.DUMMYFUNCTION("""COMPUTED_VALUE"""),"i211705")</f>
        <v>i211705</v>
      </c>
      <c r="J33" s="12" t="str">
        <f ca="1">IFERROR(__xludf.DUMMYFUNCTION("""COMPUTED_VALUE"""),"Maryam Noor Fatima")</f>
        <v>Maryam Noor Fatima</v>
      </c>
      <c r="K33" s="12" t="str">
        <f ca="1">IFERROR(__xludf.DUMMYFUNCTION("""COMPUTED_VALUE"""),"i212656")</f>
        <v>i212656</v>
      </c>
    </row>
    <row r="34" spans="1:11">
      <c r="A34" s="12" t="str">
        <f ca="1">IFERROR(__xludf.DUMMYFUNCTION("""COMPUTED_VALUE"""),"F24-033-D-Emit")</f>
        <v>F24-033-D-Emit</v>
      </c>
      <c r="B34" s="13" t="str">
        <f ca="1">IFERROR(__xludf.DUMMYFUNCTION("""COMPUTED_VALUE"""),"AI Fashion Design Studio: Innovating Design, Virtual Try-On, and Ad Generation for Eastern Wear.")</f>
        <v>AI Fashion Design Studio: Innovating Design, Virtual Try-On, and Ad Generation for Eastern Wear.</v>
      </c>
      <c r="C34" s="14" t="str">
        <f ca="1">IFERROR(__xludf.DUMMYFUNCTION("""COMPUTED_VALUE"""),"
The ""AI-Driven Fashion Studio"" is a cutting-edge software platform designed to transform the fashion design process by leveraging generative AI technologies. It focuses on the creation, visualization, and marketing of Eastern wear, providing designers "&amp;"with advanced tools that streamline everything from fabric selection and design to producing polished video advertisements. By integrating AI-powered virtual try-ons and dynamic scene generation, the platform enhances both the creative process and the fin"&amp;"al presentation, making it an indispensable tool for fashion designers and brands aiming to innovate in the industry.
Key Features:
1. Automated Designing: Streamlined selection of attire, fabric, and embroidery through AI-driven automation.
2. Comprehen"&amp;"sive Database: Extensive collection of designs, fabrics, and accessories sourced from leading Pakistani fashion brands.
3. 360-Degree Visualization: Full-view garment visualization to facilitate detailed design refinement.
4. AI-Powered Virtual Try-On: Re"&amp;"alistic simulation of garment fit and drape on various body types.
5. 3D Environment Designing: Dynamic 3D environment creation for detailed design exploration.
6. Advertisement Photo Generation: Automatic generation of high-quality advertisement images w"&amp;"ith AI-generated scenes.
7. Video Ad Generation: Creation of short video ads featuring AI models showcasing designed garments in custom scenes.
8. Style Transfer for Design Variations: AI-based style transfer to generate personalized design variations.
9."&amp;" AI-powered recommendation engine: according to person (height, weight, complexion etc)
10. User Authentication and Access Control: Secure login and access management to protect user data and designs.")</f>
        <v xml:space="preserve">
The "AI-Driven Fashion Studio" is a cutting-edge software platform designed to transform the fashion design process by leveraging generative AI technologies. It focuses on the creation, visualization, and marketing of Eastern wear, providing designers with advanced tools that streamline everything from fabric selection and design to producing polished video advertisements. By integrating AI-powered virtual try-ons and dynamic scene generation, the platform enhances both the creative process and the final presentation, making it an indispensable tool for fashion designers and brands aiming to innovate in the industry.
Key Features:
1. Automated Designing: Streamlined selection of attire, fabric, and embroidery through AI-driven automation.
2. Comprehensive Database: Extensive collection of designs, fabrics, and accessories sourced from leading Pakistani fashion brands.
3. 360-Degree Visualization: Full-view garment visualization to facilitate detailed design refinement.
4. AI-Powered Virtual Try-On: Realistic simulation of garment fit and drape on various body types.
5. 3D Environment Designing: Dynamic 3D environment creation for detailed design exploration.
6. Advertisement Photo Generation: Automatic generation of high-quality advertisement images with AI-generated scenes.
7. Video Ad Generation: Creation of short video ads featuring AI models showcasing designed garments in custom scenes.
8. Style Transfer for Design Variations: AI-based style transfer to generate personalized design variations.
9. AI-powered recommendation engine: according to person (height, weight, complexion etc)
10. User Authentication and Access Control: Secure login and access management to protect user data and designs.</v>
      </c>
      <c r="D34" s="15" t="str">
        <f ca="1">IFERROR(__xludf.DUMMYFUNCTION("""COMPUTED_VALUE"""),"Dr. Shahela Saif")</f>
        <v>Dr. Shahela Saif</v>
      </c>
      <c r="E34" s="12"/>
      <c r="F34" s="12" t="str">
        <f ca="1">IFERROR(__xludf.DUMMYFUNCTION("""COMPUTED_VALUE"""),"Shaaban Abdullah")</f>
        <v>Shaaban Abdullah</v>
      </c>
      <c r="G34" s="12" t="str">
        <f ca="1">IFERROR(__xludf.DUMMYFUNCTION("""COMPUTED_VALUE"""),"i211722")</f>
        <v>i211722</v>
      </c>
      <c r="H34" s="12" t="str">
        <f ca="1">IFERROR(__xludf.DUMMYFUNCTION("""COMPUTED_VALUE"""),"Hammad Javaid")</f>
        <v>Hammad Javaid</v>
      </c>
      <c r="I34" s="12" t="str">
        <f ca="1">IFERROR(__xludf.DUMMYFUNCTION("""COMPUTED_VALUE"""),"i211661")</f>
        <v>i211661</v>
      </c>
      <c r="J34" s="12" t="str">
        <f ca="1">IFERROR(__xludf.DUMMYFUNCTION("""COMPUTED_VALUE"""),"Mohammad Junaid Zafar")</f>
        <v>Mohammad Junaid Zafar</v>
      </c>
      <c r="K34" s="12" t="str">
        <f ca="1">IFERROR(__xludf.DUMMYFUNCTION("""COMPUTED_VALUE"""),"i212690")</f>
        <v>i212690</v>
      </c>
    </row>
    <row r="35" spans="1:11" ht="331.5">
      <c r="A35" s="12" t="str">
        <f ca="1">IFERROR(__xludf.DUMMYFUNCTION("""COMPUTED_VALUE"""),"F24-034-R-ImpairAssist")</f>
        <v>F24-034-R-ImpairAssist</v>
      </c>
      <c r="B35" s="13" t="str">
        <f ca="1">IFERROR(__xludf.DUMMYFUNCTION("""COMPUTED_VALUE"""),"Caption Generating Mobile App for Audibly Impaired")</f>
        <v>Caption Generating Mobile App for Audibly Impaired</v>
      </c>
      <c r="C35" s="14" t="str">
        <f ca="1">IFERROR(__xludf.DUMMYFUNCTION("""COMPUTED_VALUE"""),"A mobile/web application that will bridge the communication gap between hearing impaired people and the rest of the world. The app will use a multimodal approach to incorporate audio and visual data to accurately produce realtime captions of the speech of"&amp;" the person conversing with the hearing impaired individual. The app will have the following salient features:
1) Real-Time Preprocessing of audio and visual data before it can be passed to the models.
2) A speech to text model that uses audio input (in "&amp;"the form of speech) to generate captions. 
3) A lip reading model that uses visual input to generate captions.
4) A bidirectional transformer to combine the outputs of the two models so that they compliment and rectify each other.
5)Real time caption gene"&amp;"ration using the microphone and camera of a mobile phone so that when a hearing impaired individual points their phone toward a person with the app opened, the app will generate accurate caption for what the person is saying.
6) Real time caption generati"&amp;"on for video conferencing.
7) Captioning of recorded videos.
8) Paraphrasing and grammar correction of captions based on user preference.
How does our captioning differ from regular methods, it leverages two different forms of data which is audio and vid"&amp;"eo. A speech to text model starts to fail if audio noise is introduced to the input, similarly a lip reading model starts to fail when the subject is out of focus or the video quality is bad. By identifying issues in both models and using the best feature"&amp;"s from both models to fix each other's shortcomings we plan to generate highly accurate captions and mitigate the flaws of the two models by using them together as compared to if the models were used on their own.
")</f>
        <v xml:space="preserve">A mobile/web application that will bridge the communication gap between hearing impaired people and the rest of the world. The app will use a multimodal approach to incorporate audio and visual data to accurately produce realtime captions of the speech of the person conversing with the hearing impaired individual. The app will have the following salient features:
1) Real-Time Preprocessing of audio and visual data before it can be passed to the models.
2) A speech to text model that uses audio input (in the form of speech) to generate captions. 
3) A lip reading model that uses visual input to generate captions.
4) A bidirectional transformer to combine the outputs of the two models so that they compliment and rectify each other.
5)Real time caption generation using the microphone and camera of a mobile phone so that when a hearing impaired individual points their phone toward a person with the app opened, the app will generate accurate caption for what the person is saying.
6) Real time caption generation for video conferencing.
7) Captioning of recorded videos.
8) Paraphrasing and grammar correction of captions based on user preference.
How does our captioning differ from regular methods, it leverages two different forms of data which is audio and video. A speech to text model starts to fail if audio noise is introduced to the input, similarly a lip reading model starts to fail when the subject is out of focus or the video quality is bad. By identifying issues in both models and using the best features from both models to fix each other's shortcomings we plan to generate highly accurate captions and mitigate the flaws of the two models by using them together as compared to if the models were used on their own.
</v>
      </c>
      <c r="D35" s="12" t="str">
        <f ca="1">IFERROR(__xludf.DUMMYFUNCTION("""COMPUTED_VALUE"""),"Ms. Marium Hida")</f>
        <v>Ms. Marium Hida</v>
      </c>
      <c r="E35" s="12"/>
      <c r="F35" s="12" t="str">
        <f ca="1">IFERROR(__xludf.DUMMYFUNCTION("""COMPUTED_VALUE"""),"Umer Abdullah")</f>
        <v>Umer Abdullah</v>
      </c>
      <c r="G35" s="12" t="str">
        <f ca="1">IFERROR(__xludf.DUMMYFUNCTION("""COMPUTED_VALUE"""),"i210580")</f>
        <v>i210580</v>
      </c>
      <c r="H35" s="12" t="str">
        <f ca="1">IFERROR(__xludf.DUMMYFUNCTION("""COMPUTED_VALUE"""),"Ayesha Faisal")</f>
        <v>Ayesha Faisal</v>
      </c>
      <c r="I35" s="12" t="str">
        <f ca="1">IFERROR(__xludf.DUMMYFUNCTION("""COMPUTED_VALUE"""),"i210739")</f>
        <v>i210739</v>
      </c>
      <c r="J35" s="12" t="str">
        <f ca="1">IFERROR(__xludf.DUMMYFUNCTION("""COMPUTED_VALUE"""),"Abdul Hannan Khan")</f>
        <v>Abdul Hannan Khan</v>
      </c>
      <c r="K35" s="12" t="str">
        <f ca="1">IFERROR(__xludf.DUMMYFUNCTION("""COMPUTED_VALUE"""),"i210485")</f>
        <v>i210485</v>
      </c>
    </row>
    <row r="36" spans="1:11" ht="395.25">
      <c r="A36" s="12" t="str">
        <f ca="1">IFERROR(__xludf.DUMMYFUNCTION("""COMPUTED_VALUE"""),"F24-035-D-AIFDS")</f>
        <v>F24-035-D-AIFDS</v>
      </c>
      <c r="B36" s="13" t="str">
        <f ca="1">IFERROR(__xludf.DUMMYFUNCTION("""COMPUTED_VALUE"""),"Efficient Authentication and Confidentiality Mechanism for RPL based IOT Networks")</f>
        <v>Efficient Authentication and Confidentiality Mechanism for RPL based IOT Networks</v>
      </c>
      <c r="C36" s="14" t="str">
        <f ca="1">IFERROR(__xludf.DUMMYFUNCTION("""COMPUTED_VALUE"""),"This project focuses on enhancing the security of resource-constrained Internet of Things (IoT) devices by implementing a comprehensive security framework. The scope includes integrating the Routing Protocol for Low Power and Lossy Networks (RPL) protocol"&amp;" with Elliptic Curve Cryptography (ECC), and SIMON and SPECK Lightweight Cryptography (LWC). The RPL protocol, utilizing ECC and Challenge Response System, will ensure robust authentication, key management, and revocation. The SIMON and SPECK lightweight "&amp;"Cryptography mechanisms will strengthen data confidentiality. The project also aims to maintain session integrity through forward and backward privacy measures while balancing the need for heightened security with the limited computational resources of Io"&amp;"T devices. The ultimate goal is to fortify the IoT ecosystem against evolving cyber threats while respecting the operational constraints of these devices.
Key Features:
1.  Secure RPL Protocol (SRPL) Integration: Implements SRPL for secure routing in IoT"&amp;" networks.
2. Elliptic Curve Cryptography (ECC) Utilization: Ensures efficient key management and robust authentication.
3. SIMON and SPECK Lightweight Cryptography: Provides data confidentiality with minimal resource usage.
4. Challenge-Response Authenti"&amp;"cation: Strengthens authentication mechanisms through challenge-response systems.
5. Forward and Backward Privacy: Maintains session integrity by protecting against unauthorized access to past and future communications.
6. Resource-Efficient Security: Bal"&amp;"ances strong security measures with the limited computational resources of IoT devices.
7. Resilient Security Framework: Establishes a comprehensive and adaptable security framework tailored to IoT needs.
8. Protection Against Evolving Threats: Fortifies "&amp;"IoT devices against both current and emerging cyber threats.
9. Key Management and Revocation: Ensures secure and efficient management and revocation of cryptographic keys.")</f>
        <v>This project focuses on enhancing the security of resource-constrained Internet of Things (IoT) devices by implementing a comprehensive security framework. The scope includes integrating the Routing Protocol for Low Power and Lossy Networks (RPL) protocol with Elliptic Curve Cryptography (ECC), and SIMON and SPECK Lightweight Cryptography (LWC). The RPL protocol, utilizing ECC and Challenge Response System, will ensure robust authentication, key management, and revocation. The SIMON and SPECK lightweight Cryptography mechanisms will strengthen data confidentiality. The project also aims to maintain session integrity through forward and backward privacy measures while balancing the need for heightened security with the limited computational resources of IoT devices. The ultimate goal is to fortify the IoT ecosystem against evolving cyber threats while respecting the operational constraints of these devices.
Key Features:
1.  Secure RPL Protocol (SRPL) Integration: Implements SRPL for secure routing in IoT networks.
2. Elliptic Curve Cryptography (ECC) Utilization: Ensures efficient key management and robust authentication.
3. SIMON and SPECK Lightweight Cryptography: Provides data confidentiality with minimal resource usage.
4. Challenge-Response Authentication: Strengthens authentication mechanisms through challenge-response systems.
5. Forward and Backward Privacy: Maintains session integrity by protecting against unauthorized access to past and future communications.
6. Resource-Efficient Security: Balances strong security measures with the limited computational resources of IoT devices.
7. Resilient Security Framework: Establishes a comprehensive and adaptable security framework tailored to IoT needs.
8. Protection Against Evolving Threats: Fortifies IoT devices against both current and emerging cyber threats.
9. Key Management and Revocation: Ensures secure and efficient management and revocation of cryptographic keys.</v>
      </c>
      <c r="D36" s="15" t="str">
        <f ca="1">IFERROR(__xludf.DUMMYFUNCTION("""COMPUTED_VALUE"""),"Mr. Irfan Ullah")</f>
        <v>Mr. Irfan Ullah</v>
      </c>
      <c r="E36" s="12"/>
      <c r="F36" s="12" t="str">
        <f ca="1">IFERROR(__xludf.DUMMYFUNCTION("""COMPUTED_VALUE"""),"Syed Muhammad Hur Ali Jaffery")</f>
        <v>Syed Muhammad Hur Ali Jaffery</v>
      </c>
      <c r="G36" s="12" t="str">
        <f ca="1">IFERROR(__xludf.DUMMYFUNCTION("""COMPUTED_VALUE"""),"i212765")</f>
        <v>i212765</v>
      </c>
      <c r="H36" s="12" t="str">
        <f ca="1">IFERROR(__xludf.DUMMYFUNCTION("""COMPUTED_VALUE"""),"Muhammad Huzaifa Awan")</f>
        <v>Muhammad Huzaifa Awan</v>
      </c>
      <c r="I36" s="12" t="str">
        <f ca="1">IFERROR(__xludf.DUMMYFUNCTION("""COMPUTED_VALUE"""),"i211553")</f>
        <v>i211553</v>
      </c>
      <c r="J36" s="12"/>
      <c r="K36" s="12"/>
    </row>
    <row r="37" spans="1:11" ht="306">
      <c r="A37" s="12" t="str">
        <f ca="1">IFERROR(__xludf.DUMMYFUNCTION("""COMPUTED_VALUE"""),"F24-036-R-EACMR-IoT")</f>
        <v>F24-036-R-EACMR-IoT</v>
      </c>
      <c r="B37" s="13" t="str">
        <f ca="1">IFERROR(__xludf.DUMMYFUNCTION("""COMPUTED_VALUE"""),"Trust Based Rank Attack Detection Mechanism for IOT")</f>
        <v>Trust Based Rank Attack Detection Mechanism for IOT</v>
      </c>
      <c r="C37" s="14" t="str">
        <f ca="1">IFERROR(__xludf.DUMMYFUNCTION("""COMPUTED_VALUE"""),"Project Scope:
The project involves the development of a security mechanism for RPL (Routing Protocol for Low-Power and Lossy Networks) in IoT environments. The primary objective is to detect rank attacks within the RPL network and accurately identify mal"&amp;"icious nodes. This is achieved through a lightweight and efficient trust-based mechanism, ensuring minimal overhead and maintaining the network's performance while enhancing its security.
Key Features:
1. Trust-Based Detection:  Implements a trust-based "&amp;"algorithm to identify malicious nodes involved in rank attacks.
2. Lightweight Mechanism:  Designed for minimal computational and communication overhead to suit resource-constrained IoT devices.
3. Real-Time Monitoring: Continuously monitors the RPL netwo"&amp;"rk for anomalies indicative of rank attacks.
4. Node Ranking:  Assigns trust scores to nodes based on their behavior, aiding in the identification of compromised nodes.
5. Efficient Response: Provides timely responses to detected attacks, isolating or mit"&amp;"igating the impact of malicious nodes.
6. Low-Power Consumption: Optimized for IoT devices, ensuring low energy consumption during detection and reporting processes.
7. Scalability: Capable of operating in both small and large-scale IoT networks without d"&amp;"egradation in performance.
8. Compatibility: Designed to integrate seamlessly with existing RPL implementations in IoT networks.")</f>
        <v>Project Scope:
The project involves the development of a security mechanism for RPL (Routing Protocol for Low-Power and Lossy Networks) in IoT environments. The primary objective is to detect rank attacks within the RPL network and accurately identify malicious nodes. This is achieved through a lightweight and efficient trust-based mechanism, ensuring minimal overhead and maintaining the network's performance while enhancing its security.
Key Features:
1. Trust-Based Detection:  Implements a trust-based algorithm to identify malicious nodes involved in rank attacks.
2. Lightweight Mechanism:  Designed for minimal computational and communication overhead to suit resource-constrained IoT devices.
3. Real-Time Monitoring: Continuously monitors the RPL network for anomalies indicative of rank attacks.
4. Node Ranking:  Assigns trust scores to nodes based on their behavior, aiding in the identification of compromised nodes.
5. Efficient Response: Provides timely responses to detected attacks, isolating or mitigating the impact of malicious nodes.
6. Low-Power Consumption: Optimized for IoT devices, ensuring low energy consumption during detection and reporting processes.
7. Scalability: Capable of operating in both small and large-scale IoT networks without degradation in performance.
8. Compatibility: Designed to integrate seamlessly with existing RPL implementations in IoT networks.</v>
      </c>
      <c r="D37" s="12" t="str">
        <f ca="1">IFERROR(__xludf.DUMMYFUNCTION("""COMPUTED_VALUE"""),"Mr. Jawad Hassan")</f>
        <v>Mr. Jawad Hassan</v>
      </c>
      <c r="E37" s="12"/>
      <c r="F37" s="12" t="str">
        <f ca="1">IFERROR(__xludf.DUMMYFUNCTION("""COMPUTED_VALUE"""),"Muhammad Qasim")</f>
        <v>Muhammad Qasim</v>
      </c>
      <c r="G37" s="12" t="str">
        <f ca="1">IFERROR(__xludf.DUMMYFUNCTION("""COMPUTED_VALUE"""),"i211554")</f>
        <v>i211554</v>
      </c>
      <c r="H37" s="12" t="str">
        <f ca="1">IFERROR(__xludf.DUMMYFUNCTION("""COMPUTED_VALUE"""),"Muhammad  Umer Gulzar")</f>
        <v>Muhammad  Umer Gulzar</v>
      </c>
      <c r="I37" s="12" t="str">
        <f ca="1">IFERROR(__xludf.DUMMYFUNCTION("""COMPUTED_VALUE"""),"i221724")</f>
        <v>i221724</v>
      </c>
      <c r="J37" s="12" t="str">
        <f ca="1">IFERROR(__xludf.DUMMYFUNCTION("""COMPUTED_VALUE"""),"Haiqa Javed")</f>
        <v>Haiqa Javed</v>
      </c>
      <c r="K37" s="12" t="str">
        <f ca="1">IFERROR(__xludf.DUMMYFUNCTION("""COMPUTED_VALUE"""),"i211578")</f>
        <v>i211578</v>
      </c>
    </row>
    <row r="38" spans="1:11" ht="409.5">
      <c r="A38" s="12" t="str">
        <f ca="1">IFERROR(__xludf.DUMMYFUNCTION("""COMPUTED_VALUE"""),"F24-037-D-ArchiVisionAI")</f>
        <v>F24-037-D-ArchiVisionAI</v>
      </c>
      <c r="B38" s="13" t="str">
        <f ca="1">IFERROR(__xludf.DUMMYFUNCTION("""COMPUTED_VALUE"""),"Architecture and interior design application")</f>
        <v>Architecture and interior design application</v>
      </c>
      <c r="C38" s="14" t="str">
        <f ca="1">IFERROR(__xludf.DUMMYFUNCTION("""COMPUTED_VALUE"""),"ArchiVisionAI is an AI-powered platform that seamlessly combines architecture design (floorplan design), interior design, and real-time shopping experiences into a single mobile application. The project aims to improvise how users visualize and plan their"&amp;" living spaces by allowing them to generate 3D architectural maps and design layouts for homes. Users can upload photos of their rooms and receive AI-generated design suggestions created by textual commands. The platform assists users with real-time produ"&amp;"ct visualization like placing furniture in their living space to see how it looks in the room. These are some key features of the project:
1. 3D Architectural Map (floorplan ) Generation: Create detailed 3D architectural maps for buildings and houses.
2"&amp;". Interior Design Recommendations: AI-driven suggestions for interior design including furniture, color schemes, curtain designs, wallpaper designs and layouts.
3. Real-Time Product Visualization: Place real-life products like sofas into a photo of your "&amp;"room to see how they fit and look.
4. Voice to Voice Interaction: Engage with the app using voice commands in English, enhancing the ease and effectivity of the renovation process.
5. Customization and Editing: Users can make multiple revisions to AI-ge"&amp;"nerated designs through prompts, refining the output until they achieve their desired look.
6. Augmented Reality (AR) Integration: Optional AR feature that lets users visualize designs and furniture in their actual living space for an immersive experienc"&amp;"e.
7. Multi-User Collaboration: Allow multiple users to collaborate on a single project, with an admin managing access and design inputs.
8. User-Friendly Interface: A clean and intuitive interface designed to make navigation and design processes easy f"&amp;"or users of all technical skill levels.
9. Version History and Undo/Redo: Track all changes made to a design with version history and easily revert to previous versions or undo specific actions.")</f>
        <v>ArchiVisionAI is an AI-powered platform that seamlessly combines architecture design (floorplan design), interior design, and real-time shopping experiences into a single mobile application. The project aims to improvise how users visualize and plan their living spaces by allowing them to generate 3D architectural maps and design layouts for homes. Users can upload photos of their rooms and receive AI-generated design suggestions created by textual commands. The platform assists users with real-time product visualization like placing furniture in their living space to see how it looks in the room. These are some key features of the project:
1. 3D Architectural Map (floorplan ) Generation: Create detailed 3D architectural maps for buildings and houses.
2. Interior Design Recommendations: AI-driven suggestions for interior design including furniture, color schemes, curtain designs, wallpaper designs and layouts.
3. Real-Time Product Visualization: Place real-life products like sofas into a photo of your room to see how they fit and look.
4. Voice to Voice Interaction: Engage with the app using voice commands in English, enhancing the ease and effectivity of the renovation process.
5. Customization and Editing: Users can make multiple revisions to AI-generated designs through prompts, refining the output until they achieve their desired look.
6. Augmented Reality (AR) Integration: Optional AR feature that lets users visualize designs and furniture in their actual living space for an immersive experience.
7. Multi-User Collaboration: Allow multiple users to collaborate on a single project, with an admin managing access and design inputs.
8. User-Friendly Interface: A clean and intuitive interface designed to make navigation and design processes easy for users of all technical skill levels.
9. Version History and Undo/Redo: Track all changes made to a design with version history and easily revert to previous versions or undo specific actions.</v>
      </c>
      <c r="D38" s="12" t="str">
        <f ca="1">IFERROR(__xludf.DUMMYFUNCTION("""COMPUTED_VALUE"""),"Mr. Ahmad Raza")</f>
        <v>Mr. Ahmad Raza</v>
      </c>
      <c r="E38" s="12"/>
      <c r="F38" s="12" t="str">
        <f ca="1">IFERROR(__xludf.DUMMYFUNCTION("""COMPUTED_VALUE"""),"Fatima Shahzad")</f>
        <v>Fatima Shahzad</v>
      </c>
      <c r="G38" s="12" t="str">
        <f ca="1">IFERROR(__xludf.DUMMYFUNCTION("""COMPUTED_VALUE"""),"i210321")</f>
        <v>i210321</v>
      </c>
      <c r="H38" s="12" t="str">
        <f ca="1">IFERROR(__xludf.DUMMYFUNCTION("""COMPUTED_VALUE"""),"Areeba Fatah")</f>
        <v>Areeba Fatah</v>
      </c>
      <c r="I38" s="12" t="str">
        <f ca="1">IFERROR(__xludf.DUMMYFUNCTION("""COMPUTED_VALUE"""),"i210349")</f>
        <v>i210349</v>
      </c>
      <c r="J38" s="12" t="str">
        <f ca="1">IFERROR(__xludf.DUMMYFUNCTION("""COMPUTED_VALUE"""),"Misha Fakhar")</f>
        <v>Misha Fakhar</v>
      </c>
      <c r="K38" s="12" t="str">
        <f ca="1">IFERROR(__xludf.DUMMYFUNCTION("""COMPUTED_VALUE"""),"i212718")</f>
        <v>i212718</v>
      </c>
    </row>
    <row r="39" spans="1:11" ht="191.25">
      <c r="A39" s="12" t="str">
        <f ca="1">IFERROR(__xludf.DUMMYFUNCTION("""COMPUTED_VALUE"""),"F24-038-R-TRank-IOT")</f>
        <v>F24-038-R-TRank-IOT</v>
      </c>
      <c r="B39" s="13" t="str">
        <f ca="1">IFERROR(__xludf.DUMMYFUNCTION("""COMPUTED_VALUE"""),"Nether's Gate: A Malware Obfuscator for C++")</f>
        <v>Nether's Gate: A Malware Obfuscator for C++</v>
      </c>
      <c r="C39" s="14" t="str">
        <f ca="1">IFERROR(__xludf.DUMMYFUNCTION("""COMPUTED_VALUE"""),"The scope of our project titled ""Nether's Gate: A Malware Obfuscator for C++"" focuses on developing a robust compiler that integrates multiple advanced obfuscation and evasion techniques to enhance the stealth of a Malware. This project will involve the"&amp;" development of a compiler possessing the following traits:
- variable encryption
- complete code encryption
- insertion of garbage code to hinder reverse engineering
- insertion of garbage data to create confusion during analysis
- API unhooking to hide"&amp;" function calls from EDRs
- metamorphism to alter the code structure without changing functionality
- import obfuscation to obscure external dependencies
- Advanced AV and EDR evasion techniques such as flow obfuscation to further complicate detection and"&amp;" analysis by security tools
- Sandbox Evasion Techniques")</f>
        <v>The scope of our project titled "Nether's Gate: A Malware Obfuscator for C++" focuses on developing a robust compiler that integrates multiple advanced obfuscation and evasion techniques to enhance the stealth of a Malware. This project will involve the development of a compiler possessing the following traits:
- variable encryption
- complete code encryption
- insertion of garbage code to hinder reverse engineering
- insertion of garbage data to create confusion during analysis
- API unhooking to hide function calls from EDRs
- metamorphism to alter the code structure without changing functionality
- import obfuscation to obscure external dependencies
- Advanced AV and EDR evasion techniques such as flow obfuscation to further complicate detection and analysis by security tools
- Sandbox Evasion Techniques</v>
      </c>
      <c r="D39" s="15" t="str">
        <f ca="1">IFERROR(__xludf.DUMMYFUNCTION("""COMPUTED_VALUE"""),"Mr. Jawad Hassan")</f>
        <v>Mr. Jawad Hassan</v>
      </c>
      <c r="E39" s="12" t="str">
        <f ca="1">IFERROR(__xludf.DUMMYFUNCTION("""COMPUTED_VALUE"""),"Mr. Muhammad Abdullah Abid")</f>
        <v>Mr. Muhammad Abdullah Abid</v>
      </c>
      <c r="F39" s="12" t="str">
        <f ca="1">IFERROR(__xludf.DUMMYFUNCTION("""COMPUTED_VALUE"""),"Muhammad Taha Qaiser")</f>
        <v>Muhammad Taha Qaiser</v>
      </c>
      <c r="G39" s="12" t="str">
        <f ca="1">IFERROR(__xludf.DUMMYFUNCTION("""COMPUTED_VALUE"""),"k214779")</f>
        <v>k214779</v>
      </c>
      <c r="H39" s="12" t="str">
        <f ca="1">IFERROR(__xludf.DUMMYFUNCTION("""COMPUTED_VALUE"""),"Qalandar Aziz")</f>
        <v>Qalandar Aziz</v>
      </c>
      <c r="I39" s="12" t="str">
        <f ca="1">IFERROR(__xludf.DUMMYFUNCTION("""COMPUTED_VALUE"""),"i211577")</f>
        <v>i211577</v>
      </c>
      <c r="J39" s="12" t="str">
        <f ca="1">IFERROR(__xludf.DUMMYFUNCTION("""COMPUTED_VALUE"""),"Khubab Ahmed")</f>
        <v>Khubab Ahmed</v>
      </c>
      <c r="K39" s="12" t="str">
        <f ca="1">IFERROR(__xludf.DUMMYFUNCTION("""COMPUTED_VALUE"""),"i211567")</f>
        <v>i211567</v>
      </c>
    </row>
    <row r="40" spans="1:11" ht="204">
      <c r="A40" s="12" t="str">
        <f ca="1">IFERROR(__xludf.DUMMYFUNCTION("""COMPUTED_VALUE"""),"F24-039-D-OptiFit")</f>
        <v>F24-039-D-OptiFit</v>
      </c>
      <c r="B40" s="13" t="str">
        <f ca="1">IFERROR(__xludf.DUMMYFUNCTION("""COMPUTED_VALUE"""),"Virtual Glasses Try-On")</f>
        <v>Virtual Glasses Try-On</v>
      </c>
      <c r="C40" s="14" t="str">
        <f ca="1">IFERROR(__xludf.DUMMYFUNCTION("""COMPUTED_VALUE"""),"The Virtual Glasses Try-On project is a software solution that lets users try on glasses frames using their device's camera. Using AR and facial recognition, 3D models of glasses are superimposed onto the user’s face for a personalised experience. The pro"&amp;"ject aims to create a standalone product that can be integrated with or sold to eyewear retailers, with a demo website and possibly a mobile app as the initial deliverable.
** Features **
1) Frame Selection: Extensive library of glasses frames for users t"&amp;"o choose from.
2) Virtual Try-On: Real-time AR to overlay selected frames onto the user’s face.
3) Face Detection: Advanced facial recognition to detect and track facial movements.
4) Frame Customization: Options to adjust the frame’s color and style.
5) "&amp;"3D Model Creation: 3D models of various glasses frames.
6) Face Model Construction: Develop a detailed 3D face model for accurate frame fitting.
7) Integration Capability: Potential for integration with third-party eyewear retailers in the future.
8) 3D F"&amp;"rame Preview: allow users to interactively view and rotate the 3D model of the glasses")</f>
        <v>The Virtual Glasses Try-On project is a software solution that lets users try on glasses frames using their device's camera. Using AR and facial recognition, 3D models of glasses are superimposed onto the user’s face for a personalised experience. The project aims to create a standalone product that can be integrated with or sold to eyewear retailers, with a demo website and possibly a mobile app as the initial deliverable.
** Features **
1) Frame Selection: Extensive library of glasses frames for users to choose from.
2) Virtual Try-On: Real-time AR to overlay selected frames onto the user’s face.
3) Face Detection: Advanced facial recognition to detect and track facial movements.
4) Frame Customization: Options to adjust the frame’s color and style.
5) 3D Model Creation: 3D models of various glasses frames.
6) Face Model Construction: Develop a detailed 3D face model for accurate frame fitting.
7) Integration Capability: Potential for integration with third-party eyewear retailers in the future.
8) 3D Frame Preview: allow users to interactively view and rotate the 3D model of the glasses</v>
      </c>
      <c r="D40" s="12" t="str">
        <f ca="1">IFERROR(__xludf.DUMMYFUNCTION("""COMPUTED_VALUE"""),"Dr. Imran Ashraf")</f>
        <v>Dr. Imran Ashraf</v>
      </c>
      <c r="E40" s="12"/>
      <c r="F40" s="12" t="str">
        <f ca="1">IFERROR(__xludf.DUMMYFUNCTION("""COMPUTED_VALUE"""),"Zain Ul Abideen")</f>
        <v>Zain Ul Abideen</v>
      </c>
      <c r="G40" s="12" t="str">
        <f ca="1">IFERROR(__xludf.DUMMYFUNCTION("""COMPUTED_VALUE"""),"i210747")</f>
        <v>i210747</v>
      </c>
      <c r="H40" s="12" t="str">
        <f ca="1">IFERROR(__xludf.DUMMYFUNCTION("""COMPUTED_VALUE"""),"Muhammad Moaz Farrukh ")</f>
        <v xml:space="preserve">Muhammad Moaz Farrukh </v>
      </c>
      <c r="I40" s="12" t="str">
        <f ca="1">IFERROR(__xludf.DUMMYFUNCTION("""COMPUTED_VALUE"""),"i210899")</f>
        <v>i210899</v>
      </c>
      <c r="J40" s="12" t="str">
        <f ca="1">IFERROR(__xludf.DUMMYFUNCTION("""COMPUTED_VALUE"""),"Fariz Ahmed")</f>
        <v>Fariz Ahmed</v>
      </c>
      <c r="K40" s="12" t="str">
        <f ca="1">IFERROR(__xludf.DUMMYFUNCTION("""COMPUTED_VALUE"""),"i210552")</f>
        <v>i210552</v>
      </c>
    </row>
    <row r="41" spans="1:11" ht="409.5">
      <c r="A41" s="12" t="str">
        <f ca="1">IFERROR(__xludf.DUMMYFUNCTION("""COMPUTED_VALUE"""),"F24-040-D-NoduleNet")</f>
        <v>F24-040-D-NoduleNet</v>
      </c>
      <c r="B41" s="13" t="str">
        <f ca="1">IFERROR(__xludf.DUMMYFUNCTION("""COMPUTED_VALUE"""),"AI-Powered Multi-Cancer Diagnosis System")</f>
        <v>AI-Powered Multi-Cancer Diagnosis System</v>
      </c>
      <c r="C41" s="14" t="str">
        <f ca="1">IFERROR(__xludf.DUMMYFUNCTION("""COMPUTED_VALUE"""),"Project Scope:
This project aims to develop an AI-based multi-cancer detection system specializing in lung, breast, and skin cancers. Utilizing cutting-edge deep learning techniques, the system will not only classify cancer types but also perform segment"&amp;"ation, cancer prediction in next 1-6 years, and provide a web application for medical professionals to interact with the model. The platform will be designed to improve diagnostic accuracy and efficiency, offering a robust, user-friendly interface that su"&amp;"pports comprehensive analysis.
Key Features:
1. Multi-Cancer Detection: Accurate detection of lung, breast, and skin cancers using advanced CNN architectures.
2. Precise Segmentation: Use of models like U-Net for detailed segmentation of cancerous regi"&amp;"ons.
3. Future Cancer Prediction: Upon analyzing the CT Scan or MRI, the system will predict the likelihood of developing cancer in next 1-6 years.
4. Heatmaps and Attention Maps: Visualization tools to highlight areas of the image the model focuses on."&amp;"
5. 3D Visualization: 3D tools for viewing and interacting with CT scan images.
6. Patient History Integration: Upload and analysis of patient history for context-aware predictions.
7. Collaboration: A dicussion forums for doctors to dicuss a specific "&amp;"case.
8. Reporting Tools: Users will be able to generate detailed analysis reports in PDF formats for further analysis and discussion with other doctors.  
9. Data Security and Compliance: Implement advanced security measures such as data encryption, se"&amp;"cure data storage, and compliance with healthcare regulations like HIPAA to ensure patient data is protected.
10. API Integration: Provide APIs to allow the web application to integrate with other hospital management systems, electronic health records (E"&amp;"HR), or third-party software for seamless data exchange.")</f>
        <v>Project Scope:
This project aims to develop an AI-based multi-cancer detection system specializing in lung, breast, and skin cancers. Utilizing cutting-edge deep learning techniques, the system will not only classify cancer types but also perform segmentation, cancer prediction in next 1-6 years, and provide a web application for medical professionals to interact with the model. The platform will be designed to improve diagnostic accuracy and efficiency, offering a robust, user-friendly interface that supports comprehensive analysis.
Key Features:
1. Multi-Cancer Detection: Accurate detection of lung, breast, and skin cancers using advanced CNN architectures.
2. Precise Segmentation: Use of models like U-Net for detailed segmentation of cancerous regions.
3. Future Cancer Prediction: Upon analyzing the CT Scan or MRI, the system will predict the likelihood of developing cancer in next 1-6 years.
4. Heatmaps and Attention Maps: Visualization tools to highlight areas of the image the model focuses on.
5. 3D Visualization: 3D tools for viewing and interacting with CT scan images.
6. Patient History Integration: Upload and analysis of patient history for context-aware predictions.
7. Collaboration: A dicussion forums for doctors to dicuss a specific case.
8. Reporting Tools: Users will be able to generate detailed analysis reports in PDF formats for further analysis and discussion with other doctors.  
9. Data Security and Compliance: Implement advanced security measures such as data encryption, secure data storage, and compliance with healthcare regulations like HIPAA to ensure patient data is protected.
10. API Integration: Provide APIs to allow the web application to integrate with other hospital management systems, electronic health records (EHR), or third-party software for seamless data exchange.</v>
      </c>
      <c r="D41" s="12" t="str">
        <f ca="1">IFERROR(__xludf.DUMMYFUNCTION("""COMPUTED_VALUE"""),"Dr. Shahela Saif")</f>
        <v>Dr. Shahela Saif</v>
      </c>
      <c r="E41" s="12"/>
      <c r="F41" s="12" t="str">
        <f ca="1">IFERROR(__xludf.DUMMYFUNCTION("""COMPUTED_VALUE"""),"Rayyan Attaullah")</f>
        <v>Rayyan Attaullah</v>
      </c>
      <c r="G41" s="12" t="str">
        <f ca="1">IFERROR(__xludf.DUMMYFUNCTION("""COMPUTED_VALUE"""),"i211161")</f>
        <v>i211161</v>
      </c>
      <c r="H41" s="12" t="str">
        <f ca="1">IFERROR(__xludf.DUMMYFUNCTION("""COMPUTED_VALUE"""),"Muhammad Ali")</f>
        <v>Muhammad Ali</v>
      </c>
      <c r="I41" s="12" t="str">
        <f ca="1">IFERROR(__xludf.DUMMYFUNCTION("""COMPUTED_VALUE"""),"i211170")</f>
        <v>i211170</v>
      </c>
      <c r="J41" s="12" t="str">
        <f ca="1">IFERROR(__xludf.DUMMYFUNCTION("""COMPUTED_VALUE"""),"Muhammed Eman")</f>
        <v>Muhammed Eman</v>
      </c>
      <c r="K41" s="12" t="str">
        <f ca="1">IFERROR(__xludf.DUMMYFUNCTION("""COMPUTED_VALUE"""),"i211140")</f>
        <v>i211140</v>
      </c>
    </row>
    <row r="42" spans="1:11" ht="216.75">
      <c r="A42" s="12" t="str">
        <f ca="1">IFERROR(__xludf.DUMMYFUNCTION("""COMPUTED_VALUE"""),"F24-041-D-PhysioVision")</f>
        <v>F24-041-D-PhysioVision</v>
      </c>
      <c r="B42" s="13" t="str">
        <f ca="1">IFERROR(__xludf.DUMMYFUNCTION("""COMPUTED_VALUE"""),"AI-Powered Personal Physio")</f>
        <v>AI-Powered Personal Physio</v>
      </c>
      <c r="C42" s="14" t="str">
        <f ca="1">IFERROR(__xludf.DUMMYFUNCTION("""COMPUTED_VALUE"""),"This AI-driven cross-platform app offers personalized physiotherapy routines and nutrition plans for arthritis recovery. Combining a chatbot with a computer vision system, it tailors diet guidance and exercise suggestions to each user's needs. The compute"&amp;"r vision model monitors and corrects exercise postures in real time, providing feedback through a multilingual audiobot in English and Urdu, along with visual cues. Session reports and user feedback are used to refine future routines and diet plans.
Featu"&amp;"res 
1.	Personalized Physiotherapist Chatbot for Diet and Exercise Guidance
2.	Pain Severity-Based Exercise Recommendations
3.	Real-Time Exercise Monitoring
4.	Real-Time Multilingual Posture Correction Feedback via Audio Bot (English and Urdu)
5.	Real-Tim"&amp;"e Visual Exercise Correction Cues
6.	Session Analysis and Reporting
7.	User Feedback Integration
8.	Dynamic Routine Adjustments for Future Exercise Recommendations
9.	Cross-Platform Accessibility 24/7
10.	Scalable Infrastructure")</f>
        <v>This AI-driven cross-platform app offers personalized physiotherapy routines and nutrition plans for arthritis recovery. Combining a chatbot with a computer vision system, it tailors diet guidance and exercise suggestions to each user's needs. The computer vision model monitors and corrects exercise postures in real time, providing feedback through a multilingual audiobot in English and Urdu, along with visual cues. Session reports and user feedback are used to refine future routines and diet plans.
Features 
1.	Personalized Physiotherapist Chatbot for Diet and Exercise Guidance
2.	Pain Severity-Based Exercise Recommendations
3.	Real-Time Exercise Monitoring
4.	Real-Time Multilingual Posture Correction Feedback via Audio Bot (English and Urdu)
5.	Real-Time Visual Exercise Correction Cues
6.	Session Analysis and Reporting
7.	User Feedback Integration
8.	Dynamic Routine Adjustments for Future Exercise Recommendations
9.	Cross-Platform Accessibility 24/7
10.	Scalable Infrastructure</v>
      </c>
      <c r="D42" s="12" t="str">
        <f ca="1">IFERROR(__xludf.DUMMYFUNCTION("""COMPUTED_VALUE"""),"Mr. Muhammad Farrukh Bashir")</f>
        <v>Mr. Muhammad Farrukh Bashir</v>
      </c>
      <c r="E42" s="12" t="str">
        <f ca="1">IFERROR(__xludf.DUMMYFUNCTION("""COMPUTED_VALUE"""),"Dr. Hammad Majeed")</f>
        <v>Dr. Hammad Majeed</v>
      </c>
      <c r="F42" s="12" t="str">
        <f ca="1">IFERROR(__xludf.DUMMYFUNCTION("""COMPUTED_VALUE"""),"Abdullah Masood Mughal ")</f>
        <v xml:space="preserve">Abdullah Masood Mughal </v>
      </c>
      <c r="G42" s="12" t="str">
        <f ca="1">IFERROR(__xludf.DUMMYFUNCTION("""COMPUTED_VALUE"""),"i210822")</f>
        <v>i210822</v>
      </c>
      <c r="H42" s="12" t="str">
        <f ca="1">IFERROR(__xludf.DUMMYFUNCTION("""COMPUTED_VALUE"""),"Muhammad Tayyab Sohail")</f>
        <v>Muhammad Tayyab Sohail</v>
      </c>
      <c r="I42" s="12" t="str">
        <f ca="1">IFERROR(__xludf.DUMMYFUNCTION("""COMPUTED_VALUE"""),"i212478")</f>
        <v>i212478</v>
      </c>
      <c r="J42" s="12" t="str">
        <f ca="1">IFERROR(__xludf.DUMMYFUNCTION("""COMPUTED_VALUE"""),"Sheikh Daniyal Kaleem")</f>
        <v>Sheikh Daniyal Kaleem</v>
      </c>
      <c r="K42" s="12" t="str">
        <f ca="1">IFERROR(__xludf.DUMMYFUNCTION("""COMPUTED_VALUE"""),"i212992")</f>
        <v>i212992</v>
      </c>
    </row>
    <row r="43" spans="1:11" ht="280.5">
      <c r="A43" s="12" t="str">
        <f ca="1">IFERROR(__xludf.DUMMYFUNCTION("""COMPUTED_VALUE"""),"F24-042-D-CommPulse")</f>
        <v>F24-042-D-CommPulse</v>
      </c>
      <c r="B43" s="13" t="str">
        <f ca="1">IFERROR(__xludf.DUMMYFUNCTION("""COMPUTED_VALUE"""),"CommPulse: Intelligent Meeting Quality Monitoring and Analysis")</f>
        <v>CommPulse: Intelligent Meeting Quality Monitoring and Analysis</v>
      </c>
      <c r="C43" s="14" t="str">
        <f ca="1">IFERROR(__xludf.DUMMYFUNCTION("""COMPUTED_VALUE"""),"Description
“CommPulse: Intelligent Meeting Quality Monitoring and Analysis” is a desktop application made for monitoring and improving the quality of online meetings. The application leverages real-time audio analysis to assess sentiments, active partic"&amp;"ipation, clarity, and adherence to the agenda during meetings. CommPulse gives detailed analysis about the communication dynamics, therefore helping users to improve. Post-meeting, the application generates meeting minutes, which are time and person speci"&amp;"fic. The performance criteria is predefined, which ensures consistency in productivity and effectiveness of meetings.
Key Features
 - Real-Time Audio Analysis: Assess the sentiment, active participation, clarity and adherence to the agenda during meetin"&amp;"gs
 - Feedback Visualization: Give real-time feedback to the user about the quality of the meeting
 - Meeting Minutes: Intelligently generate meeting minutes for each individual after the meeting has ended
 - Performance Metrics: Give time and person spec"&amp;"ific performance metrics after the meeting
 - Time-stamped highlights: Give time stamped highlights for easy navigation in the post meeting")</f>
        <v>Description
“CommPulse: Intelligent Meeting Quality Monitoring and Analysis” is a desktop application made for monitoring and improving the quality of online meetings. The application leverages real-time audio analysis to assess sentiments, active participation, clarity, and adherence to the agenda during meetings. CommPulse gives detailed analysis about the communication dynamics, therefore helping users to improve. Post-meeting, the application generates meeting minutes, which are time and person specific. The performance criteria is predefined, which ensures consistency in productivity and effectiveness of meetings.
Key Features
 - Real-Time Audio Analysis: Assess the sentiment, active participation, clarity and adherence to the agenda during meetings
 - Feedback Visualization: Give real-time feedback to the user about the quality of the meeting
 - Meeting Minutes: Intelligently generate meeting minutes for each individual after the meeting has ended
 - Performance Metrics: Give time and person specific performance metrics after the meeting
 - Time-stamped highlights: Give time stamped highlights for easy navigation in the post meeting</v>
      </c>
      <c r="D43" s="12" t="str">
        <f ca="1">IFERROR(__xludf.DUMMYFUNCTION("""COMPUTED_VALUE"""),"Mr. Aqib Rehman")</f>
        <v>Mr. Aqib Rehman</v>
      </c>
      <c r="E43" s="12" t="str">
        <f ca="1">IFERROR(__xludf.DUMMYFUNCTION("""COMPUTED_VALUE"""),"Dr. Muhammad Arshad Islam")</f>
        <v>Dr. Muhammad Arshad Islam</v>
      </c>
      <c r="F43" s="12" t="str">
        <f ca="1">IFERROR(__xludf.DUMMYFUNCTION("""COMPUTED_VALUE"""),"Haris Sohail")</f>
        <v>Haris Sohail</v>
      </c>
      <c r="G43" s="12" t="str">
        <f ca="1">IFERROR(__xludf.DUMMYFUNCTION("""COMPUTED_VALUE"""),"i210531")</f>
        <v>i210531</v>
      </c>
      <c r="H43" s="12" t="str">
        <f ca="1">IFERROR(__xludf.DUMMYFUNCTION("""COMPUTED_VALUE"""),"Zain Rizwan")</f>
        <v>Zain Rizwan</v>
      </c>
      <c r="I43" s="12" t="str">
        <f ca="1">IFERROR(__xludf.DUMMYFUNCTION("""COMPUTED_VALUE"""),"i212500")</f>
        <v>i212500</v>
      </c>
      <c r="J43" s="12" t="str">
        <f ca="1">IFERROR(__xludf.DUMMYFUNCTION("""COMPUTED_VALUE"""),"Sufian Sajjad")</f>
        <v>Sufian Sajjad</v>
      </c>
      <c r="K43" s="12" t="str">
        <f ca="1">IFERROR(__xludf.DUMMYFUNCTION("""COMPUTED_VALUE"""),"i210688")</f>
        <v>i210688</v>
      </c>
    </row>
    <row r="44" spans="1:11" ht="280.5">
      <c r="A44" s="12" t="str">
        <f ca="1">IFERROR(__xludf.DUMMYFUNCTION("""COMPUTED_VALUE"""),"F24-043-D-InternetSurfers")</f>
        <v>F24-043-D-InternetSurfers</v>
      </c>
      <c r="B44" s="13" t="str">
        <f ca="1">IFERROR(__xludf.DUMMYFUNCTION("""COMPUTED_VALUE"""),"Internet Surfers: An Adventure To Learn Internet Safety")</f>
        <v>Internet Surfers: An Adventure To Learn Internet Safety</v>
      </c>
      <c r="C44" s="14" t="str">
        <f ca="1">IFERROR(__xludf.DUMMYFUNCTION("""COMPUTED_VALUE"""),"Scope:
This project aims to develop an educational game that teaches children aged 8-16 about various internet dangers, including cyberbullying, scams, viruses, privacy theft, phishing, and improper internet etiquette, and how to handle them effectively. "&amp;"The game will feature multiple mini-games, each focusing on a different online risk through engaging and interactive gameplay. It will be available on mobile platforms. The project will involve several phases, including design, development, testing, and l"&amp;"aunch, with ongoing updates based on user feedback.
Key Features:
1) Interactive minigames that provide a challenge for the players to overcome.
2) Educational content mixed in the game that teaches players about internet safety.
3) Achievement system to"&amp;" reward the players based on their performance and to keep them engaged.
4) Children friendly theme fostering a safe learning environment among the players.
5) Feedback mechanism to improve the game based on what the audience wants.
6) Gamified real life "&amp;"scenarios that teach players how to act properly when faced with such scenarios.
7) Parental controls for the parents to monitor their child's progress and control their activity in the game.
8) Interactive tutorials that guide players on how to play the "&amp;"minigames and steps to ensure safety over the internet.")</f>
        <v>Scope:
This project aims to develop an educational game that teaches children aged 8-16 about various internet dangers, including cyberbullying, scams, viruses, privacy theft, phishing, and improper internet etiquette, and how to handle them effectively. The game will feature multiple mini-games, each focusing on a different online risk through engaging and interactive gameplay. It will be available on mobile platforms. The project will involve several phases, including design, development, testing, and launch, with ongoing updates based on user feedback.
Key Features:
1) Interactive minigames that provide a challenge for the players to overcome.
2) Educational content mixed in the game that teaches players about internet safety.
3) Achievement system to reward the players based on their performance and to keep them engaged.
4) Children friendly theme fostering a safe learning environment among the players.
5) Feedback mechanism to improve the game based on what the audience wants.
6) Gamified real life scenarios that teach players how to act properly when faced with such scenarios.
7) Parental controls for the parents to monitor their child's progress and control their activity in the game.
8) Interactive tutorials that guide players on how to play the minigames and steps to ensure safety over the internet.</v>
      </c>
      <c r="D44" s="12" t="str">
        <f ca="1">IFERROR(__xludf.DUMMYFUNCTION("""COMPUTED_VALUE"""),"Ms. Nirmal Tariq")</f>
        <v>Ms. Nirmal Tariq</v>
      </c>
      <c r="E44" s="12"/>
      <c r="F44" s="12" t="str">
        <f ca="1">IFERROR(__xludf.DUMMYFUNCTION("""COMPUTED_VALUE"""),"Hassan Jamshaid")</f>
        <v>Hassan Jamshaid</v>
      </c>
      <c r="G44" s="12" t="str">
        <f ca="1">IFERROR(__xludf.DUMMYFUNCTION("""COMPUTED_VALUE"""),"i210408")</f>
        <v>i210408</v>
      </c>
      <c r="H44" s="12" t="str">
        <f ca="1">IFERROR(__xludf.DUMMYFUNCTION("""COMPUTED_VALUE"""),"Leena Rizwan")</f>
        <v>Leena Rizwan</v>
      </c>
      <c r="I44" s="12" t="str">
        <f ca="1">IFERROR(__xludf.DUMMYFUNCTION("""COMPUTED_VALUE"""),"i210430")</f>
        <v>i210430</v>
      </c>
      <c r="J44" s="12" t="str">
        <f ca="1">IFERROR(__xludf.DUMMYFUNCTION("""COMPUTED_VALUE"""),"Muhammad Azhan")</f>
        <v>Muhammad Azhan</v>
      </c>
      <c r="K44" s="12" t="str">
        <f ca="1">IFERROR(__xludf.DUMMYFUNCTION("""COMPUTED_VALUE"""),"i210425")</f>
        <v>i210425</v>
      </c>
    </row>
    <row r="45" spans="1:11" ht="242.25">
      <c r="A45" s="12" t="str">
        <f ca="1">IFERROR(__xludf.DUMMYFUNCTION("""COMPUTED_VALUE"""),"F24-044-D-InsuraSync")</f>
        <v>F24-044-D-InsuraSync</v>
      </c>
      <c r="B45" s="13" t="str">
        <f ca="1">IFERROR(__xludf.DUMMYFUNCTION("""COMPUTED_VALUE"""),"AI Powered Insurance Claims Processing System")</f>
        <v>AI Powered Insurance Claims Processing System</v>
      </c>
      <c r="C45" s="14" t="str">
        <f ca="1">IFERROR(__xludf.DUMMYFUNCTION("""COMPUTED_VALUE"""),"The AI-Powered Insurance Claims Processing System is designed to transform the way insurance companies manage claims by automating and optimizing various aspects of the claims process. The system aims to reduce the time and effort required to process clai"&amp;"ms while enhancing accuracy and customer satisfaction. It will leverage advanced machine learning and data analytics technologies to streamline claim intake, detect discrepancies, estimate repair costs, and prevent fraud. The platform will employ keyword "&amp;"matching to compare customer claims with policy keywords for precise claim processing.
Features:
1. Automated Claims Processing
2. Discrepancy Detection
3. Automated Repair Cost Estimation
4. Advanced Data Analytics 
5. Fraud/Anomaly Detection
6. Custome"&amp;"r Self-Service Portal
7. Comprehensive Reporting
8. Document Management System
9. Mobile Application
10. Automated Email Notification")</f>
        <v>The AI-Powered Insurance Claims Processing System is designed to transform the way insurance companies manage claims by automating and optimizing various aspects of the claims process. The system aims to reduce the time and effort required to process claims while enhancing accuracy and customer satisfaction. It will leverage advanced machine learning and data analytics technologies to streamline claim intake, detect discrepancies, estimate repair costs, and prevent fraud. The platform will employ keyword matching to compare customer claims with policy keywords for precise claim processing.
Features:
1. Automated Claims Processing
2. Discrepancy Detection
3. Automated Repair Cost Estimation
4. Advanced Data Analytics 
5. Fraud/Anomaly Detection
6. Customer Self-Service Portal
7. Comprehensive Reporting
8. Document Management System
9. Mobile Application
10. Automated Email Notification</v>
      </c>
      <c r="D45" s="12" t="str">
        <f ca="1">IFERROR(__xludf.DUMMYFUNCTION("""COMPUTED_VALUE"""),"Dr. Ali Zeeshan Ijaz")</f>
        <v>Dr. Ali Zeeshan Ijaz</v>
      </c>
      <c r="E45" s="12"/>
      <c r="F45" s="12" t="str">
        <f ca="1">IFERROR(__xludf.DUMMYFUNCTION("""COMPUTED_VALUE"""),"Mehreen Israr")</f>
        <v>Mehreen Israr</v>
      </c>
      <c r="G45" s="12" t="str">
        <f ca="1">IFERROR(__xludf.DUMMYFUNCTION("""COMPUTED_VALUE"""),"i210594")</f>
        <v>i210594</v>
      </c>
      <c r="H45" s="12" t="str">
        <f ca="1">IFERROR(__xludf.DUMMYFUNCTION("""COMPUTED_VALUE"""),"Aden Amar")</f>
        <v>Aden Amar</v>
      </c>
      <c r="I45" s="12" t="str">
        <f ca="1">IFERROR(__xludf.DUMMYFUNCTION("""COMPUTED_VALUE"""),"i210755")</f>
        <v>i210755</v>
      </c>
      <c r="J45" s="12" t="str">
        <f ca="1">IFERROR(__xludf.DUMMYFUNCTION("""COMPUTED_VALUE"""),"Ghulam Mustafa Siddiqui ")</f>
        <v xml:space="preserve">Ghulam Mustafa Siddiqui </v>
      </c>
      <c r="K45" s="12" t="str">
        <f ca="1">IFERROR(__xludf.DUMMYFUNCTION("""COMPUTED_VALUE"""),"i210832")</f>
        <v>i210832</v>
      </c>
    </row>
    <row r="46" spans="1:11" ht="204">
      <c r="A46" s="12" t="str">
        <f ca="1">IFERROR(__xludf.DUMMYFUNCTION("""COMPUTED_VALUE"""),"F24-046-D-Nether'sGate")</f>
        <v>F24-046-D-Nether'sGate</v>
      </c>
      <c r="B46" s="13" t="str">
        <f ca="1">IFERROR(__xludf.DUMMYFUNCTION("""COMPUTED_VALUE"""),"EDI Connect")</f>
        <v>EDI Connect</v>
      </c>
      <c r="C46" s="14" t="str">
        <f ca="1">IFERROR(__xludf.DUMMYFUNCTION("""COMPUTED_VALUE"""),"Our project is focused on creating an automated system to handle Electronic Data Interchange (EDI) transactions between majorly approved standards worldwide. This involves automating the generation of mappings across various EDI standards and user-specifi"&amp;"c ERP systems, as well as enhancing user interaction through a user-friendly interface. 
1.  Identify EDI Standard  
2.  Generate Mapping Across Standards  
3.  Identify User-End ERP System  
4.  Generate Mapping Against the User ERP System  
5.  Store E"&amp;"DI Formats and Files Sent by the User  
6.  Generate Mapping Using LLMs/RAG  
7.  User-Friendly Interface  
8.  Data Preprocessing of EDI Files Sent by the User  
9.  Data Preprocessing of Standards for LLM Training  
10. EDI to JSON/XML Conversion for In"&amp;"creased User Understandability ")</f>
        <v xml:space="preserve">Our project is focused on creating an automated system to handle Electronic Data Interchange (EDI) transactions between majorly approved standards worldwide. This involves automating the generation of mappings across various EDI standards and user-specific ERP systems, as well as enhancing user interaction through a user-friendly interface. 
1.  Identify EDI Standard  
2.  Generate Mapping Across Standards  
3.  Identify User-End ERP System  
4.  Generate Mapping Against the User ERP System  
5.  Store EDI Formats and Files Sent by the User  
6.  Generate Mapping Using LLMs/RAG  
7.  User-Friendly Interface  
8.  Data Preprocessing of EDI Files Sent by the User  
9.  Data Preprocessing of Standards for LLM Training  
10. EDI to JSON/XML Conversion for Increased User Understandability </v>
      </c>
      <c r="D46" s="15" t="str">
        <f ca="1">IFERROR(__xludf.DUMMYFUNCTION("""COMPUTED_VALUE"""),"Dr. Muhammad Asim")</f>
        <v>Dr. Muhammad Asim</v>
      </c>
      <c r="E46" s="12"/>
      <c r="F46" s="12" t="str">
        <f ca="1">IFERROR(__xludf.DUMMYFUNCTION("""COMPUTED_VALUE"""),"Laiba Khawar")</f>
        <v>Laiba Khawar</v>
      </c>
      <c r="G46" s="12" t="str">
        <f ca="1">IFERROR(__xludf.DUMMYFUNCTION("""COMPUTED_VALUE"""),"i211697")</f>
        <v>i211697</v>
      </c>
      <c r="H46" s="12" t="str">
        <f ca="1">IFERROR(__xludf.DUMMYFUNCTION("""COMPUTED_VALUE"""),"Fatima Asim")</f>
        <v>Fatima Asim</v>
      </c>
      <c r="I46" s="12" t="str">
        <f ca="1">IFERROR(__xludf.DUMMYFUNCTION("""COMPUTED_VALUE"""),"i200847")</f>
        <v>i200847</v>
      </c>
      <c r="J46" s="12" t="str">
        <f ca="1">IFERROR(__xludf.DUMMYFUNCTION("""COMPUTED_VALUE"""),"Fatima Tahir")</f>
        <v>Fatima Tahir</v>
      </c>
      <c r="K46" s="12" t="str">
        <f ca="1">IFERROR(__xludf.DUMMYFUNCTION("""COMPUTED_VALUE"""),"i212701")</f>
        <v>i212701</v>
      </c>
    </row>
    <row r="47" spans="1:11" ht="409.5">
      <c r="A47" s="12" t="str">
        <f ca="1">IFERROR(__xludf.DUMMYFUNCTION("""COMPUTED_VALUE"""),"F24-047-D-ScholarChain")</f>
        <v>F24-047-D-ScholarChain</v>
      </c>
      <c r="B47" s="13" t="str">
        <f ca="1">IFERROR(__xludf.DUMMYFUNCTION("""COMPUTED_VALUE"""),"AI-Driven Student Loan System on the Blockchain")</f>
        <v>AI-Driven Student Loan System on the Blockchain</v>
      </c>
      <c r="C47" s="14" t="str">
        <f ca="1">IFERROR(__xludf.DUMMYFUNCTION("""COMPUTED_VALUE"""),"The project aims to develop an automated study lending system that offers interest-free loans to students, supported by social welfare entities through a crowd-sourced platform. By integrating blockchain technology, the system ensures a secure, transparen"&amp;"t, and tamper-proof lending process. Additionally, a language model (LLM) will be utilized to enhance the loan application experience, providing personalized assistance, automated customer support, and streamlined processes. This integration ensures stude"&amp;"nts can easily access loans without interest, with a focus on security, efficiency, and transparency, aligning with the mission of social welfare and educational empowerment.
Key Features:
1. Decentralized Verification: Leverages blockchain for secure, "&amp;"decentralized identity and eligibility verification, ensuring trust and transparency.
2. Immutable Ledger: Records all transactions on an unalterable blockchain ledger to maintain the integrity and transparency of the lending process.
3. Smart Contracts: "&amp;"Automates the execution of loan agreements and repayments through smart contracts, eliminating the need for intermediaries.
4. Automated Customer Support: Utilizes a language model to provide instant, AI-driven responses to common queries, significantly i"&amp;"mproving user experience and support efficiency.
5. Personalized Reimbursement Plan: Employs a language model to analyze individual financial situations and suggest customized repayment schedules, offering flexibility to students.
6. Loan Application Assi"&amp;"stance: Uses language models to guide students through the loan application process, helping them complete forms accurately and improving approval rates.
7. Risk Assessment: Leverages a language model to analyze borrower profiles and transaction history, "&amp;"enhancing the accuracy and effectiveness of risk assessment in loan disbursement.
8. Payment Scheduling: Automates payment reminders and schedules, ensuring timely repayments and reducing the burden on students.
9. Expense Tracking: Offers tools for stude"&amp;"nts to track their loan expenses, helping them manage their finances effectively.
10. Transparent Fund Allocation: Ensures donors can track the allocation of their contributions, fostering trust in the funding process.")</f>
        <v>The project aims to develop an automated study lending system that offers interest-free loans to students, supported by social welfare entities through a crowd-sourced platform. By integrating blockchain technology, the system ensures a secure, transparent, and tamper-proof lending process. Additionally, a language model (LLM) will be utilized to enhance the loan application experience, providing personalized assistance, automated customer support, and streamlined processes. This integration ensures students can easily access loans without interest, with a focus on security, efficiency, and transparency, aligning with the mission of social welfare and educational empowerment.
Key Features:
1. Decentralized Verification: Leverages blockchain for secure, decentralized identity and eligibility verification, ensuring trust and transparency.
2. Immutable Ledger: Records all transactions on an unalterable blockchain ledger to maintain the integrity and transparency of the lending process.
3. Smart Contracts: Automates the execution of loan agreements and repayments through smart contracts, eliminating the need for intermediaries.
4. Automated Customer Support: Utilizes a language model to provide instant, AI-driven responses to common queries, significantly improving user experience and support efficiency.
5. Personalized Reimbursement Plan: Employs a language model to analyze individual financial situations and suggest customized repayment schedules, offering flexibility to students.
6. Loan Application Assistance: Uses language models to guide students through the loan application process, helping them complete forms accurately and improving approval rates.
7. Risk Assessment: Leverages a language model to analyze borrower profiles and transaction history, enhancing the accuracy and effectiveness of risk assessment in loan disbursement.
8. Payment Scheduling: Automates payment reminders and schedules, ensuring timely repayments and reducing the burden on students.
9. Expense Tracking: Offers tools for students to track their loan expenses, helping them manage their finances effectively.
10. Transparent Fund Allocation: Ensures donors can track the allocation of their contributions, fostering trust in the funding process.</v>
      </c>
      <c r="D47" s="12" t="str">
        <f ca="1">IFERROR(__xludf.DUMMYFUNCTION("""COMPUTED_VALUE"""),"Dr. Muhammad Asim")</f>
        <v>Dr. Muhammad Asim</v>
      </c>
      <c r="E47" s="12"/>
      <c r="F47" s="12" t="str">
        <f ca="1">IFERROR(__xludf.DUMMYFUNCTION("""COMPUTED_VALUE"""),"Muhammad Riyan Aslam")</f>
        <v>Muhammad Riyan Aslam</v>
      </c>
      <c r="G47" s="12" t="str">
        <f ca="1">IFERROR(__xludf.DUMMYFUNCTION("""COMPUTED_VALUE"""),"i210428")</f>
        <v>i210428</v>
      </c>
      <c r="H47" s="12" t="str">
        <f ca="1">IFERROR(__xludf.DUMMYFUNCTION("""COMPUTED_VALUE"""),"Saifullah Rizwan")</f>
        <v>Saifullah Rizwan</v>
      </c>
      <c r="I47" s="12" t="str">
        <f ca="1">IFERROR(__xludf.DUMMYFUNCTION("""COMPUTED_VALUE"""),"i210830")</f>
        <v>i210830</v>
      </c>
      <c r="J47" s="12" t="str">
        <f ca="1">IFERROR(__xludf.DUMMYFUNCTION("""COMPUTED_VALUE"""),"Tayyaab Ali Sajid")</f>
        <v>Tayyaab Ali Sajid</v>
      </c>
      <c r="K47" s="12" t="str">
        <f ca="1">IFERROR(__xludf.DUMMYFUNCTION("""COMPUTED_VALUE"""),"i212546")</f>
        <v>i212546</v>
      </c>
    </row>
    <row r="48" spans="1:11" ht="409.5">
      <c r="A48" s="12" t="str">
        <f ca="1">IFERROR(__xludf.DUMMYFUNCTION("""COMPUTED_VALUE"""),"F24-048-D-unHinged")</f>
        <v>F24-048-D-unHinged</v>
      </c>
      <c r="B48" s="13" t="str">
        <f ca="1">IFERROR(__xludf.DUMMYFUNCTION("""COMPUTED_VALUE"""),"Mentally Unstable Patient escapes Mental Asylum.")</f>
        <v>Mentally Unstable Patient escapes Mental Asylum.</v>
      </c>
      <c r="C48" s="14" t="str">
        <f ca="1">IFERROR(__xludf.DUMMYFUNCTION("""COMPUTED_VALUE"""),"This project aims to develop a challenging, isometric survival game that delves into the psychological experience of a mentally unstable individual confined to a mental asylum. The game will emphasize procedural generation and immersive gameplay, offering"&amp;" a unique perspective on mental health and the struggle for survival.
Key Features:
1. Isometric Graphics: A visually distinct and immersive aesthetic.
2. Procedural Generation: Randomized maps and levels using Wave Collapse Function and Diamond-Square"&amp;" Algorithm for variety and replayability.
3. Fear Sensing AI: Intelligent enemies that can track the player's location based on their fear level.
4. Dynamic Lighting: A limited-time torch mechanicism that affects gameplay and procedural generation.
5. "&amp;"Short-Term Memory Loss: A gameplay mechanicism that simulates the challenges faced by individuals with mental health conditions.
6. Permanent Death Mode: A challenging difficulty level that adds to the game's tension and realism.
7. Non-Violent Theme: A"&amp;" focus on psychological horror and survival, avoiding aggression, violence and gore.
8. Mental Health Awareness: A platform to raise awareness about mental health issues and the challenges faced by those affected.
9. Exploration and Puzzle-Solving: A mi"&amp;"x of exploration and puzzle-solving elements to enhance the gameplay experience.
10. Immersive Sound Design: A haunting and atmospheric soundtrack to complement the game's theme.")</f>
        <v>This project aims to develop a challenging, isometric survival game that delves into the psychological experience of a mentally unstable individual confined to a mental asylum. The game will emphasize procedural generation and immersive gameplay, offering a unique perspective on mental health and the struggle for survival.
Key Features:
1. Isometric Graphics: A visually distinct and immersive aesthetic.
2. Procedural Generation: Randomized maps and levels using Wave Collapse Function and Diamond-Square Algorithm for variety and replayability.
3. Fear Sensing AI: Intelligent enemies that can track the player's location based on their fear level.
4. Dynamic Lighting: A limited-time torch mechanicism that affects gameplay and procedural generation.
5. Short-Term Memory Loss: A gameplay mechanicism that simulates the challenges faced by individuals with mental health conditions.
6. Permanent Death Mode: A challenging difficulty level that adds to the game's tension and realism.
7. Non-Violent Theme: A focus on psychological horror and survival, avoiding aggression, violence and gore.
8. Mental Health Awareness: A platform to raise awareness about mental health issues and the challenges faced by those affected.
9. Exploration and Puzzle-Solving: A mix of exploration and puzzle-solving elements to enhance the gameplay experience.
10. Immersive Sound Design: A haunting and atmospheric soundtrack to complement the game's theme.</v>
      </c>
      <c r="D48" s="12" t="str">
        <f ca="1">IFERROR(__xludf.DUMMYFUNCTION("""COMPUTED_VALUE"""),"Ms. Nirmal Tariq")</f>
        <v>Ms. Nirmal Tariq</v>
      </c>
      <c r="E48" s="12"/>
      <c r="F48" s="12" t="str">
        <f ca="1">IFERROR(__xludf.DUMMYFUNCTION("""COMPUTED_VALUE"""),"Arham Malik")</f>
        <v>Arham Malik</v>
      </c>
      <c r="G48" s="12" t="str">
        <f ca="1">IFERROR(__xludf.DUMMYFUNCTION("""COMPUTED_VALUE"""),"i210441")</f>
        <v>i210441</v>
      </c>
      <c r="H48" s="12" t="str">
        <f ca="1">IFERROR(__xludf.DUMMYFUNCTION("""COMPUTED_VALUE"""),"Tuba Khan")</f>
        <v>Tuba Khan</v>
      </c>
      <c r="I48" s="12" t="str">
        <f ca="1">IFERROR(__xludf.DUMMYFUNCTION("""COMPUTED_VALUE"""),"i210861")</f>
        <v>i210861</v>
      </c>
      <c r="J48" s="12"/>
      <c r="K48" s="12"/>
    </row>
    <row r="49" spans="1:11" ht="242.25">
      <c r="A49" s="12" t="str">
        <f ca="1">IFERROR(__xludf.DUMMYFUNCTION("""COMPUTED_VALUE"""),"F24-049-D-Instructo")</f>
        <v>F24-049-D-Instructo</v>
      </c>
      <c r="B49" s="13" t="str">
        <f ca="1">IFERROR(__xludf.DUMMYFUNCTION("""COMPUTED_VALUE"""),"AI powered educational video generation")</f>
        <v>AI powered educational video generation</v>
      </c>
      <c r="C49" s="14" t="str">
        <f ca="1">IFERROR(__xludf.DUMMYFUNCTION("""COMPUTED_VALUE"""),"We are developing an advanced educational platform powered by generative AI, designed to cater to the unique needs of visual learners. Traditional educational tools often lack customisation and interactivity, which can hinder effective learning for many s"&amp;"tudents. Our solution addresses these gaps by offering a fully customizable and engaging learning experience. These are some key features:
1. The application is available on both web and mobile platforms, ensuring easy access across devices.
2. Users can "&amp;"interact with the platform to receive tailored text or video content based on specific topics or types of questions they want to explore.
3. The platform generates video summaries and text explanations based on user prompts, enabling quick and effective l"&amp;"earning.
4. Custom quizzes are generated to test user knowledge, with progress tracking features to monitor improvement over time.
5. Videos can be downloaded and viewed offline, ensuring uninterrupted learning even without an internet connection.
6. Deta"&amp;"iled explanations for incorrect quiz answers help users understand their mistakes and learn effectively.
7. A robust login/logout system ensures that each user’s progress is securely saved and can be accessed anytime.")</f>
        <v>We are developing an advanced educational platform powered by generative AI, designed to cater to the unique needs of visual learners. Traditional educational tools often lack customisation and interactivity, which can hinder effective learning for many students. Our solution addresses these gaps by offering a fully customizable and engaging learning experience. These are some key features:
1. The application is available on both web and mobile platforms, ensuring easy access across devices.
2. Users can interact with the platform to receive tailored text or video content based on specific topics or types of questions they want to explore.
3. The platform generates video summaries and text explanations based on user prompts, enabling quick and effective learning.
4. Custom quizzes are generated to test user knowledge, with progress tracking features to monitor improvement over time.
5. Videos can be downloaded and viewed offline, ensuring uninterrupted learning even without an internet connection.
6. Detailed explanations for incorrect quiz answers help users understand their mistakes and learn effectively.
7. A robust login/logout system ensures that each user’s progress is securely saved and can be accessed anytime.</v>
      </c>
      <c r="D49" s="12" t="str">
        <f ca="1">IFERROR(__xludf.DUMMYFUNCTION("""COMPUTED_VALUE"""),"Dr. Muhammad Ishtiaq")</f>
        <v>Dr. Muhammad Ishtiaq</v>
      </c>
      <c r="E49" s="12"/>
      <c r="F49" s="12" t="str">
        <f ca="1">IFERROR(__xludf.DUMMYFUNCTION("""COMPUTED_VALUE"""),"Hassan Naeem")</f>
        <v>Hassan Naeem</v>
      </c>
      <c r="G49" s="12" t="str">
        <f ca="1">IFERROR(__xludf.DUMMYFUNCTION("""COMPUTED_VALUE"""),"i210284")</f>
        <v>i210284</v>
      </c>
      <c r="H49" s="12" t="str">
        <f ca="1">IFERROR(__xludf.DUMMYFUNCTION("""COMPUTED_VALUE"""),"Manahil Sarwar")</f>
        <v>Manahil Sarwar</v>
      </c>
      <c r="I49" s="12" t="str">
        <f ca="1">IFERROR(__xludf.DUMMYFUNCTION("""COMPUTED_VALUE"""),"i210293")</f>
        <v>i210293</v>
      </c>
      <c r="J49" s="12" t="str">
        <f ca="1">IFERROR(__xludf.DUMMYFUNCTION("""COMPUTED_VALUE"""),"Jannat Butt ")</f>
        <v xml:space="preserve">Jannat Butt </v>
      </c>
      <c r="K49" s="12" t="str">
        <f ca="1">IFERROR(__xludf.DUMMYFUNCTION("""COMPUTED_VALUE"""),"i210259")</f>
        <v>i210259</v>
      </c>
    </row>
    <row r="50" spans="1:11" ht="344.25">
      <c r="A50" s="12" t="str">
        <f ca="1">IFERROR(__xludf.DUMMYFUNCTION("""COMPUTED_VALUE"""),"F24-050-D-Scholarly")</f>
        <v>F24-050-D-Scholarly</v>
      </c>
      <c r="B50" s="13" t="str">
        <f ca="1">IFERROR(__xludf.DUMMYFUNCTION("""COMPUTED_VALUE"""),"Scholarly: AI Driven Smart Learning Assistant")</f>
        <v>Scholarly: AI Driven Smart Learning Assistant</v>
      </c>
      <c r="C50" s="14" t="str">
        <f ca="1">IFERROR(__xludf.DUMMYFUNCTION("""COMPUTED_VALUE"""),"Scope:
	The project aims to develop an innovative educational app designed to revolutionize how students interact with and comprehend learning-based content. The app allows users to upload material and automatically generates a diverse range of assessment"&amp;"s, including multiple-choice questions (MCQs), fill-in-the-blank exercises, and true/false questions. These assessments are designed to reinforce learning and provide immediate feedback. The app also features an intelligent grading system that evaluates s"&amp;"tudent performance, highlights incorrect answers, and offers correct answers with detailed explanations, available in both AI-generated videos and summarized text formats. Additionally, the app is equipped with a feature that generates personalized learni"&amp;"ng roadmaps based on the uploaded content, supplemented by short, instructional videos to guide students through the material effectively. This project aims to enhance the learning experience by combining traditional study methods with cutting-edge AI tec"&amp;"hnology, making education more interactive, personalized, and efficient.
Features:
          User Dashboard and Analytics.
          Upload Book.
          Generate Key Assessments (MCQs, Fill in the Blank, True/False).
          Difficulty-Based Assessm"&amp;"ent Generation.
          Real-Time Assessment Evaluation.
          Performance Based Report Generation.
          AI Generated Explanations for Incorrect Answers.
          Content Based Roadmap Generation.
          AI-Generated Content Explanation.
  "&amp;"        Topic based AI Generated Learning Videos.
          User Authentication and Creation.
")</f>
        <v xml:space="preserve">Scope:
	The project aims to develop an innovative educational app designed to revolutionize how students interact with and comprehend learning-based content. The app allows users to upload material and automatically generates a diverse range of assessments, including multiple-choice questions (MCQs), fill-in-the-blank exercises, and true/false questions. These assessments are designed to reinforce learning and provide immediate feedback. The app also features an intelligent grading system that evaluates student performance, highlights incorrect answers, and offers correct answers with detailed explanations, available in both AI-generated videos and summarized text formats. Additionally, the app is equipped with a feature that generates personalized learning roadmaps based on the uploaded content, supplemented by short, instructional videos to guide students through the material effectively. This project aims to enhance the learning experience by combining traditional study methods with cutting-edge AI technology, making education more interactive, personalized, and efficient.
Features:
          User Dashboard and Analytics.
          Upload Book.
          Generate Key Assessments (MCQs, Fill in the Blank, True/False).
          Difficulty-Based Assessment Generation.
          Real-Time Assessment Evaluation.
          Performance Based Report Generation.
          AI Generated Explanations for Incorrect Answers.
          Content Based Roadmap Generation.
          AI-Generated Content Explanation.
          Topic based AI Generated Learning Videos.
          User Authentication and Creation.
</v>
      </c>
      <c r="D50" s="12" t="str">
        <f ca="1">IFERROR(__xludf.DUMMYFUNCTION("""COMPUTED_VALUE"""),"Dr. Asif Muhammad")</f>
        <v>Dr. Asif Muhammad</v>
      </c>
      <c r="E50" s="12"/>
      <c r="F50" s="12" t="str">
        <f ca="1">IFERROR(__xludf.DUMMYFUNCTION("""COMPUTED_VALUE"""),"Muhammad Umair Khalid")</f>
        <v>Muhammad Umair Khalid</v>
      </c>
      <c r="G50" s="12" t="str">
        <f ca="1">IFERROR(__xludf.DUMMYFUNCTION("""COMPUTED_VALUE"""),"i210455")</f>
        <v>i210455</v>
      </c>
      <c r="H50" s="12" t="str">
        <f ca="1">IFERROR(__xludf.DUMMYFUNCTION("""COMPUTED_VALUE"""),"Ali Umer")</f>
        <v>Ali Umer</v>
      </c>
      <c r="I50" s="12" t="str">
        <f ca="1">IFERROR(__xludf.DUMMYFUNCTION("""COMPUTED_VALUE"""),"i210380")</f>
        <v>i210380</v>
      </c>
      <c r="J50" s="12" t="str">
        <f ca="1">IFERROR(__xludf.DUMMYFUNCTION("""COMPUTED_VALUE"""),"Areeb Hayat")</f>
        <v>Areeb Hayat</v>
      </c>
      <c r="K50" s="12" t="str">
        <f ca="1">IFERROR(__xludf.DUMMYFUNCTION("""COMPUTED_VALUE"""),"i210435")</f>
        <v>i210435</v>
      </c>
    </row>
    <row r="51" spans="1:11" ht="331.5">
      <c r="A51" s="12" t="str">
        <f ca="1">IFERROR(__xludf.DUMMYFUNCTION("""COMPUTED_VALUE"""),"F24-051-D-ASLi")</f>
        <v>F24-051-D-ASLi</v>
      </c>
      <c r="B51" s="13" t="str">
        <f ca="1">IFERROR(__xludf.DUMMYFUNCTION("""COMPUTED_VALUE"""),"ASLi: A Real-Time ASL Interpreter for Inclusive Web Experiences")</f>
        <v>ASLi: A Real-Time ASL Interpreter for Inclusive Web Experiences</v>
      </c>
      <c r="C51" s="14" t="str">
        <f ca="1">IFERROR(__xludf.DUMMYFUNCTION("""COMPUTED_VALUE"""),"The proposed project aims to develop a browser extension or software application designed to enhance digital accessibility for the Deaf and hard-of-hearing community by providing real-time American Sign Language (ASL) interpretation of online content. The"&amp;" scope of the project includes translating website text, audio, and video content into ASL, which will be displayed through an animated 3D avatar that signs in real-time. The avatar will also convey emotional context via facial expressions and body and ha"&amp;"nd gestures, ensuring that users not only receive the information but also understand the underlying emotions. This project is poised to make the web more inclusive by bridging the communication gap for users who rely on sign language.
1- Real-Time ASL Tr"&amp;"anslation: Converts text, audio, and video content on web pages into ASL in real-time.
2- Animated 3D Avatar: A lifelike avatar that performs ASL signs, including hand gestures, facial expressions, and body language.
3- Emotion Detection: Integration of s"&amp;"entiment analysis to convey emotions through hand gestures and avatar expressions.
4- Speech-to-Text Integration: Converts audio content into text and then translates it into ASL.
5- Web Accessibility Compliance: Ensures compatibility with accessibility s"&amp;"tandards like WCAG to make the web more inclusive.
6- Cross-Browser Support: Compatible with major web browsers like Chrome, Firefox, and Edge.
7- User-Friendly Interface: Intuitive and accessible interface that allows easy interaction with the avatar.
8-"&amp;" NLP-Driven Contextual Understanding: Uses NLP to understand the context of text, identifying idiomatic expressions, colloquialisms, and complex sentence structures, ensuring accurate and contextually appropriate ASL translations.")</f>
        <v>The proposed project aims to develop a browser extension or software application designed to enhance digital accessibility for the Deaf and hard-of-hearing community by providing real-time American Sign Language (ASL) interpretation of online content. The scope of the project includes translating website text, audio, and video content into ASL, which will be displayed through an animated 3D avatar that signs in real-time. The avatar will also convey emotional context via facial expressions and body and hand gestures, ensuring that users not only receive the information but also understand the underlying emotions. This project is poised to make the web more inclusive by bridging the communication gap for users who rely on sign language.
1- Real-Time ASL Translation: Converts text, audio, and video content on web pages into ASL in real-time.
2- Animated 3D Avatar: A lifelike avatar that performs ASL signs, including hand gestures, facial expressions, and body language.
3- Emotion Detection: Integration of sentiment analysis to convey emotions through hand gestures and avatar expressions.
4- Speech-to-Text Integration: Converts audio content into text and then translates it into ASL.
5- Web Accessibility Compliance: Ensures compatibility with accessibility standards like WCAG to make the web more inclusive.
6- Cross-Browser Support: Compatible with major web browsers like Chrome, Firefox, and Edge.
7- User-Friendly Interface: Intuitive and accessible interface that allows easy interaction with the avatar.
8- NLP-Driven Contextual Understanding: Uses NLP to understand the context of text, identifying idiomatic expressions, colloquialisms, and complex sentence structures, ensuring accurate and contextually appropriate ASL translations.</v>
      </c>
      <c r="D51" s="12" t="str">
        <f ca="1">IFERROR(__xludf.DUMMYFUNCTION("""COMPUTED_VALUE"""),"Ms. Noor ul Ain")</f>
        <v>Ms. Noor ul Ain</v>
      </c>
      <c r="E51" s="12"/>
      <c r="F51" s="12" t="str">
        <f ca="1">IFERROR(__xludf.DUMMYFUNCTION("""COMPUTED_VALUE"""),"Musfirah")</f>
        <v>Musfirah</v>
      </c>
      <c r="G51" s="12" t="str">
        <f ca="1">IFERROR(__xludf.DUMMYFUNCTION("""COMPUTED_VALUE"""),"i210789")</f>
        <v>i210789</v>
      </c>
      <c r="H51" s="12" t="str">
        <f ca="1">IFERROR(__xludf.DUMMYFUNCTION("""COMPUTED_VALUE"""),"Syed Qasim Hussain")</f>
        <v>Syed Qasim Hussain</v>
      </c>
      <c r="I51" s="12" t="str">
        <f ca="1">IFERROR(__xludf.DUMMYFUNCTION("""COMPUTED_VALUE"""),"i210379")</f>
        <v>i210379</v>
      </c>
      <c r="J51" s="12" t="str">
        <f ca="1">IFERROR(__xludf.DUMMYFUNCTION("""COMPUTED_VALUE"""),"Non")</f>
        <v>Non</v>
      </c>
      <c r="K51" s="12"/>
    </row>
    <row r="52" spans="1:11" ht="114.75">
      <c r="A52" s="12" t="str">
        <f ca="1">IFERROR(__xludf.DUMMYFUNCTION("""COMPUTED_VALUE"""),"F24-052-D-RethinkVC")</f>
        <v>F24-052-D-RethinkVC</v>
      </c>
      <c r="B52" s="13" t="str">
        <f ca="1">IFERROR(__xludf.DUMMYFUNCTION("""COMPUTED_VALUE"""),"Rethinking Version Control For Real Time Collaboration")</f>
        <v>Rethinking Version Control For Real Time Collaboration</v>
      </c>
      <c r="C52" s="14" t="str">
        <f ca="1">IFERROR(__xludf.DUMMYFUNCTION("""COMPUTED_VALUE"""),"The project will develop an advanced version control system that seamlessly integrates document or codebase management, designed to support real-time collaborative work across diverse teams. The system will provide sophisticated branching, merging, and co"&amp;"nflict resolution features, catering to both technical and non-technical users. It will offer detailed change tracking, comprehensive access controls, and streamlined rollback options, ensuring that all users can efficiently manage and synchronize their c"&amp;"ontributions. The scope includes creating an intuitive interface that simplifies complex versioning tasks, making it accessible for everyday document editing as well as complex software development projects.")</f>
        <v>The project will develop an advanced version control system that seamlessly integrates document or codebase management, designed to support real-time collaborative work across diverse teams. The system will provide sophisticated branching, merging, and conflict resolution features, catering to both technical and non-technical users. It will offer detailed change tracking, comprehensive access controls, and streamlined rollback options, ensuring that all users can efficiently manage and synchronize their contributions. The scope includes creating an intuitive interface that simplifies complex versioning tasks, making it accessible for everyday document editing as well as complex software development projects.</v>
      </c>
      <c r="D52" s="12" t="str">
        <f ca="1">IFERROR(__xludf.DUMMYFUNCTION("""COMPUTED_VALUE"""),"Dr. Muhammad Arshad Islam")</f>
        <v>Dr. Muhammad Arshad Islam</v>
      </c>
      <c r="E52" s="12"/>
      <c r="F52" s="12" t="str">
        <f ca="1">IFERROR(__xludf.DUMMYFUNCTION("""COMPUTED_VALUE"""),"Muhammad Sohail Shahbaz")</f>
        <v>Muhammad Sohail Shahbaz</v>
      </c>
      <c r="G52" s="12" t="str">
        <f ca="1">IFERROR(__xludf.DUMMYFUNCTION("""COMPUTED_VALUE"""),"i211356")</f>
        <v>i211356</v>
      </c>
      <c r="H52" s="12" t="str">
        <f ca="1">IFERROR(__xludf.DUMMYFUNCTION("""COMPUTED_VALUE"""),"Mubeen Qaiser")</f>
        <v>Mubeen Qaiser</v>
      </c>
      <c r="I52" s="12" t="str">
        <f ca="1">IFERROR(__xludf.DUMMYFUNCTION("""COMPUTED_VALUE"""),"i210788")</f>
        <v>i210788</v>
      </c>
      <c r="J52" s="12" t="str">
        <f ca="1">IFERROR(__xludf.DUMMYFUNCTION("""COMPUTED_VALUE"""),"Muneeb Ur Rehman")</f>
        <v>Muneeb Ur Rehman</v>
      </c>
      <c r="K52" s="12" t="str">
        <f ca="1">IFERROR(__xludf.DUMMYFUNCTION("""COMPUTED_VALUE"""),"i210392")</f>
        <v>i210392</v>
      </c>
    </row>
    <row r="53" spans="1:11" ht="280.5">
      <c r="A53" s="12" t="str">
        <f ca="1">IFERROR(__xludf.DUMMYFUNCTION("""COMPUTED_VALUE"""),"F24-053-D-VoiceGrocery")</f>
        <v>F24-053-D-VoiceGrocery</v>
      </c>
      <c r="B53" s="13" t="str">
        <f ca="1">IFERROR(__xludf.DUMMYFUNCTION("""COMPUTED_VALUE"""),"VoiceGrocery :Accessible shopping for visually impaired")</f>
        <v>VoiceGrocery :Accessible shopping for visually impaired</v>
      </c>
      <c r="C53" s="14" t="str">
        <f ca="1">IFERROR(__xludf.DUMMYFUNCTION("""COMPUTED_VALUE"""),"VoiceGrocery is a mobile application aimed at providing visually impaired individuals with a fully accessible and independent grocery shopping experience. The app leverages voice technology and virtual assistant integration to facilitate hands-free naviga"&amp;"tion, product search, and checkout. Users can interact with the app in either English or Urdu, catering to a broader audience, including those who are less educated or illiterate and may only be comfortable speaking Urdu. The project will be developed for"&amp;" both Android and iOS platforms, ensuring broad accessibility. Key development phases include research, design, core development, testing, and post-launch support. The app's functionality includes voice-activated navigation, real-time support, shopping li"&amp;"st management, and secure checkout, with a focus on user accessibility and data security.
Features:-
1. Voice-Activated navigation 
2. Virtual assistant integration 
3. Multiple language support 
4. Voice activated checkouts
5. Delivery and pickup options"&amp;" 
6. Accessibility (e.g Voice feedback, Text-to-speech)
7. Real time inventory and store integration 
8. Voice search and product browsing
9. Voice activated product verification
10. Voice activated discount notifications
11. Scanning product for verifica"&amp;"tion")</f>
        <v>VoiceGrocery is a mobile application aimed at providing visually impaired individuals with a fully accessible and independent grocery shopping experience. The app leverages voice technology and virtual assistant integration to facilitate hands-free navigation, product search, and checkout. Users can interact with the app in either English or Urdu, catering to a broader audience, including those who are less educated or illiterate and may only be comfortable speaking Urdu. The project will be developed for both Android and iOS platforms, ensuring broad accessibility. Key development phases include research, design, core development, testing, and post-launch support. The app's functionality includes voice-activated navigation, real-time support, shopping list management, and secure checkout, with a focus on user accessibility and data security.
Features:-
1. Voice-Activated navigation 
2. Virtual assistant integration 
3. Multiple language support 
4. Voice activated checkouts
5. Delivery and pickup options 
6. Accessibility (e.g Voice feedback, Text-to-speech)
7. Real time inventory and store integration 
8. Voice search and product browsing
9. Voice activated product verification
10. Voice activated discount notifications
11. Scanning product for verification</v>
      </c>
      <c r="D53" s="12" t="str">
        <f ca="1">IFERROR(__xludf.DUMMYFUNCTION("""COMPUTED_VALUE"""),"Ms. Marium Hida")</f>
        <v>Ms. Marium Hida</v>
      </c>
      <c r="E53" s="12"/>
      <c r="F53" s="12" t="str">
        <f ca="1">IFERROR(__xludf.DUMMYFUNCTION("""COMPUTED_VALUE"""),"Hasan kamal syed")</f>
        <v>Hasan kamal syed</v>
      </c>
      <c r="G53" s="12" t="str">
        <f ca="1">IFERROR(__xludf.DUMMYFUNCTION("""COMPUTED_VALUE"""),"i210694")</f>
        <v>i210694</v>
      </c>
      <c r="H53" s="12" t="str">
        <f ca="1">IFERROR(__xludf.DUMMYFUNCTION("""COMPUTED_VALUE"""),"Fatima mazhar")</f>
        <v>Fatima mazhar</v>
      </c>
      <c r="I53" s="12" t="str">
        <f ca="1">IFERROR(__xludf.DUMMYFUNCTION("""COMPUTED_VALUE"""),"i210504")</f>
        <v>i210504</v>
      </c>
      <c r="J53" s="12" t="str">
        <f ca="1">IFERROR(__xludf.DUMMYFUNCTION("""COMPUTED_VALUE"""),"Naima Zafar Siddiqui")</f>
        <v>Naima Zafar Siddiqui</v>
      </c>
      <c r="K53" s="12" t="str">
        <f ca="1">IFERROR(__xludf.DUMMYFUNCTION("""COMPUTED_VALUE"""),"i210642")</f>
        <v>i210642</v>
      </c>
    </row>
    <row r="54" spans="1:11" ht="242.25">
      <c r="A54" s="12" t="str">
        <f ca="1">IFERROR(__xludf.DUMMYFUNCTION("""COMPUTED_VALUE"""),"F24-054-D-IlmPath")</f>
        <v>F24-054-D-IlmPath</v>
      </c>
      <c r="B54" s="13" t="str">
        <f ca="1">IFERROR(__xludf.DUMMYFUNCTION("""COMPUTED_VALUE"""),"IlmPath")</f>
        <v>IlmPath</v>
      </c>
      <c r="C54" s="14" t="str">
        <f ca="1">IFERROR(__xludf.DUMMYFUNCTION("""COMPUTED_VALUE"""),"This project aims to develop a comprehensive application designed to enrich Quranic education through a suite of interactive tools and robust verification systems. The platform will offer users a variety of features to deepen their understanding and pract"&amp;"ical application of Quranic teachings. By incorporating advanced search functionalities, personalized learning experiences, and daily engagement tools, the app seeks to cater to diverse learning styles and preferences. It also emphasizes the importance of"&amp;" accurate recitation and offers guidance on proper Tajweed, ensuring users can confidently recite and comprehend the Quran. Overall, the application will serve as a valuable resource for anyone looking to enhance their Quranic knowledge and practice.
Fea"&amp;"tures
1. Surah / Ayah Finder
2. Qirat test
3. Quran Learning
4. Suggestion of relation Ayahs with respective topic
5. Ayah of the day – Play sequential recording of the Quran daily
6. Bookmark a Surah / Ayah
7. Make personal notes on any Surah / Ayah
8. Q"&amp;"uiz and Assessments")</f>
        <v>This project aims to develop a comprehensive application designed to enrich Quranic education through a suite of interactive tools and robust verification systems. The platform will offer users a variety of features to deepen their understanding and practical application of Quranic teachings. By incorporating advanced search functionalities, personalized learning experiences, and daily engagement tools, the app seeks to cater to diverse learning styles and preferences. It also emphasizes the importance of accurate recitation and offers guidance on proper Tajweed, ensuring users can confidently recite and comprehend the Quran. Overall, the application will serve as a valuable resource for anyone looking to enhance their Quranic knowledge and practice.
Features
1. Surah / Ayah Finder
2. Qirat test
3. Quran Learning
4. Suggestion of relation Ayahs with respective topic
5. Ayah of the day – Play sequential recording of the Quran daily
6. Bookmark a Surah / Ayah
7. Make personal notes on any Surah / Ayah
8. Quiz and Assessments</v>
      </c>
      <c r="D54" s="12" t="str">
        <f ca="1">IFERROR(__xludf.DUMMYFUNCTION("""COMPUTED_VALUE"""),"Dr. Asif Muhammad")</f>
        <v>Dr. Asif Muhammad</v>
      </c>
      <c r="E54" s="12"/>
      <c r="F54" s="12" t="str">
        <f ca="1">IFERROR(__xludf.DUMMYFUNCTION("""COMPUTED_VALUE"""),"Abdullah Sajjad")</f>
        <v>Abdullah Sajjad</v>
      </c>
      <c r="G54" s="12" t="str">
        <f ca="1">IFERROR(__xludf.DUMMYFUNCTION("""COMPUTED_VALUE"""),"i212477")</f>
        <v>i212477</v>
      </c>
      <c r="H54" s="12" t="str">
        <f ca="1">IFERROR(__xludf.DUMMYFUNCTION("""COMPUTED_VALUE"""),"Shuja Abbas")</f>
        <v>Shuja Abbas</v>
      </c>
      <c r="I54" s="12" t="str">
        <f ca="1">IFERROR(__xludf.DUMMYFUNCTION("""COMPUTED_VALUE"""),"i210802")</f>
        <v>i210802</v>
      </c>
      <c r="J54" s="12" t="str">
        <f ca="1">IFERROR(__xludf.DUMMYFUNCTION("""COMPUTED_VALUE"""),"Syed Qahafa Ahmed")</f>
        <v>Syed Qahafa Ahmed</v>
      </c>
      <c r="K54" s="12" t="str">
        <f ca="1">IFERROR(__xludf.DUMMYFUNCTION("""COMPUTED_VALUE"""),"i210596")</f>
        <v>i210596</v>
      </c>
    </row>
    <row r="55" spans="1:11" ht="191.25">
      <c r="A55" s="12" t="str">
        <f ca="1">IFERROR(__xludf.DUMMYFUNCTION("""COMPUTED_VALUE"""),"F24-055-D-EDIConnect")</f>
        <v>F24-055-D-EDIConnect</v>
      </c>
      <c r="B55" s="13" t="str">
        <f ca="1">IFERROR(__xludf.DUMMYFUNCTION("""COMPUTED_VALUE"""),"Enhanced Driver Assist")</f>
        <v>Enhanced Driver Assist</v>
      </c>
      <c r="C55" s="14" t="str">
        <f ca="1">IFERROR(__xludf.DUMMYFUNCTION("""COMPUTED_VALUE"""),"The Driver Monitoring and Assist System enhances driver safety and comfort by integrating real-time monitoring, AI-powered assistance, and edge computing to provide key vehicle safety features. It operates with minimal cloud reliance, ensuring rapid proce"&amp;"ssing on constrained devices.
Key Features:
1. Real-time lane detection and departure warnings.
2. Driving pattern identification and reports.
3. Driver attention monitoring via eye-tracking, face pose.
4. Voice-activated assistant for hands-free control"&amp;".
5. Active listening for rapid response to commands.
6. Hardware implementation with raspberry pi and coral tpu. 
7. Localized computation for fast, on-device processing.
8. Integration with OBD-II for vehicle and driver monitoring.
9. Customizable drive"&amp;"r profiles and preferences.")</f>
        <v>The Driver Monitoring and Assist System enhances driver safety and comfort by integrating real-time monitoring, AI-powered assistance, and edge computing to provide key vehicle safety features. It operates with minimal cloud reliance, ensuring rapid processing on constrained devices.
Key Features:
1. Real-time lane detection and departure warnings.
2. Driving pattern identification and reports.
3. Driver attention monitoring via eye-tracking, face pose.
4. Voice-activated assistant for hands-free control.
5. Active listening for rapid response to commands.
6. Hardware implementation with raspberry pi and coral tpu. 
7. Localized computation for fast, on-device processing.
8. Integration with OBD-II for vehicle and driver monitoring.
9. Customizable driver profiles and preferences.</v>
      </c>
      <c r="D55" s="15" t="str">
        <f ca="1">IFERROR(__xludf.DUMMYFUNCTION("""COMPUTED_VALUE"""),"Dr. Naveed Ahmad")</f>
        <v>Dr. Naveed Ahmad</v>
      </c>
      <c r="E55" s="12" t="str">
        <f ca="1">IFERROR(__xludf.DUMMYFUNCTION("""COMPUTED_VALUE"""),"Ms. Hira Mastoor")</f>
        <v>Ms. Hira Mastoor</v>
      </c>
      <c r="F55" s="12" t="str">
        <f ca="1">IFERROR(__xludf.DUMMYFUNCTION("""COMPUTED_VALUE"""),"Manahil Kamran")</f>
        <v>Manahil Kamran</v>
      </c>
      <c r="G55" s="12" t="str">
        <f ca="1">IFERROR(__xludf.DUMMYFUNCTION("""COMPUTED_VALUE"""),"i212668")</f>
        <v>i212668</v>
      </c>
      <c r="H55" s="12" t="str">
        <f ca="1">IFERROR(__xludf.DUMMYFUNCTION("""COMPUTED_VALUE"""),"Ali Arfa")</f>
        <v>Ali Arfa</v>
      </c>
      <c r="I55" s="12" t="str">
        <f ca="1">IFERROR(__xludf.DUMMYFUNCTION("""COMPUTED_VALUE"""),"i212669")</f>
        <v>i212669</v>
      </c>
      <c r="J55" s="12"/>
      <c r="K55" s="12"/>
    </row>
    <row r="56" spans="1:11" ht="267.75">
      <c r="A56" s="12" t="str">
        <f ca="1">IFERROR(__xludf.DUMMYFUNCTION("""COMPUTED_VALUE"""),"F24-056-D-VRCrypticHunt")</f>
        <v>F24-056-D-VRCrypticHunt</v>
      </c>
      <c r="B56" s="13" t="str">
        <f ca="1">IFERROR(__xludf.DUMMYFUNCTION("""COMPUTED_VALUE"""),"Immersive Virtual Reality Scavenger Hunt with Encrypted Treasure Decryption")</f>
        <v>Immersive Virtual Reality Scavenger Hunt with Encrypted Treasure Decryption</v>
      </c>
      <c r="C56" s="14" t="str">
        <f ca="1">IFERROR(__xludf.DUMMYFUNCTION("""COMPUTED_VALUE"""),"The goal of this project is to create an engaging virtual reality (VR) treasure hunt game in which players must search and decipher a virtual environment in order to find hidden valuables. To accommodate players of all skill levels, the game will offer a "&amp;"rich and engaging world with changing degrees of complexity. Cryptographic techniques will be used to encrypt each prize, which players must decrypt and access through challenges or puzzles. In addition to including instructional components that teach pla"&amp;"yers to fundamental cryptography ideas, the project will prioritise providing a seamless user experience with realistic graphics and intuitive controls. The main goal is to develop an original and captivating virtual reality game that blends technology, e"&amp;"ducation, and adventure.
Features:
- Immersive VR environment providing a realistic and engaging experience
- Encrypted treasures using various cryptographic methods
- Puzzle-based decryption for accessing treasures
- Multiple levels of difficulty to ac"&amp;"commodate different skill levels
- Intuitive and user-friendly controls designed for VR
- Clue system to assist players in finding and decrypting treasures
- Dynamic sound and visual effects for enhanced immersion
- Leaderboard and achievements system to "&amp;"track progress and motivate players")</f>
        <v>The goal of this project is to create an engaging virtual reality (VR) treasure hunt game in which players must search and decipher a virtual environment in order to find hidden valuables. To accommodate players of all skill levels, the game will offer a rich and engaging world with changing degrees of complexity. Cryptographic techniques will be used to encrypt each prize, which players must decrypt and access through challenges or puzzles. In addition to including instructional components that teach players to fundamental cryptography ideas, the project will prioritise providing a seamless user experience with realistic graphics and intuitive controls. The main goal is to develop an original and captivating virtual reality game that blends technology, education, and adventure.
Features:
- Immersive VR environment providing a realistic and engaging experience
- Encrypted treasures using various cryptographic methods
- Puzzle-based decryption for accessing treasures
- Multiple levels of difficulty to accommodate different skill levels
- Intuitive and user-friendly controls designed for VR
- Clue system to assist players in finding and decrypting treasures
- Dynamic sound and visual effects for enhanced immersion
- Leaderboard and achievements system to track progress and motivate players</v>
      </c>
      <c r="D56" s="12" t="str">
        <f ca="1">IFERROR(__xludf.DUMMYFUNCTION("""COMPUTED_VALUE"""),"Ms. Rabail Zahid")</f>
        <v>Ms. Rabail Zahid</v>
      </c>
      <c r="E56" s="12" t="str">
        <f ca="1">IFERROR(__xludf.DUMMYFUNCTION("""COMPUTED_VALUE"""),"Mr. Saad Salman")</f>
        <v>Mr. Saad Salman</v>
      </c>
      <c r="F56" s="12" t="str">
        <f ca="1">IFERROR(__xludf.DUMMYFUNCTION("""COMPUTED_VALUE"""),"Muhammad Khuzaima Sajjad ")</f>
        <v xml:space="preserve">Muhammad Khuzaima Sajjad </v>
      </c>
      <c r="G56" s="12" t="str">
        <f ca="1">IFERROR(__xludf.DUMMYFUNCTION("""COMPUTED_VALUE"""),"i192201")</f>
        <v>i192201</v>
      </c>
      <c r="H56" s="12" t="str">
        <f ca="1">IFERROR(__xludf.DUMMYFUNCTION("""COMPUTED_VALUE"""),"Bilal Ahmed Farooqi")</f>
        <v>Bilal Ahmed Farooqi</v>
      </c>
      <c r="I56" s="12" t="str">
        <f ca="1">IFERROR(__xludf.DUMMYFUNCTION("""COMPUTED_VALUE"""),"i201788")</f>
        <v>i201788</v>
      </c>
      <c r="J56" s="12" t="str">
        <f ca="1">IFERROR(__xludf.DUMMYFUNCTION("""COMPUTED_VALUE"""),"Umer Minhas")</f>
        <v>Umer Minhas</v>
      </c>
      <c r="K56" s="12" t="str">
        <f ca="1">IFERROR(__xludf.DUMMYFUNCTION("""COMPUTED_VALUE"""),"i202331")</f>
        <v>i202331</v>
      </c>
    </row>
    <row r="57" spans="1:11" ht="267.75">
      <c r="A57" s="12" t="str">
        <f ca="1">IFERROR(__xludf.DUMMYFUNCTION("""COMPUTED_VALUE"""),"F24-057-D-ARch360")</f>
        <v>F24-057-D-ARch360</v>
      </c>
      <c r="B57" s="13" t="str">
        <f ca="1">IFERROR(__xludf.DUMMYFUNCTION("""COMPUTED_VALUE"""),"ARchitect360: Design &amp; Visualize")</f>
        <v>ARchitect360: Design &amp; Visualize</v>
      </c>
      <c r="C57" s="14" t="str">
        <f ca="1">IFERROR(__xludf.DUMMYFUNCTION("""COMPUTED_VALUE"""),"Project Scope:
The scope of the ""ARchitect360: Design &amp; Visualize"" project is to develop an Augmented Reality (AR) application that converts architectural Computer Aided Design (CAD) files into immersive 3D visualizations. This tool will allow clients "&amp;"to preview and customize their future homes or commercial spaces, ensuring that the final construction meets their expectations. The application will enhance communication between clients and construction professionals, reducing the risk of misalignment b"&amp;"etween design and execution, and offering a seamless and interactive design experience.
Key Features:
AR Visualization of CAD files into detailed 3D models.
Customization Options for elements like wall colors, tiles, and ceiling designs.
Real-Time Visua"&amp;"l Updates based on client selections.
GenAI-Powered Chatbot for expert design guidance.
AI Agent Suggestions based on design trends and client preferences.
Collaborative Tools for client-professional interaction within the AR environment.
Snapshot feature"&amp;" for design approval and feedback.
Backend Infrastructure for data storage and processing.
User Interface designed for intuitive navigation and ease of use.
")</f>
        <v xml:space="preserve">Project Scope:
The scope of the "ARchitect360: Design &amp; Visualize" project is to develop an Augmented Reality (AR) application that converts architectural Computer Aided Design (CAD) files into immersive 3D visualizations. This tool will allow clients to preview and customize their future homes or commercial spaces, ensuring that the final construction meets their expectations. The application will enhance communication between clients and construction professionals, reducing the risk of misalignment between design and execution, and offering a seamless and interactive design experience.
Key Features:
AR Visualization of CAD files into detailed 3D models.
Customization Options for elements like wall colors, tiles, and ceiling designs.
Real-Time Visual Updates based on client selections.
GenAI-Powered Chatbot for expert design guidance.
AI Agent Suggestions based on design trends and client preferences.
Collaborative Tools for client-professional interaction within the AR environment.
Snapshot feature for design approval and feedback.
Backend Infrastructure for data storage and processing.
User Interface designed for intuitive navigation and ease of use.
</v>
      </c>
      <c r="D57" s="12" t="str">
        <f ca="1">IFERROR(__xludf.DUMMYFUNCTION("""COMPUTED_VALUE"""),"Dr. Hasan Mujtaba")</f>
        <v>Dr. Hasan Mujtaba</v>
      </c>
      <c r="E57" s="12" t="str">
        <f ca="1">IFERROR(__xludf.DUMMYFUNCTION("""COMPUTED_VALUE"""),"Mr. Usama Bin Imran")</f>
        <v>Mr. Usama Bin Imran</v>
      </c>
      <c r="F57" s="12" t="str">
        <f ca="1">IFERROR(__xludf.DUMMYFUNCTION("""COMPUTED_VALUE"""),"Abdullah Tahir")</f>
        <v>Abdullah Tahir</v>
      </c>
      <c r="G57" s="12" t="str">
        <f ca="1">IFERROR(__xludf.DUMMYFUNCTION("""COMPUTED_VALUE"""),"i212960")</f>
        <v>i212960</v>
      </c>
      <c r="H57" s="12" t="str">
        <f ca="1">IFERROR(__xludf.DUMMYFUNCTION("""COMPUTED_VALUE"""),"Hanan Irfan")</f>
        <v>Hanan Irfan</v>
      </c>
      <c r="I57" s="12" t="str">
        <f ca="1">IFERROR(__xludf.DUMMYFUNCTION("""COMPUTED_VALUE"""),"k214934")</f>
        <v>k214934</v>
      </c>
      <c r="J57" s="12" t="str">
        <f ca="1">IFERROR(__xludf.DUMMYFUNCTION("""COMPUTED_VALUE"""),"Fiza Mohsin")</f>
        <v>Fiza Mohsin</v>
      </c>
      <c r="K57" s="12" t="str">
        <f ca="1">IFERROR(__xludf.DUMMYFUNCTION("""COMPUTED_VALUE"""),"i210779")</f>
        <v>i210779</v>
      </c>
    </row>
    <row r="58" spans="1:11" ht="165.75">
      <c r="A58" s="12" t="str">
        <f ca="1">IFERROR(__xludf.DUMMYFUNCTION("""COMPUTED_VALUE"""),"F24-058-D-TalentVerify")</f>
        <v>F24-058-D-TalentVerify</v>
      </c>
      <c r="B58" s="13" t="str">
        <f ca="1">IFERROR(__xludf.DUMMYFUNCTION("""COMPUTED_VALUE"""),"AI based interviewer with enhanced soft skills mapping, fact checking and real-time cheater detection.")</f>
        <v>AI based interviewer with enhanced soft skills mapping, fact checking and real-time cheater detection.</v>
      </c>
      <c r="C58" s="14" t="str">
        <f ca="1">IFERROR(__xludf.DUMMYFUNCTION("""COMPUTED_VALUE"""),"Our AI-based interviewer, aims to revolutionize the recruitment process by providing an automated screening layer for companies receiving a high volume of candidate applications. This innovative tool utilizes artificial intelligence to conduct initial int"&amp;"erviews, assess candidate responses, and identify top talent, streamlining the hiring process and reducing the workload for HR professionals. The key features are:
1) Soft skill evaluation through audio and visual inputs.
2) Personalised resume behavioral"&amp;" questions.
3) Role-Sepecific technical questions
4) Answers Fact checking.
5) Follow up Questions
6) Cheating Detection
7) Interview Scheduling
8) Tone and Emotional Intelligence Analysis
")</f>
        <v xml:space="preserve">Our AI-based interviewer, aims to revolutionize the recruitment process by providing an automated screening layer for companies receiving a high volume of candidate applications. This innovative tool utilizes artificial intelligence to conduct initial interviews, assess candidate responses, and identify top talent, streamlining the hiring process and reducing the workload for HR professionals. The key features are:
1) Soft skill evaluation through audio and visual inputs.
2) Personalised resume behavioral questions.
3) Role-Sepecific technical questions
4) Answers Fact checking.
5) Follow up Questions
6) Cheating Detection
7) Interview Scheduling
8) Tone and Emotional Intelligence Analysis
</v>
      </c>
      <c r="D58" s="12" t="str">
        <f ca="1">IFERROR(__xludf.DUMMYFUNCTION("""COMPUTED_VALUE"""),"Ms. Saira Qamar")</f>
        <v>Ms. Saira Qamar</v>
      </c>
      <c r="E58" s="12"/>
      <c r="F58" s="12" t="str">
        <f ca="1">IFERROR(__xludf.DUMMYFUNCTION("""COMPUTED_VALUE"""),"Muhammad Mobeen")</f>
        <v>Muhammad Mobeen</v>
      </c>
      <c r="G58" s="12" t="str">
        <f ca="1">IFERROR(__xludf.DUMMYFUNCTION("""COMPUTED_VALUE"""),"i210444")</f>
        <v>i210444</v>
      </c>
      <c r="H58" s="12" t="str">
        <f ca="1">IFERROR(__xludf.DUMMYFUNCTION("""COMPUTED_VALUE"""),"Huzaifah Bin Saeed")</f>
        <v>Huzaifah Bin Saeed</v>
      </c>
      <c r="I58" s="12" t="str">
        <f ca="1">IFERROR(__xludf.DUMMYFUNCTION("""COMPUTED_VALUE"""),"i210432")</f>
        <v>i210432</v>
      </c>
      <c r="J58" s="12" t="str">
        <f ca="1">IFERROR(__xludf.DUMMYFUNCTION("""COMPUTED_VALUE"""),"Ahmad Raza")</f>
        <v>Ahmad Raza</v>
      </c>
      <c r="K58" s="12" t="str">
        <f ca="1">IFERROR(__xludf.DUMMYFUNCTION("""COMPUTED_VALUE"""),"i190710")</f>
        <v>i190710</v>
      </c>
    </row>
    <row r="59" spans="1:11" ht="267.75">
      <c r="A59" s="12" t="str">
        <f ca="1">IFERROR(__xludf.DUMMYFUNCTION("""COMPUTED_VALUE"""),"F24-059-D-AdInsight")</f>
        <v>F24-059-D-AdInsight</v>
      </c>
      <c r="B59" s="13" t="str">
        <f ca="1">IFERROR(__xludf.DUMMYFUNCTION("""COMPUTED_VALUE"""),"AdInsight: Comprehensive Analytics for Ad Performance and User Engagement Using Glance and Emotion Detection")</f>
        <v>AdInsight: Comprehensive Analytics for Ad Performance and User Engagement Using Glance and Emotion Detection</v>
      </c>
      <c r="C59" s="14" t="str">
        <f ca="1">IFERROR(__xludf.DUMMYFUNCTION("""COMPUTED_VALUE"""),"The project aims to develop an advanced software platform that seamlessly integrates with mobile apps and web pages through SDKs or browser extensions. The software is designed to detect and analyze both video and image-based advertisements, tracking user"&amp;" interaction by monitoring glances and engagement duration. It generates analytics of areas of interest and utilizes demographic data, emotion detection, and sentiment analysis to gauge user reactions. The platform offers comprehensive analytics, real-tim"&amp;"e feedback, and actionable insights for companies, ensuring continuous improvements in adverts.
Features:
1. Integration with mobile apps and web pages via SDKs or browser extensions.
2. Compliance with user permissions and privacy regulations.
3. Detect"&amp;"ion of video and image-based ads.
4. User interaction tracking through glance detection and engagement time measurement.
5. Demographic data extraction (age, gender, location).
6. Real-time emotion detection using facial recognition and sentiment analysis"&amp;".
7. Aggregation of data for comprehensive analytics (ad performance, user engagement, emotional responses).
8. Detailed reports and dashboards for companies with insights and optimization recommendations.
9. Continuous updates based on user and company f"&amp;"eedback to improve detection algorithms and analytics capabilities.
")</f>
        <v xml:space="preserve">The project aims to develop an advanced software platform that seamlessly integrates with mobile apps and web pages through SDKs or browser extensions. The software is designed to detect and analyze both video and image-based advertisements, tracking user interaction by monitoring glances and engagement duration. It generates analytics of areas of interest and utilizes demographic data, emotion detection, and sentiment analysis to gauge user reactions. The platform offers comprehensive analytics, real-time feedback, and actionable insights for companies, ensuring continuous improvements in adverts.
Features:
1. Integration with mobile apps and web pages via SDKs or browser extensions.
2. Compliance with user permissions and privacy regulations.
3. Detection of video and image-based ads.
4. User interaction tracking through glance detection and engagement time measurement.
5. Demographic data extraction (age, gender, location).
6. Real-time emotion detection using facial recognition and sentiment analysis.
7. Aggregation of data for comprehensive analytics (ad performance, user engagement, emotional responses).
8. Detailed reports and dashboards for companies with insights and optimization recommendations.
9. Continuous updates based on user and company feedback to improve detection algorithms and analytics capabilities.
</v>
      </c>
      <c r="D59" s="12" t="str">
        <f ca="1">IFERROR(__xludf.DUMMYFUNCTION("""COMPUTED_VALUE"""),"Dr. Muhammad Arshad Islam")</f>
        <v>Dr. Muhammad Arshad Islam</v>
      </c>
      <c r="E59" s="12"/>
      <c r="F59" s="12" t="str">
        <f ca="1">IFERROR(__xludf.DUMMYFUNCTION("""COMPUTED_VALUE"""),"Abdul Manan Feroz")</f>
        <v>Abdul Manan Feroz</v>
      </c>
      <c r="G59" s="12" t="str">
        <f ca="1">IFERROR(__xludf.DUMMYFUNCTION("""COMPUTED_VALUE"""),"i210641")</f>
        <v>i210641</v>
      </c>
      <c r="H59" s="12" t="str">
        <f ca="1">IFERROR(__xludf.DUMMYFUNCTION("""COMPUTED_VALUE"""),"Abher Ahmed")</f>
        <v>Abher Ahmed</v>
      </c>
      <c r="I59" s="12" t="str">
        <f ca="1">IFERROR(__xludf.DUMMYFUNCTION("""COMPUTED_VALUE"""),"i212498")</f>
        <v>i212498</v>
      </c>
      <c r="J59" s="12" t="str">
        <f ca="1">IFERROR(__xludf.DUMMYFUNCTION("""COMPUTED_VALUE"""),"Asif Ali")</f>
        <v>Asif Ali</v>
      </c>
      <c r="K59" s="12" t="str">
        <f ca="1">IFERROR(__xludf.DUMMYFUNCTION("""COMPUTED_VALUE"""),"i210515")</f>
        <v>i210515</v>
      </c>
    </row>
    <row r="60" spans="1:11" ht="242.25">
      <c r="A60" s="12" t="str">
        <f ca="1">IFERROR(__xludf.DUMMYFUNCTION("""COMPUTED_VALUE"""),"F24-060-D-SmartTutor")</f>
        <v>F24-060-D-SmartTutor</v>
      </c>
      <c r="B60" s="13" t="str">
        <f ca="1">IFERROR(__xludf.DUMMYFUNCTION("""COMPUTED_VALUE"""),"Smart Tutor: AI-Enhanced learning system ")</f>
        <v xml:space="preserve">Smart Tutor: AI-Enhanced learning system </v>
      </c>
      <c r="C60" s="14" t="str">
        <f ca="1">IFERROR(__xludf.DUMMYFUNCTION("""COMPUTED_VALUE"""),"The ""SmartTutors: AI-Enhanced Learning System"" is an innovative platform designed to enhance the learning experience by integrating artificial intelligence with human expertise. This hybrid system leverages AI to provide personalized and adaptive learni"&amp;"ng paths, ensuring that students receive the support they need based on their individual learning styles. The platform also fosters a collaborative environment through social learning communities and interactive tools that help students track their progre"&amp;"ss. Additionally, it features real-time emotional analytics to help tutors adjust their teaching strategies, making the learning experience more engaging and effective.
Key Features:
1. Hybrid AI-Human Tutoring System
2. AI-Driven Tutor Matching Based o"&amp;"n Learning Style
3. Interactive Learning Maps
4. Social Learning Communities
5. Real-Time Emotional Analytics
6. Personalized Learning Paths
7. Progress Tracking Tools
8. Collaborative Problem-Solving Platforms")</f>
        <v>The "SmartTutors: AI-Enhanced Learning System" is an innovative platform designed to enhance the learning experience by integrating artificial intelligence with human expertise. This hybrid system leverages AI to provide personalized and adaptive learning paths, ensuring that students receive the support they need based on their individual learning styles. The platform also fosters a collaborative environment through social learning communities and interactive tools that help students track their progress. Additionally, it features real-time emotional analytics to help tutors adjust their teaching strategies, making the learning experience more engaging and effective.
Key Features:
1. Hybrid AI-Human Tutoring System
2. AI-Driven Tutor Matching Based on Learning Style
3. Interactive Learning Maps
4. Social Learning Communities
5. Real-Time Emotional Analytics
6. Personalized Learning Paths
7. Progress Tracking Tools
8. Collaborative Problem-Solving Platforms</v>
      </c>
      <c r="D60" s="12" t="str">
        <f ca="1">IFERROR(__xludf.DUMMYFUNCTION("""COMPUTED_VALUE"""),"Ms. Nirmal Tariq")</f>
        <v>Ms. Nirmal Tariq</v>
      </c>
      <c r="E60" s="12" t="str">
        <f ca="1">IFERROR(__xludf.DUMMYFUNCTION("""COMPUTED_VALUE"""),"Ms. Marium Hida")</f>
        <v>Ms. Marium Hida</v>
      </c>
      <c r="F60" s="12" t="str">
        <f ca="1">IFERROR(__xludf.DUMMYFUNCTION("""COMPUTED_VALUE"""),"Raja Alian Anwar")</f>
        <v>Raja Alian Anwar</v>
      </c>
      <c r="G60" s="12" t="str">
        <f ca="1">IFERROR(__xludf.DUMMYFUNCTION("""COMPUTED_VALUE"""),"i210730")</f>
        <v>i210730</v>
      </c>
      <c r="H60" s="12" t="str">
        <f ca="1">IFERROR(__xludf.DUMMYFUNCTION("""COMPUTED_VALUE"""),"Munam Mustafa")</f>
        <v>Munam Mustafa</v>
      </c>
      <c r="I60" s="12" t="str">
        <f ca="1">IFERROR(__xludf.DUMMYFUNCTION("""COMPUTED_VALUE"""),"i210460")</f>
        <v>i210460</v>
      </c>
      <c r="J60" s="12" t="str">
        <f ca="1">IFERROR(__xludf.DUMMYFUNCTION("""COMPUTED_VALUE"""),"Muhammad Raza")</f>
        <v>Muhammad Raza</v>
      </c>
      <c r="K60" s="12" t="str">
        <f ca="1">IFERROR(__xludf.DUMMYFUNCTION("""COMPUTED_VALUE"""),"i210511")</f>
        <v>i210511</v>
      </c>
    </row>
    <row r="61" spans="1:11" ht="191.25">
      <c r="A61" s="12" t="str">
        <f ca="1">IFERROR(__xludf.DUMMYFUNCTION("""COMPUTED_VALUE"""),"F24-061-D-CrimeSight")</f>
        <v>F24-061-D-CrimeSight</v>
      </c>
      <c r="B61" s="13" t="str">
        <f ca="1">IFERROR(__xludf.DUMMYFUNCTION("""COMPUTED_VALUE"""),"Crime Sight: Crime Detection and Reporting System")</f>
        <v>Crime Sight: Crime Detection and Reporting System</v>
      </c>
      <c r="C61" s="14" t="str">
        <f ca="1">IFERROR(__xludf.DUMMYFUNCTION("""COMPUTED_VALUE"""),"This application is mainly intended for shops and marts where there is the main danger of different crimes like: fighting, shoplifting, abuse, vandalism etc. There is a slight overlap with homeowners that want to protect their home and report any nefariou"&amp;"s activity to the relevant authorities. 
- Multi Class Crime Classification in Real Time
- Realtime multi cameras integration
- Crime Reporting to Relevant Authorities
- Creating Timeline for selected person
- Sending crime alerts to mobile application
"&amp;"- Easy sharing of video footage 
- Providing analytics from observed crime
- Allowing users to monitor remotely through mobile application
- Model retraining and learning
- Time-Lapse and Playback Controls")</f>
        <v>This application is mainly intended for shops and marts where there is the main danger of different crimes like: fighting, shoplifting, abuse, vandalism etc. There is a slight overlap with homeowners that want to protect their home and report any nefarious activity to the relevant authorities. 
- Multi Class Crime Classification in Real Time
- Realtime multi cameras integration
- Crime Reporting to Relevant Authorities
- Creating Timeline for selected person
- Sending crime alerts to mobile application
- Easy sharing of video footage 
- Providing analytics from observed crime
- Allowing users to monitor remotely through mobile application
- Model retraining and learning
- Time-Lapse and Playback Controls</v>
      </c>
      <c r="D61" s="12" t="str">
        <f ca="1">IFERROR(__xludf.DUMMYFUNCTION("""COMPUTED_VALUE"""),"Ms. Nirmal Tariq")</f>
        <v>Ms. Nirmal Tariq</v>
      </c>
      <c r="E61" s="12"/>
      <c r="F61" s="12" t="str">
        <f ca="1">IFERROR(__xludf.DUMMYFUNCTION("""COMPUTED_VALUE"""),"Muhammad Ali")</f>
        <v>Muhammad Ali</v>
      </c>
      <c r="G61" s="12" t="str">
        <f ca="1">IFERROR(__xludf.DUMMYFUNCTION("""COMPUTED_VALUE"""),"i210887")</f>
        <v>i210887</v>
      </c>
      <c r="H61" s="12" t="str">
        <f ca="1">IFERROR(__xludf.DUMMYFUNCTION("""COMPUTED_VALUE"""),"Nuzhat ul Ain")</f>
        <v>Nuzhat ul Ain</v>
      </c>
      <c r="I61" s="12" t="str">
        <f ca="1">IFERROR(__xludf.DUMMYFUNCTION("""COMPUTED_VALUE"""),"i210634")</f>
        <v>i210634</v>
      </c>
      <c r="J61" s="12" t="str">
        <f ca="1">IFERROR(__xludf.DUMMYFUNCTION("""COMPUTED_VALUE"""),"Huma Ejaz")</f>
        <v>Huma Ejaz</v>
      </c>
      <c r="K61" s="12" t="str">
        <f ca="1">IFERROR(__xludf.DUMMYFUNCTION("""COMPUTED_VALUE"""),"i210839")</f>
        <v>i210839</v>
      </c>
    </row>
    <row r="62" spans="1:11" ht="216.75">
      <c r="A62" s="12" t="str">
        <f ca="1">IFERROR(__xludf.DUMMYFUNCTION("""COMPUTED_VALUE"""),"F24-062-D-Napalm")</f>
        <v>F24-062-D-Napalm</v>
      </c>
      <c r="B62" s="13" t="str">
        <f ca="1">IFERROR(__xludf.DUMMYFUNCTION("""COMPUTED_VALUE"""),"Napalm - Web Creation Kit")</f>
        <v>Napalm - Web Creation Kit</v>
      </c>
      <c r="C62" s="14" t="str">
        <f ca="1">IFERROR(__xludf.DUMMYFUNCTION("""COMPUTED_VALUE"""),"The project involves developing a no-code website creation platform that enables users without technical backgrounds to build and manage single-page websites easily. The platform will offer pre-designed templates that users can customize through a form-ba"&amp;"sed interface, with real-time previews of their changes. It will also incorporate AI-driven content generation to create text and images based on user prompts, streamlining the website creation process. The initial scope focuses on single-page websites su"&amp;"itable for portfolios, landing pages, and small business sites, with an emphasis on simplicity and efficiency.
Key features of the software project:
1. User-friendly, form-based interface for website customization
2. Pre-designed template selection for v"&amp;"arious purposes
3. Real-time preview of website changes
4. AI-powered text generation for website content
6. AI-driven image creation based on user descriptions
7. Automatic HTML and CSS generation
8. Customization options for colours, fonts, and layout e"&amp;"lements
9. Option for advanced users to add custom HTML, CSS, or JavaScript")</f>
        <v>The project involves developing a no-code website creation platform that enables users without technical backgrounds to build and manage single-page websites easily. The platform will offer pre-designed templates that users can customize through a form-based interface, with real-time previews of their changes. It will also incorporate AI-driven content generation to create text and images based on user prompts, streamlining the website creation process. The initial scope focuses on single-page websites suitable for portfolios, landing pages, and small business sites, with an emphasis on simplicity and efficiency.
Key features of the software project:
1. User-friendly, form-based interface for website customization
2. Pre-designed template selection for various purposes
3. Real-time preview of website changes
4. AI-powered text generation for website content
6. AI-driven image creation based on user descriptions
7. Automatic HTML and CSS generation
8. Customization options for colours, fonts, and layout elements
9. Option for advanced users to add custom HTML, CSS, or JavaScript</v>
      </c>
      <c r="D62" s="12" t="str">
        <f ca="1">IFERROR(__xludf.DUMMYFUNCTION("""COMPUTED_VALUE"""),"Ms. Saira Qamar")</f>
        <v>Ms. Saira Qamar</v>
      </c>
      <c r="E62" s="12"/>
      <c r="F62" s="12" t="str">
        <f ca="1">IFERROR(__xludf.DUMMYFUNCTION("""COMPUTED_VALUE"""),"Muhammad Ibrahim Khan")</f>
        <v>Muhammad Ibrahim Khan</v>
      </c>
      <c r="G62" s="12" t="str">
        <f ca="1">IFERROR(__xludf.DUMMYFUNCTION("""COMPUTED_VALUE"""),"i210601")</f>
        <v>i210601</v>
      </c>
      <c r="H62" s="12" t="str">
        <f ca="1">IFERROR(__xludf.DUMMYFUNCTION("""COMPUTED_VALUE"""),"Muhammad Farjad")</f>
        <v>Muhammad Farjad</v>
      </c>
      <c r="I62" s="12" t="str">
        <f ca="1">IFERROR(__xludf.DUMMYFUNCTION("""COMPUTED_VALUE"""),"i210660")</f>
        <v>i210660</v>
      </c>
      <c r="J62" s="12" t="str">
        <f ca="1">IFERROR(__xludf.DUMMYFUNCTION("""COMPUTED_VALUE"""),"Shahzaib Irfan")</f>
        <v>Shahzaib Irfan</v>
      </c>
      <c r="K62" s="12" t="str">
        <f ca="1">IFERROR(__xludf.DUMMYFUNCTION("""COMPUTED_VALUE"""),"i210841")</f>
        <v>i210841</v>
      </c>
    </row>
    <row r="63" spans="1:11" ht="280.5">
      <c r="A63" s="12" t="str">
        <f ca="1">IFERROR(__xludf.DUMMYFUNCTION("""COMPUTED_VALUE"""),"F24-063-D-EDA")</f>
        <v>F24-063-D-EDA</v>
      </c>
      <c r="B63" s="13" t="str">
        <f ca="1">IFERROR(__xludf.DUMMYFUNCTION("""COMPUTED_VALUE"""),"Vocalink: Voice-Only Multilingual Document Editor With Real-Time AI Agents")</f>
        <v>Vocalink: Voice-Only Multilingual Document Editor With Real-Time AI Agents</v>
      </c>
      <c r="C63" s="14" t="str">
        <f ca="1">IFERROR(__xludf.DUMMYFUNCTION("""COMPUTED_VALUE"""),"Vocalink is an AI-powered text editor that lets you create documents by speaking naturally, just like having a conversation, while it seamlessly converts your speech into well-structured text. Imagine dictating to a professional writer who refines your ph"&amp;"rasing, fills in missing words, and comprehends your intent. This is particularly beneficial for individuals with neurodivergent conditions like ADHD, dyslexia, and dysgraphia, as it reduces the cognitive strain associated with conventional typing.
KEY F"&amp;"EATURES:
• Converts natural speech into well-structured text like dictating to a professional writer.
• Processes audio in real-time for seamless interaction during document creation.
• Uses advanced agents and Mixture of Experts (MoE) to reduce Word Err"&amp;"or Rate (WER) and enhance accuracy.
• Integrates a language model to understand intent, refine phrasing, and distinguish filler phrases from content.
• Enables command execution and corrections via natural spoken commands, ensuring a continuous workflow.
"&amp;"• Speeds up document creation by allowing users to speak faster than they type, enhancing productivity.
• Automatically formats text based on spoken instructions, streamlining document creation.
• Enhances writing for neurodivergent individuals by enablin"&amp;"g natural speech expression, reducing the cognitive load of typing and editing.")</f>
        <v>Vocalink is an AI-powered text editor that lets you create documents by speaking naturally, just like having a conversation, while it seamlessly converts your speech into well-structured text. Imagine dictating to a professional writer who refines your phrasing, fills in missing words, and comprehends your intent. This is particularly beneficial for individuals with neurodivergent conditions like ADHD, dyslexia, and dysgraphia, as it reduces the cognitive strain associated with conventional typing.
KEY FEATURES:
• Converts natural speech into well-structured text like dictating to a professional writer.
• Processes audio in real-time for seamless interaction during document creation.
• Uses advanced agents and Mixture of Experts (MoE) to reduce Word Error Rate (WER) and enhance accuracy.
• Integrates a language model to understand intent, refine phrasing, and distinguish filler phrases from content.
• Enables command execution and corrections via natural spoken commands, ensuring a continuous workflow.
• Speeds up document creation by allowing users to speak faster than they type, enhancing productivity.
• Automatically formats text based on spoken instructions, streamlining document creation.
• Enhances writing for neurodivergent individuals by enabling natural speech expression, reducing the cognitive load of typing and editing.</v>
      </c>
      <c r="D63" s="12" t="str">
        <f ca="1">IFERROR(__xludf.DUMMYFUNCTION("""COMPUTED_VALUE"""),"Dr. Faisal Cheema")</f>
        <v>Dr. Faisal Cheema</v>
      </c>
      <c r="E63" s="12" t="str">
        <f ca="1">IFERROR(__xludf.DUMMYFUNCTION("""COMPUTED_VALUE"""),"Dr. Ramoza Ahsan")</f>
        <v>Dr. Ramoza Ahsan</v>
      </c>
      <c r="F63" s="12" t="str">
        <f ca="1">IFERROR(__xludf.DUMMYFUNCTION("""COMPUTED_VALUE"""),"Muhammad Huzaifa Khan")</f>
        <v>Muhammad Huzaifa Khan</v>
      </c>
      <c r="G63" s="12" t="str">
        <f ca="1">IFERROR(__xludf.DUMMYFUNCTION("""COMPUTED_VALUE"""),"i212689")</f>
        <v>i212689</v>
      </c>
      <c r="H63" s="12" t="str">
        <f ca="1">IFERROR(__xludf.DUMMYFUNCTION("""COMPUTED_VALUE"""),"Hashim Muhammad Nadeem")</f>
        <v>Hashim Muhammad Nadeem</v>
      </c>
      <c r="I63" s="12" t="str">
        <f ca="1">IFERROR(__xludf.DUMMYFUNCTION("""COMPUTED_VALUE"""),"i211675")</f>
        <v>i211675</v>
      </c>
      <c r="J63" s="12" t="str">
        <f ca="1">IFERROR(__xludf.DUMMYFUNCTION("""COMPUTED_VALUE"""),"Muhammad Ibrahim Akhtar")</f>
        <v>Muhammad Ibrahim Akhtar</v>
      </c>
      <c r="K63" s="12" t="str">
        <f ca="1">IFERROR(__xludf.DUMMYFUNCTION("""COMPUTED_VALUE"""),"i211679")</f>
        <v>i211679</v>
      </c>
    </row>
    <row r="64" spans="1:11" ht="409.5">
      <c r="A64" s="12" t="str">
        <f ca="1">IFERROR(__xludf.DUMMYFUNCTION("""COMPUTED_VALUE"""),"F24-064-D-DoctorAI")</f>
        <v>F24-064-D-DoctorAI</v>
      </c>
      <c r="B64" s="13" t="str">
        <f ca="1">IFERROR(__xludf.DUMMYFUNCTION("""COMPUTED_VALUE"""),"Leveraging Al to generate Naval Pattern of Life (POL) for Maritime Situational Awareness.")</f>
        <v>Leveraging Al to generate Naval Pattern of Life (POL) for Maritime Situational Awareness.</v>
      </c>
      <c r="C64" s="14" t="str">
        <f ca="1">IFERROR(__xludf.DUMMYFUNCTION("""COMPUTED_VALUE"""),"Project Description:
This project aims to develop an advanced Machine Learning-based system for the Pakistan Navy to analyze historical maritime surveillance data and generate a comprehensive Pattern of Life (POL) for maritime traffic within Pakistan's E"&amp;"xclusive Economic Zone (EEZ). The system will leverage data from various sensors, including Radar, AIS, and ELINT, to establish a normal baseline for both neutral and hostile traffic. By integrating these data sources into a unified Common Recognized Mari"&amp;"time Operating Picture (CRMOP), the system will enhance situational awareness and predictive capabilities, enabling more accurate and timely responses to deviations and potential threats. The project's scope includes data preprocessing, model training, re"&amp;"al-time prediction, and alert generation, all aimed at improving the operational effectiveness of maritime surveillance and defense.
Key Features:
Data Integration: Seamless integration of multiple sensor data sources (Radar, AIS, ELINT) for comprehensi"&amp;"ve maritime surveillance.
Historical Data Analysis: Processing and analysis of historical surveillance data to identify normal traffic patterns.
Pattern of Life (POL) Generation: Automated generation of a baseline POL for neutral and hostile maritime traf"&amp;"fic.
Anomaly Detection: Real-time detection of deviations from the established POL, triggering alerts for potential threats.
Predictive Analytics: Predicting future movement patterns of vessels based on historical data and POL.
User Interface: Interactive"&amp;" dashboard for monitoring, visualizing, and analyzing maritime traffic and anomalies.
Scalability: Ability to scale the system to handle large volumes of data and integrate additional sensor inputs.
Alert and Notification System: Automated alarms and noti"&amp;"fications for rapid response to identified anomalies.
Secure Data Handling: Implementation of security protocols to protect sensitive surveillance data.")</f>
        <v>Project Description:
This project aims to develop an advanced Machine Learning-based system for the Pakistan Navy to analyze historical maritime surveillance data and generate a comprehensive Pattern of Life (POL) for maritime traffic within Pakistan's Exclusive Economic Zone (EEZ). The system will leverage data from various sensors, including Radar, AIS, and ELINT, to establish a normal baseline for both neutral and hostile traffic. By integrating these data sources into a unified Common Recognized Maritime Operating Picture (CRMOP), the system will enhance situational awareness and predictive capabilities, enabling more accurate and timely responses to deviations and potential threats. The project's scope includes data preprocessing, model training, real-time prediction, and alert generation, all aimed at improving the operational effectiveness of maritime surveillance and defense.
Key Features:
Data Integration: Seamless integration of multiple sensor data sources (Radar, AIS, ELINT) for comprehensive maritime surveillance.
Historical Data Analysis: Processing and analysis of historical surveillance data to identify normal traffic patterns.
Pattern of Life (POL) Generation: Automated generation of a baseline POL for neutral and hostile maritime traffic.
Anomaly Detection: Real-time detection of deviations from the established POL, triggering alerts for potential threats.
Predictive Analytics: Predicting future movement patterns of vessels based on historical data and POL.
User Interface: Interactive dashboard for monitoring, visualizing, and analyzing maritime traffic and anomalies.
Scalability: Ability to scale the system to handle large volumes of data and integrate additional sensor inputs.
Alert and Notification System: Automated alarms and notifications for rapid response to identified anomalies.
Secure Data Handling: Implementation of security protocols to protect sensitive surveillance data.</v>
      </c>
      <c r="D64" s="12" t="str">
        <f ca="1">IFERROR(__xludf.DUMMYFUNCTION("""COMPUTED_VALUE"""),"Dr. Asif Muhammad")</f>
        <v>Dr. Asif Muhammad</v>
      </c>
      <c r="E64" s="12"/>
      <c r="F64" s="12" t="str">
        <f ca="1">IFERROR(__xludf.DUMMYFUNCTION("""COMPUTED_VALUE"""),"Muhammad Talal ")</f>
        <v xml:space="preserve">Muhammad Talal </v>
      </c>
      <c r="G64" s="12" t="str">
        <f ca="1">IFERROR(__xludf.DUMMYFUNCTION("""COMPUTED_VALUE"""),"i212746")</f>
        <v>i212746</v>
      </c>
      <c r="H64" s="12" t="str">
        <f ca="1">IFERROR(__xludf.DUMMYFUNCTION("""COMPUTED_VALUE"""),"Muhammad Haziq ijaz")</f>
        <v>Muhammad Haziq ijaz</v>
      </c>
      <c r="I64" s="12" t="str">
        <f ca="1">IFERROR(__xludf.DUMMYFUNCTION("""COMPUTED_VALUE"""),"i212692")</f>
        <v>i212692</v>
      </c>
      <c r="J64" s="12" t="str">
        <f ca="1">IFERROR(__xludf.DUMMYFUNCTION("""COMPUTED_VALUE"""),"Muhammad Anas Farooq")</f>
        <v>Muhammad Anas Farooq</v>
      </c>
      <c r="K64" s="12" t="str">
        <f ca="1">IFERROR(__xludf.DUMMYFUNCTION("""COMPUTED_VALUE"""),"i210813")</f>
        <v>i210813</v>
      </c>
    </row>
    <row r="65" spans="1:11" ht="344.25">
      <c r="A65" s="12" t="str">
        <f ca="1">IFERROR(__xludf.DUMMYFUNCTION("""COMPUTED_VALUE"""),"F24-065-D-SceneCraft")</f>
        <v>F24-065-D-SceneCraft</v>
      </c>
      <c r="B65" s="13" t="str">
        <f ca="1">IFERROR(__xludf.DUMMYFUNCTION("""COMPUTED_VALUE"""),"SceneCraft")</f>
        <v>SceneCraft</v>
      </c>
      <c r="C65" s="14" t="str">
        <f ca="1">IFERROR(__xludf.DUMMYFUNCTION("""COMPUTED_VALUE"""),"The L-M-5 Script Writer is an AI-powered chatbot designed to assist screenplay and book writers in developing their scripts and stories. This innovative tool aims to streamline the writing process by offering a range of features that support ideation, cha"&amp;"racter development, and script analysis. The project's scope encompasses the creation of an intelligent assistant capable of generating character personalities, completing partial scripts, analyzing existing scripts, identifying potential conflicts, and a"&amp;"utomatically tagging script elements. Additionally, the L-M-5 Script Writer will extend its capabilities to aid in character image generation, adapting books into screenplays, and assisting with general book writing tasks.
Key features of the L-M-5 Scrip"&amp;"t Writer:
1. Character personality writing - generates unique character profiles and personalities
2. Auto-complete functionality (by signature) - predicts and suggests content based on the writer's style
3. Script analysis tools - analyzes and provides "&amp;"feedback on script structure, pacing, dialogue, etc.
4. Conflicts searching and identification - identifies and suggests potential conflicts to enhance the story
5. Automatic elements tagging in scripts - automatically tags characters, locations, props an"&amp;"d other script elements
6. Character image generation - creates visual character designs based on descriptions 
7. Book to screenplay adaptation assistance - converts a book draft into a formatted screenplay
8. Book writing support - assists in writing or"&amp;"iginal book content in addition to scripts
9. AI-powered chatbot interface for user interaction
10. Customizable writing prompts and suggestions based on user input")</f>
        <v>The L-M-5 Script Writer is an AI-powered chatbot designed to assist screenplay and book writers in developing their scripts and stories. This innovative tool aims to streamline the writing process by offering a range of features that support ideation, character development, and script analysis. The project's scope encompasses the creation of an intelligent assistant capable of generating character personalities, completing partial scripts, analyzing existing scripts, identifying potential conflicts, and automatically tagging script elements. Additionally, the L-M-5 Script Writer will extend its capabilities to aid in character image generation, adapting books into screenplays, and assisting with general book writing tasks.
Key features of the L-M-5 Script Writer:
1. Character personality writing - generates unique character profiles and personalities
2. Auto-complete functionality (by signature) - predicts and suggests content based on the writer's style
3. Script analysis tools - analyzes and provides feedback on script structure, pacing, dialogue, etc.
4. Conflicts searching and identification - identifies and suggests potential conflicts to enhance the story
5. Automatic elements tagging in scripts - automatically tags characters, locations, props and other script elements
6. Character image generation - creates visual character designs based on descriptions 
7. Book to screenplay adaptation assistance - converts a book draft into a formatted screenplay
8. Book writing support - assists in writing original book content in addition to scripts
9. AI-powered chatbot interface for user interaction
10. Customizable writing prompts and suggestions based on user input</v>
      </c>
      <c r="D65" s="12" t="str">
        <f ca="1">IFERROR(__xludf.DUMMYFUNCTION("""COMPUTED_VALUE"""),"Mr. M Aamir Gulzar")</f>
        <v>Mr. M Aamir Gulzar</v>
      </c>
      <c r="E65" s="12" t="str">
        <f ca="1">IFERROR(__xludf.DUMMYFUNCTION("""COMPUTED_VALUE"""),"Dr. Asif Naeem")</f>
        <v>Dr. Asif Naeem</v>
      </c>
      <c r="F65" s="12" t="str">
        <f ca="1">IFERROR(__xludf.DUMMYFUNCTION("""COMPUTED_VALUE"""),"Ahmed Abdur Rahman")</f>
        <v>Ahmed Abdur Rahman</v>
      </c>
      <c r="G65" s="12" t="str">
        <f ca="1">IFERROR(__xludf.DUMMYFUNCTION("""COMPUTED_VALUE"""),"i210404")</f>
        <v>i210404</v>
      </c>
      <c r="H65" s="12" t="str">
        <f ca="1">IFERROR(__xludf.DUMMYFUNCTION("""COMPUTED_VALUE"""),"Abdul Ahad Iqbal ")</f>
        <v xml:space="preserve">Abdul Ahad Iqbal </v>
      </c>
      <c r="I65" s="12" t="str">
        <f ca="1">IFERROR(__xludf.DUMMYFUNCTION("""COMPUTED_VALUE"""),"i210584")</f>
        <v>i210584</v>
      </c>
      <c r="J65" s="12" t="str">
        <f ca="1">IFERROR(__xludf.DUMMYFUNCTION("""COMPUTED_VALUE"""),"Syed Muhammad Ibrahim Khalil")</f>
        <v>Syed Muhammad Ibrahim Khalil</v>
      </c>
      <c r="K65" s="12" t="str">
        <f ca="1">IFERROR(__xludf.DUMMYFUNCTION("""COMPUTED_VALUE"""),"i210717")</f>
        <v>i210717</v>
      </c>
    </row>
    <row r="66" spans="1:11" ht="191.25">
      <c r="A66" s="12" t="str">
        <f ca="1">IFERROR(__xludf.DUMMYFUNCTION("""COMPUTED_VALUE"""),"F24-066-D-LearnScape")</f>
        <v>F24-066-D-LearnScape</v>
      </c>
      <c r="B66" s="13" t="str">
        <f ca="1">IFERROR(__xludf.DUMMYFUNCTION("""COMPUTED_VALUE"""),"Exploring Knowledge in VR World")</f>
        <v>Exploring Knowledge in VR World</v>
      </c>
      <c r="C66" s="14" t="str">
        <f ca="1">IFERROR(__xludf.DUMMYFUNCTION("""COMPUTED_VALUE"""),"This project creates an immersive VR learning platform that enhances educational experiences by integrating interactive environments and real-time AI support. It allows students to engage with educational content in a virtual setting, where they can inter"&amp;"act with simulated elements and receive personalized assistance through an AI-driven backend, making learning more engaging and responsive to individual needs.
Key Features:
3D Virtual Classroom
Teacher Avatar Simulation
Interactive Virtual Board
Real-Ti"&amp;"me Q&amp;A
Contextual Understanding of AI
Voice and Text Input for questioning
Feedback System
Progress Tracking")</f>
        <v>This project creates an immersive VR learning platform that enhances educational experiences by integrating interactive environments and real-time AI support. It allows students to engage with educational content in a virtual setting, where they can interact with simulated elements and receive personalized assistance through an AI-driven backend, making learning more engaging and responsive to individual needs.
Key Features:
3D Virtual Classroom
Teacher Avatar Simulation
Interactive Virtual Board
Real-Time Q&amp;A
Contextual Understanding of AI
Voice and Text Input for questioning
Feedback System
Progress Tracking</v>
      </c>
      <c r="D66" s="12" t="str">
        <f ca="1">IFERROR(__xludf.DUMMYFUNCTION("""COMPUTED_VALUE"""),"Ms. Noor ul Ain")</f>
        <v>Ms. Noor ul Ain</v>
      </c>
      <c r="E66" s="12" t="str">
        <f ca="1">IFERROR(__xludf.DUMMYFUNCTION("""COMPUTED_VALUE"""),"Mr. Usama Bin Imran")</f>
        <v>Mr. Usama Bin Imran</v>
      </c>
      <c r="F66" s="12" t="str">
        <f ca="1">IFERROR(__xludf.DUMMYFUNCTION("""COMPUTED_VALUE"""),"Ali hamza")</f>
        <v>Ali hamza</v>
      </c>
      <c r="G66" s="12" t="str">
        <f ca="1">IFERROR(__xludf.DUMMYFUNCTION("""COMPUTED_VALUE"""),"i210846")</f>
        <v>i210846</v>
      </c>
      <c r="H66" s="12" t="str">
        <f ca="1">IFERROR(__xludf.DUMMYFUNCTION("""COMPUTED_VALUE"""),"Muhammad Haadi")</f>
        <v>Muhammad Haadi</v>
      </c>
      <c r="I66" s="12" t="str">
        <f ca="1">IFERROR(__xludf.DUMMYFUNCTION("""COMPUTED_VALUE"""),"i210384")</f>
        <v>i210384</v>
      </c>
      <c r="J66" s="12" t="str">
        <f ca="1">IFERROR(__xludf.DUMMYFUNCTION("""COMPUTED_VALUE"""),"Abdul Moiz Amir")</f>
        <v>Abdul Moiz Amir</v>
      </c>
      <c r="K66" s="12" t="str">
        <f ca="1">IFERROR(__xludf.DUMMYFUNCTION("""COMPUTED_VALUE"""),"i210452")</f>
        <v>i210452</v>
      </c>
    </row>
    <row r="67" spans="1:11" ht="204">
      <c r="A67" s="12" t="str">
        <f ca="1">IFERROR(__xludf.DUMMYFUNCTION("""COMPUTED_VALUE"""),"F24-067-D-TerraVerse3D")</f>
        <v>F24-067-D-TerraVerse3D</v>
      </c>
      <c r="B67" s="13" t="str">
        <f ca="1">IFERROR(__xludf.DUMMYFUNCTION("""COMPUTED_VALUE"""),"Immersive Landscape Experiences")</f>
        <v>Immersive Landscape Experiences</v>
      </c>
      <c r="C67" s="14" t="str">
        <f ca="1">IFERROR(__xludf.DUMMYFUNCTION("""COMPUTED_VALUE"""),"The project, ""TerraVerse 3D"" is an innovative exploration of Virtual Reality (VR) technology, focusing on creating immersive and interactive environments. By leveraging generative AI and advanced image/video processing techniques, the project aims to tr"&amp;"ansform video footage into detailed 3D models, offering users a unique and engaging experience. The application will blend cutting-edge VR capabilities with real-time data visualization, making it a versatile tool for various applications where virtual en"&amp;"vironments are key. The project will push the boundaries of how virtual spaces are created and experienced, providing a glimpse into the future of digital interaction and visualization.
1. 360-Degree Exploration: Full 3D immersive view
2. Real-Time Updat"&amp;"es: Dynamic visualization of design changes
3. Customizable Views: Switch between design options and times of day.
4. Easy Navigation: Intuitive controls for VR and standard devices.
5. High-Quality Graphics: Realistic rendering of landscapes and structur"&amp;"es.
6. Architectural Integration: Visualize buildings within the landscape.
7. Annotation Tools: Get feedbacks")</f>
        <v>The project, "TerraVerse 3D" is an innovative exploration of Virtual Reality (VR) technology, focusing on creating immersive and interactive environments. By leveraging generative AI and advanced image/video processing techniques, the project aims to transform video footage into detailed 3D models, offering users a unique and engaging experience. The application will blend cutting-edge VR capabilities with real-time data visualization, making it a versatile tool for various applications where virtual environments are key. The project will push the boundaries of how virtual spaces are created and experienced, providing a glimpse into the future of digital interaction and visualization.
1. 360-Degree Exploration: Full 3D immersive view
2. Real-Time Updates: Dynamic visualization of design changes
3. Customizable Views: Switch between design options and times of day.
4. Easy Navigation: Intuitive controls for VR and standard devices.
5. High-Quality Graphics: Realistic rendering of landscapes and structures.
6. Architectural Integration: Visualize buildings within the landscape.
7. Annotation Tools: Get feedbacks</v>
      </c>
      <c r="D67" s="12" t="str">
        <f ca="1">IFERROR(__xludf.DUMMYFUNCTION("""COMPUTED_VALUE"""),"Ms. Noor ul Ain")</f>
        <v>Ms. Noor ul Ain</v>
      </c>
      <c r="E67" s="12" t="str">
        <f ca="1">IFERROR(__xludf.DUMMYFUNCTION("""COMPUTED_VALUE"""),"Mr. Usama Bin Imran")</f>
        <v>Mr. Usama Bin Imran</v>
      </c>
      <c r="F67" s="12" t="str">
        <f ca="1">IFERROR(__xludf.DUMMYFUNCTION("""COMPUTED_VALUE"""),"Mansoor Ali")</f>
        <v>Mansoor Ali</v>
      </c>
      <c r="G67" s="12" t="str">
        <f ca="1">IFERROR(__xludf.DUMMYFUNCTION("""COMPUTED_VALUE"""),"i212502")</f>
        <v>i212502</v>
      </c>
      <c r="H67" s="12" t="str">
        <f ca="1">IFERROR(__xludf.DUMMYFUNCTION("""COMPUTED_VALUE"""),"M. Danish Javaid")</f>
        <v>M. Danish Javaid</v>
      </c>
      <c r="I67" s="12" t="str">
        <f ca="1">IFERROR(__xludf.DUMMYFUNCTION("""COMPUTED_VALUE"""),"i212474")</f>
        <v>i212474</v>
      </c>
      <c r="J67" s="12" t="str">
        <f ca="1">IFERROR(__xludf.DUMMYFUNCTION("""COMPUTED_VALUE"""),"Muhammad Sohaib")</f>
        <v>Muhammad Sohaib</v>
      </c>
      <c r="K67" s="12" t="str">
        <f ca="1">IFERROR(__xludf.DUMMYFUNCTION("""COMPUTED_VALUE"""),"i210411")</f>
        <v>i210411</v>
      </c>
    </row>
    <row r="68" spans="1:11" ht="178.5">
      <c r="A68" s="12" t="str">
        <f ca="1">IFERROR(__xludf.DUMMYFUNCTION("""COMPUTED_VALUE"""),"F24-068-D-StockPredict")</f>
        <v>F24-068-D-StockPredict</v>
      </c>
      <c r="B68" s="13" t="str">
        <f ca="1">IFERROR(__xludf.DUMMYFUNCTION("""COMPUTED_VALUE"""),"Stock Price Forecasting With Machine Learning and Sentiment Analysis")</f>
        <v>Stock Price Forecasting With Machine Learning and Sentiment Analysis</v>
      </c>
      <c r="C68" s="14" t="str">
        <f ca="1">IFERROR(__xludf.DUMMYFUNCTION("""COMPUTED_VALUE"""),"We plan on creating a FinTech Web App which will utilitize Machine Learning (DLSTM/CNN Models), Sentiment Analysis (Social Media sentiment aggregation) and data from Financial APIs to forecast stock prices to a certain extent which will give a high probab"&amp;"ility of generating positive returns.
1. Sleek Web interface
2. Postgres/Redis Databases
3. Flask/Gunicorn backend
4. VPS + Cloudflare hosting/reverse proxies
5. Multi modal Price Forecasting With CNNs
6. DLSTM incorporation
7. Sentiment Analysis to prov"&amp;"ide bias
8. Independent feature weightage selection
9. Interface to trade based on stock price prediction ")</f>
        <v xml:space="preserve">We plan on creating a FinTech Web App which will utilitize Machine Learning (DLSTM/CNN Models), Sentiment Analysis (Social Media sentiment aggregation) and data from Financial APIs to forecast stock prices to a certain extent which will give a high probability of generating positive returns.
1. Sleek Web interface
2. Postgres/Redis Databases
3. Flask/Gunicorn backend
4. VPS + Cloudflare hosting/reverse proxies
5. Multi modal Price Forecasting With CNNs
6. DLSTM incorporation
7. Sentiment Analysis to provide bias
8. Independent feature weightage selection
9. Interface to trade based on stock price prediction </v>
      </c>
      <c r="D68" s="12" t="str">
        <f ca="1">IFERROR(__xludf.DUMMYFUNCTION("""COMPUTED_VALUE"""),"Dr. Fehmida Usmani")</f>
        <v>Dr. Fehmida Usmani</v>
      </c>
      <c r="E68" s="12" t="str">
        <f ca="1">IFERROR(__xludf.DUMMYFUNCTION("""COMPUTED_VALUE"""),"Dr. Muhammad Arshad Islam")</f>
        <v>Dr. Muhammad Arshad Islam</v>
      </c>
      <c r="F68" s="12" t="str">
        <f ca="1">IFERROR(__xludf.DUMMYFUNCTION("""COMPUTED_VALUE"""),"Shahryar Adil Khan ")</f>
        <v xml:space="preserve">Shahryar Adil Khan </v>
      </c>
      <c r="G68" s="12" t="str">
        <f ca="1">IFERROR(__xludf.DUMMYFUNCTION("""COMPUTED_VALUE"""),"i210771")</f>
        <v>i210771</v>
      </c>
      <c r="H68" s="12" t="str">
        <f ca="1">IFERROR(__xludf.DUMMYFUNCTION("""COMPUTED_VALUE"""),"Mohammad Faizan")</f>
        <v>Mohammad Faizan</v>
      </c>
      <c r="I68" s="12" t="str">
        <f ca="1">IFERROR(__xludf.DUMMYFUNCTION("""COMPUTED_VALUE"""),"i210666")</f>
        <v>i210666</v>
      </c>
      <c r="J68" s="12" t="str">
        <f ca="1">IFERROR(__xludf.DUMMYFUNCTION("""COMPUTED_VALUE"""),"Syed Muhammad Mustafa ")</f>
        <v xml:space="preserve">Syed Muhammad Mustafa </v>
      </c>
      <c r="K68" s="12" t="str">
        <f ca="1">IFERROR(__xludf.DUMMYFUNCTION("""COMPUTED_VALUE"""),"i210618")</f>
        <v>i210618</v>
      </c>
    </row>
    <row r="69" spans="1:11" ht="255">
      <c r="A69" s="12" t="str">
        <f ca="1">IFERROR(__xludf.DUMMYFUNCTION("""COMPUTED_VALUE"""),"F24-069-D-VocaLink")</f>
        <v>F24-069-D-VocaLink</v>
      </c>
      <c r="B69" s="13" t="str">
        <f ca="1">IFERROR(__xludf.DUMMYFUNCTION("""COMPUTED_VALUE"""),"EDBOT: Crafting Smart Lessons and Quizzes with AI Magic for Next-Level Learning Adventures")</f>
        <v>EDBOT: Crafting Smart Lessons and Quizzes with AI Magic for Next-Level Learning Adventures</v>
      </c>
      <c r="C69" s="14" t="str">
        <f ca="1">IFERROR(__xludf.DUMMYFUNCTION("""COMPUTED_VALUE"""),"EDBOT is an AI-driven system aimed at automating educational content creation and assessment generation. Its scope includes modules for data collection, content generation, assessments, grading, user interface, and deployment. The objectives are to stream"&amp;"line the creation of personalized educational materials, implement adaptive grading, and maintain content consistency. Key stakeholders include educational institutions, teachers, students, and developers. Tools and technologies involve training GPT-4, Mi"&amp;"stral-7B etc for content, PyTorch for training, Hugging Face for NLP, and image generation models. Constraints include curriculum relevance, scalability, and user customization. EDBOT addresses manual content creation challenges through research-driven AI"&amp;" and computer science techniques, solving problems related to efficiency, quality, and adaptability.
KEY-FEATURES:-
Automated PowerPoint slide creation with content and images.
Adaptive assessment generation (MCQs, true/false, short answers).
Difficulty-b"&amp;"ased question categorization.
Threshold-based grading system for personalized feedback.
NLP-based curriculum alignment.
Multi-format export options (PDF, PPTX, DOCX).
Real-time AI-powered student feedback.
Collaborative platform for teachers and students."&amp;"
Seamless integration with LMS platforms.")</f>
        <v>EDBOT is an AI-driven system aimed at automating educational content creation and assessment generation. Its scope includes modules for data collection, content generation, assessments, grading, user interface, and deployment. The objectives are to streamline the creation of personalized educational materials, implement adaptive grading, and maintain content consistency. Key stakeholders include educational institutions, teachers, students, and developers. Tools and technologies involve training GPT-4, Mistral-7B etc for content, PyTorch for training, Hugging Face for NLP, and image generation models. Constraints include curriculum relevance, scalability, and user customization. EDBOT addresses manual content creation challenges through research-driven AI and computer science techniques, solving problems related to efficiency, quality, and adaptability.
KEY-FEATURES:-
Automated PowerPoint slide creation with content and images.
Adaptive assessment generation (MCQs, true/false, short answers).
Difficulty-based question categorization.
Threshold-based grading system for personalized feedback.
NLP-based curriculum alignment.
Multi-format export options (PDF, PPTX, DOCX).
Real-time AI-powered student feedback.
Collaborative platform for teachers and students.
Seamless integration with LMS platforms.</v>
      </c>
      <c r="D69" s="15" t="str">
        <f ca="1">IFERROR(__xludf.DUMMYFUNCTION("""COMPUTED_VALUE"""),"Dr. Faisal Cheema")</f>
        <v>Dr. Faisal Cheema</v>
      </c>
      <c r="E69" s="12"/>
      <c r="F69" s="12" t="str">
        <f ca="1">IFERROR(__xludf.DUMMYFUNCTION("""COMPUTED_VALUE"""),"Dawood Tanvir")</f>
        <v>Dawood Tanvir</v>
      </c>
      <c r="G69" s="12" t="str">
        <f ca="1">IFERROR(__xludf.DUMMYFUNCTION("""COMPUTED_VALUE"""),"i211665")</f>
        <v>i211665</v>
      </c>
      <c r="H69" s="12" t="str">
        <f ca="1">IFERROR(__xludf.DUMMYFUNCTION("""COMPUTED_VALUE"""),"Duaa Fatima")</f>
        <v>Duaa Fatima</v>
      </c>
      <c r="I69" s="12" t="str">
        <f ca="1">IFERROR(__xludf.DUMMYFUNCTION("""COMPUTED_VALUE"""),"i211667")</f>
        <v>i211667</v>
      </c>
      <c r="J69" s="12" t="str">
        <f ca="1">IFERROR(__xludf.DUMMYFUNCTION("""COMPUTED_VALUE"""),"Syeda Mahum Raza")</f>
        <v>Syeda Mahum Raza</v>
      </c>
      <c r="K69" s="12" t="str">
        <f ca="1">IFERROR(__xludf.DUMMYFUNCTION("""COMPUTED_VALUE"""),"i211662")</f>
        <v>i211662</v>
      </c>
    </row>
    <row r="70" spans="1:11" ht="191.25">
      <c r="A70" s="12" t="str">
        <f ca="1">IFERROR(__xludf.DUMMYFUNCTION("""COMPUTED_VALUE"""),"F24-070-D-InsightVision")</f>
        <v>F24-070-D-InsightVision</v>
      </c>
      <c r="B70" s="13" t="str">
        <f ca="1">IFERROR(__xludf.DUMMYFUNCTION("""COMPUTED_VALUE"""),"AI-Driven Video Summarization and Event Detection Using Neural Networks and Large Language Models")</f>
        <v>AI-Driven Video Summarization and Event Detection Using Neural Networks and Large Language Models</v>
      </c>
      <c r="C70" s="14" t="str">
        <f ca="1">IFERROR(__xludf.DUMMYFUNCTION("""COMPUTED_VALUE"""),"The primary objective of this project is to develop an AI-powered CCTV summarization solution that processes video footage, identifies key actions and events, and generates a concise summary containing only the most important clips along with a textual su"&amp;"mmary with timestamps. This system will improve the efficiency of CCTV monitoring by providing quick access to essential moments, reducing the time spent on reviewing footage.
Key Features:
- Automated Video Chunking
- Advanced Action Recognition
- Times"&amp;"tamp Generation
- Contextual Analysis with LLM
- Dynamic Clip Extraction
- Summarized Video Compilation
- Automated Report Generation
- User Interface for Upload and Review")</f>
        <v>The primary objective of this project is to develop an AI-powered CCTV summarization solution that processes video footage, identifies key actions and events, and generates a concise summary containing only the most important clips along with a textual summary with timestamps. This system will improve the efficiency of CCTV monitoring by providing quick access to essential moments, reducing the time spent on reviewing footage.
Key Features:
- Automated Video Chunking
- Advanced Action Recognition
- Timestamp Generation
- Contextual Analysis with LLM
- Dynamic Clip Extraction
- Summarized Video Compilation
- Automated Report Generation
- User Interface for Upload and Review</v>
      </c>
      <c r="D70" s="12" t="str">
        <f ca="1">IFERROR(__xludf.DUMMYFUNCTION("""COMPUTED_VALUE"""),"Ms. Nirmal Tariq")</f>
        <v>Ms. Nirmal Tariq</v>
      </c>
      <c r="E70" s="12"/>
      <c r="F70" s="12" t="str">
        <f ca="1">IFERROR(__xludf.DUMMYFUNCTION("""COMPUTED_VALUE"""),"Muhammad Turab Cheema")</f>
        <v>Muhammad Turab Cheema</v>
      </c>
      <c r="G70" s="12" t="str">
        <f ca="1">IFERROR(__xludf.DUMMYFUNCTION("""COMPUTED_VALUE"""),"i210544")</f>
        <v>i210544</v>
      </c>
      <c r="H70" s="12" t="str">
        <f ca="1">IFERROR(__xludf.DUMMYFUNCTION("""COMPUTED_VALUE"""),"Ali Shahbaz Bhatti")</f>
        <v>Ali Shahbaz Bhatti</v>
      </c>
      <c r="I70" s="12" t="str">
        <f ca="1">IFERROR(__xludf.DUMMYFUNCTION("""COMPUTED_VALUE"""),"i210736")</f>
        <v>i210736</v>
      </c>
      <c r="J70" s="12" t="str">
        <f ca="1">IFERROR(__xludf.DUMMYFUNCTION("""COMPUTED_VALUE"""),"Syed Fahad Noman")</f>
        <v>Syed Fahad Noman</v>
      </c>
      <c r="K70" s="12" t="str">
        <f ca="1">IFERROR(__xludf.DUMMYFUNCTION("""COMPUTED_VALUE"""),"i210597")</f>
        <v>i210597</v>
      </c>
    </row>
    <row r="71" spans="1:11" ht="229.5">
      <c r="A71" s="12" t="str">
        <f ca="1">IFERROR(__xludf.DUMMYFUNCTION("""COMPUTED_VALUE"""),"F24-071-D-LiDRR")</f>
        <v>F24-071-D-LiDRR</v>
      </c>
      <c r="B71" s="13" t="str">
        <f ca="1">IFERROR(__xludf.DUMMYFUNCTION("""COMPUTED_VALUE"""),"LiDAR-Sensor based Road Rutting measurement")</f>
        <v>LiDAR-Sensor based Road Rutting measurement</v>
      </c>
      <c r="C71" s="14" t="str">
        <f ca="1">IFERROR(__xludf.DUMMYFUNCTION("""COMPUTED_VALUE"""),"This project involves the installation of LiDAR sensors on vehicles to detect and
measure road rutting. Road rutting refers to the depressions or grooves that
form in the wheel paths of a roadway due to constant traffic. By using Mobile
LiDAR Systems, the"&amp;" project captures detailed point cloud data, which is then
analyzed to identify and quantify the extent of rutting. This approach provides
high-precision measurements and enables continuous monitoring of road
conditions, helping in timely maintenance and "&amp;"improving road safety.
1- The project includes work both on the hardware and software sides.
2- It uses LiDAR sensors to create a point cloud of the environment.
3- The project uses image processing techniques to identify rutting.
4- It involves real-tim"&amp;"e detection and measurement of the rutting.
5- It involves detection of cracks and pot-holes on the road.
6- The project uses location services to geo-tag the data.
7- It incorporates crowd-sensing technologies to broadcast real-time data to be used and u"&amp;"pdated by multiple agents.
8- The data can be accessed by other agents and people concerned, in real-time over the internet.")</f>
        <v>This project involves the installation of LiDAR sensors on vehicles to detect and
measure road rutting. Road rutting refers to the depressions or grooves that
form in the wheel paths of a roadway due to constant traffic. By using Mobile
LiDAR Systems, the project captures detailed point cloud data, which is then
analyzed to identify and quantify the extent of rutting. This approach provides
high-precision measurements and enables continuous monitoring of road
conditions, helping in timely maintenance and improving road safety.
1- The project includes work both on the hardware and software sides.
2- It uses LiDAR sensors to create a point cloud of the environment.
3- The project uses image processing techniques to identify rutting.
4- It involves real-time detection and measurement of the rutting.
5- It involves detection of cracks and pot-holes on the road.
6- The project uses location services to geo-tag the data.
7- It incorporates crowd-sensing technologies to broadcast real-time data to be used and updated by multiple agents.
8- The data can be accessed by other agents and people concerned, in real-time over the internet.</v>
      </c>
      <c r="D71" s="12" t="str">
        <f ca="1">IFERROR(__xludf.DUMMYFUNCTION("""COMPUTED_VALUE"""),"Dr. Hammad Majeed")</f>
        <v>Dr. Hammad Majeed</v>
      </c>
      <c r="E71" s="12" t="str">
        <f ca="1">IFERROR(__xludf.DUMMYFUNCTION("""COMPUTED_VALUE"""),"Mr. Muhammad Farrukh Bashir")</f>
        <v>Mr. Muhammad Farrukh Bashir</v>
      </c>
      <c r="F71" s="12" t="str">
        <f ca="1">IFERROR(__xludf.DUMMYFUNCTION("""COMPUTED_VALUE"""),"Ali Abdullah Syed")</f>
        <v>Ali Abdullah Syed</v>
      </c>
      <c r="G71" s="12" t="str">
        <f ca="1">IFERROR(__xludf.DUMMYFUNCTION("""COMPUTED_VALUE"""),"i210256")</f>
        <v>i210256</v>
      </c>
      <c r="H71" s="12" t="str">
        <f ca="1">IFERROR(__xludf.DUMMYFUNCTION("""COMPUTED_VALUE"""),"Muhammad Qasim Jalil")</f>
        <v>Muhammad Qasim Jalil</v>
      </c>
      <c r="I71" s="12" t="str">
        <f ca="1">IFERROR(__xludf.DUMMYFUNCTION("""COMPUTED_VALUE"""),"i210255")</f>
        <v>i210255</v>
      </c>
      <c r="J71" s="12" t="str">
        <f ca="1">IFERROR(__xludf.DUMMYFUNCTION("""COMPUTED_VALUE"""),"Talal Ahmed Khan")</f>
        <v>Talal Ahmed Khan</v>
      </c>
      <c r="K71" s="12" t="str">
        <f ca="1">IFERROR(__xludf.DUMMYFUNCTION("""COMPUTED_VALUE"""),"i211106")</f>
        <v>i211106</v>
      </c>
    </row>
    <row r="72" spans="1:11" ht="216.75">
      <c r="A72" s="12" t="str">
        <f ca="1">IFERROR(__xludf.DUMMYFUNCTION("""COMPUTED_VALUE"""),"F24-072-D-AIMaritimeAwareness")</f>
        <v>F24-072-D-AIMaritimeAwareness</v>
      </c>
      <c r="B72" s="13" t="str">
        <f ca="1">IFERROR(__xludf.DUMMYFUNCTION("""COMPUTED_VALUE"""),"Real Time Safe Path Finder For Tourism")</f>
        <v>Real Time Safe Path Finder For Tourism</v>
      </c>
      <c r="C72" s="14" t="str">
        <f ca="1">IFERROR(__xludf.DUMMYFUNCTION("""COMPUTED_VALUE"""),"The ""Real-Time Safe Path Finder for Tourism"" project seeks to develop an innovative system designed to enhance tourist safety by leveraging real-time social media data. This system will analyze posts and updates related to natural hazards, security inci"&amp;"dents, and other safety concerns to dynamically evaluate and recommend safe travel routes. By integrating this information, the system helps tourists navigate potential dangers, avoid hazardous areas, and make informed decisions for a more secure and enjo"&amp;"yable travel experience.
Key Features:
Real-time monitoring of social media platforms for safety-related posts.
Dynamic route assessment based on recent updates and hazard reports.
Customizable safety alerts for specific areas or travel routes.
Interacti"&amp;"ve map integration showing safe and unsafe zones.
Historical data analysis to predict potential risk patterns.
User feedback system to validate and improve safety recommendations.
Integration with GPS for real-time navigation guidance.
Emergency contact f"&amp;"eatures for quick assistance.")</f>
        <v>The "Real-Time Safe Path Finder for Tourism" project seeks to develop an innovative system designed to enhance tourist safety by leveraging real-time social media data. This system will analyze posts and updates related to natural hazards, security incidents, and other safety concerns to dynamically evaluate and recommend safe travel routes. By integrating this information, the system helps tourists navigate potential dangers, avoid hazardous areas, and make informed decisions for a more secure and enjoyable travel experience.
Key Features:
Real-time monitoring of social media platforms for safety-related posts.
Dynamic route assessment based on recent updates and hazard reports.
Customizable safety alerts for specific areas or travel routes.
Interactive map integration showing safe and unsafe zones.
Historical data analysis to predict potential risk patterns.
User feedback system to validate and improve safety recommendations.
Integration with GPS for real-time navigation guidance.
Emergency contact features for quick assistance.</v>
      </c>
      <c r="D72" s="15" t="str">
        <f ca="1">IFERROR(__xludf.DUMMYFUNCTION("""COMPUTED_VALUE"""),"Dr. Amna Basharat")</f>
        <v>Dr. Amna Basharat</v>
      </c>
      <c r="E72" s="12"/>
      <c r="F72" s="12" t="str">
        <f ca="1">IFERROR(__xludf.DUMMYFUNCTION("""COMPUTED_VALUE"""),"Hassan Saeed")</f>
        <v>Hassan Saeed</v>
      </c>
      <c r="G72" s="12" t="str">
        <f ca="1">IFERROR(__xludf.DUMMYFUNCTION("""COMPUTED_VALUE"""),"i211703")</f>
        <v>i211703</v>
      </c>
      <c r="H72" s="12" t="str">
        <f ca="1">IFERROR(__xludf.DUMMYFUNCTION("""COMPUTED_VALUE"""),"Abdul Rahman")</f>
        <v>Abdul Rahman</v>
      </c>
      <c r="I72" s="12" t="str">
        <f ca="1">IFERROR(__xludf.DUMMYFUNCTION("""COMPUTED_VALUE"""),"i211731")</f>
        <v>i211731</v>
      </c>
      <c r="J72" s="12" t="str">
        <f ca="1">IFERROR(__xludf.DUMMYFUNCTION("""COMPUTED_VALUE"""),"Mohammad Omer Aamir     ")</f>
        <v xml:space="preserve">Mohammad Omer Aamir     </v>
      </c>
      <c r="K72" s="12" t="str">
        <f ca="1">IFERROR(__xludf.DUMMYFUNCTION("""COMPUTED_VALUE"""),"i211753")</f>
        <v>i211753</v>
      </c>
    </row>
    <row r="73" spans="1:11" ht="102">
      <c r="A73" s="12" t="str">
        <f ca="1">IFERROR(__xludf.DUMMYFUNCTION("""COMPUTED_VALUE"""),"F24-073-D-EDBot")</f>
        <v>F24-073-D-EDBot</v>
      </c>
      <c r="B73" s="13" t="str">
        <f ca="1">IFERROR(__xludf.DUMMYFUNCTION("""COMPUTED_VALUE"""),"Doctor Ai - virtual psychologist. ")</f>
        <v xml:space="preserve">Doctor Ai - virtual psychologist. </v>
      </c>
      <c r="C73" s="14" t="str">
        <f ca="1">IFERROR(__xludf.DUMMYFUNCTION("""COMPUTED_VALUE"""),"The ""Ai driven mental health web app"" named Doctor AI is a user-friendly online platform designed to make mental health support more accessible and personalized. By leveraging advanced NLP and AI, this system functions as a virtual psychologist. It feat"&amp;"ures an intelligent chatbot capable of performing initial mental health assessments, offering guidance, and providing conversational support. Additionally, a recommendation engine helps users find tailored mental health resources and connect with professi"&amp;"onals. With a focus on privacy and ease of use, this platform aims to be a reliable and comprehensive tool for anyone seeking mental health assistance.")</f>
        <v>The "Ai driven mental health web app" named Doctor AI is a user-friendly online platform designed to make mental health support more accessible and personalized. By leveraging advanced NLP and AI, this system functions as a virtual psychologist. It features an intelligent chatbot capable of performing initial mental health assessments, offering guidance, and providing conversational support. Additionally, a recommendation engine helps users find tailored mental health resources and connect with professionals. With a focus on privacy and ease of use, this platform aims to be a reliable and comprehensive tool for anyone seeking mental health assistance.</v>
      </c>
      <c r="D73" s="12" t="str">
        <f ca="1">IFERROR(__xludf.DUMMYFUNCTION("""COMPUTED_VALUE"""),"Dr. Asif Muhammad")</f>
        <v>Dr. Asif Muhammad</v>
      </c>
      <c r="E73" s="12" t="str">
        <f ca="1">IFERROR(__xludf.DUMMYFUNCTION("""COMPUTED_VALUE"""),"Dr. Ramoza Ahsan")</f>
        <v>Dr. Ramoza Ahsan</v>
      </c>
      <c r="F73" s="12" t="str">
        <f ca="1">IFERROR(__xludf.DUMMYFUNCTION("""COMPUTED_VALUE"""),"Ayera Fatima")</f>
        <v>Ayera Fatima</v>
      </c>
      <c r="G73" s="12" t="str">
        <f ca="1">IFERROR(__xludf.DUMMYFUNCTION("""COMPUTED_VALUE"""),"i211677")</f>
        <v>i211677</v>
      </c>
      <c r="H73" s="12" t="str">
        <f ca="1">IFERROR(__xludf.DUMMYFUNCTION("""COMPUTED_VALUE"""),"Eisha Haroon")</f>
        <v>Eisha Haroon</v>
      </c>
      <c r="I73" s="12" t="str">
        <f ca="1">IFERROR(__xludf.DUMMYFUNCTION("""COMPUTED_VALUE"""),"i212663")</f>
        <v>i212663</v>
      </c>
      <c r="J73" s="12" t="str">
        <f ca="1">IFERROR(__xludf.DUMMYFUNCTION("""COMPUTED_VALUE"""),"Raffay Ahmed")</f>
        <v>Raffay Ahmed</v>
      </c>
      <c r="K73" s="12" t="str">
        <f ca="1">IFERROR(__xludf.DUMMYFUNCTION("""COMPUTED_VALUE"""),"i211674")</f>
        <v>i211674</v>
      </c>
    </row>
    <row r="74" spans="1:11" ht="216.75">
      <c r="A74" s="12" t="str">
        <f ca="1">IFERROR(__xludf.DUMMYFUNCTION("""COMPUTED_VALUE"""),"F24-074-D-DiagnoVision")</f>
        <v>F24-074-D-DiagnoVision</v>
      </c>
      <c r="B74" s="13" t="str">
        <f ca="1">IFERROR(__xludf.DUMMYFUNCTION("""COMPUTED_VALUE"""),"AI-Powered Health Diagnosis Chatbot with Machine Learning and Computer Vision")</f>
        <v>AI-Powered Health Diagnosis Chatbot with Machine Learning and Computer Vision</v>
      </c>
      <c r="C74" s="14" t="str">
        <f ca="1">IFERROR(__xludf.DUMMYFUNCTION("""COMPUTED_VALUE"""),"The AI-Powered Health Diagnosis Chatbot is a web/mobile application designed to help users identify potential medical conditions based on their symptoms. By utilizing machine learning algorithms and computer vision technologies, the chatbot provides preli"&amp;"minary health assessments and guidance. The project aims to make health information more accessible, reduce unnecessary doctor visits, and ensure user data privacy.
Key Features:
1-Symptom-Based Health Assessment
2-Computer Vision Integration
3-Personali"&amp;"zed Health Advice
4-Multi-Language Support
5-Secure Data Management
6-Medical History Tracking
7-24/7 Accessibility
8-User-Friendly Interface
9-Integration with Health Devices
10-Scalable Infrastructure
")</f>
        <v xml:space="preserve">The AI-Powered Health Diagnosis Chatbot is a web/mobile application designed to help users identify potential medical conditions based on their symptoms. By utilizing machine learning algorithms and computer vision technologies, the chatbot provides preliminary health assessments and guidance. The project aims to make health information more accessible, reduce unnecessary doctor visits, and ensure user data privacy.
Key Features:
1-Symptom-Based Health Assessment
2-Computer Vision Integration
3-Personalized Health Advice
4-Multi-Language Support
5-Secure Data Management
6-Medical History Tracking
7-24/7 Accessibility
8-User-Friendly Interface
9-Integration with Health Devices
10-Scalable Infrastructure
</v>
      </c>
      <c r="D74" s="12" t="str">
        <f ca="1">IFERROR(__xludf.DUMMYFUNCTION("""COMPUTED_VALUE"""),"Ms. Marium Hida")</f>
        <v>Ms. Marium Hida</v>
      </c>
      <c r="E74" s="12" t="str">
        <f ca="1">IFERROR(__xludf.DUMMYFUNCTION("""COMPUTED_VALUE"""),"Ms. Zonera Anjum")</f>
        <v>Ms. Zonera Anjum</v>
      </c>
      <c r="F74" s="12" t="str">
        <f ca="1">IFERROR(__xludf.DUMMYFUNCTION("""COMPUTED_VALUE"""),"Hamdan Jamal")</f>
        <v>Hamdan Jamal</v>
      </c>
      <c r="G74" s="12" t="str">
        <f ca="1">IFERROR(__xludf.DUMMYFUNCTION("""COMPUTED_VALUE"""),"i210724")</f>
        <v>i210724</v>
      </c>
      <c r="H74" s="12" t="str">
        <f ca="1">IFERROR(__xludf.DUMMYFUNCTION("""COMPUTED_VALUE"""),"Ahmad Ali")</f>
        <v>Ahmad Ali</v>
      </c>
      <c r="I74" s="12" t="str">
        <f ca="1">IFERROR(__xludf.DUMMYFUNCTION("""COMPUTED_VALUE"""),"i210655")</f>
        <v>i210655</v>
      </c>
      <c r="J74" s="12" t="str">
        <f ca="1">IFERROR(__xludf.DUMMYFUNCTION("""COMPUTED_VALUE"""),"Talha Javaid")</f>
        <v>Talha Javaid</v>
      </c>
      <c r="K74" s="12" t="str">
        <f ca="1">IFERROR(__xludf.DUMMYFUNCTION("""COMPUTED_VALUE"""),"i212565")</f>
        <v>i212565</v>
      </c>
    </row>
    <row r="75" spans="1:11" ht="255">
      <c r="A75" s="12" t="str">
        <f ca="1">IFERROR(__xludf.DUMMYFUNCTION("""COMPUTED_VALUE"""),"F24-075-D-NutriGen")</f>
        <v>F24-075-D-NutriGen</v>
      </c>
      <c r="B75" s="13" t="str">
        <f ca="1">IFERROR(__xludf.DUMMYFUNCTION("""COMPUTED_VALUE"""),"NutriGen: Personalized Nutrition Through Genetic Insights and AI")</f>
        <v>NutriGen: Personalized Nutrition Through Genetic Insights and AI</v>
      </c>
      <c r="C75" s="14" t="str">
        <f ca="1">IFERROR(__xludf.DUMMYFUNCTION("""COMPUTED_VALUE"""),"NutriGen is a cutting-edge platform designed to deliver personalized nutrition plans based on genetic analysis and advanced AI algorithms. By integrating user-submitted DNA samples with real-time health data, NutriGen creates tailored dietary recommendati"&amp;"ons that cater to individual genetic profiles and health goals. The project encompasses a user-friendly interface for genetic testing, AI-driven meal planning, and comprehensive health tracking, offering a holistic approach to nutrition and wellness. Key "&amp;"features include interactive chat support, personalized nutrition plans, and integration with health wearables, all aimed at enhancing user health and well-being through informed dietary choices.
Key Features:
1. Chatbot-Driven Genetic Testing Integratio"&amp;"n
2. Personalized Nutritionist Recommendation Engine 
3. AI-Powered Nutrition Plans
4. Holistic Health Dashboard
5. Dynamic Goal Setting and Progress Tracking
6. Meal Planning and Recipes
7. AI-Driven Grocery Shopping Assistant
8. Food Sensitivity and All"&amp;"ergy Management
9. Integration with Wearables and Health Apps
10. Real-Time Health Monitoring and Alerts")</f>
        <v>NutriGen is a cutting-edge platform designed to deliver personalized nutrition plans based on genetic analysis and advanced AI algorithms. By integrating user-submitted DNA samples with real-time health data, NutriGen creates tailored dietary recommendations that cater to individual genetic profiles and health goals. The project encompasses a user-friendly interface for genetic testing, AI-driven meal planning, and comprehensive health tracking, offering a holistic approach to nutrition and wellness. Key features include interactive chat support, personalized nutrition plans, and integration with health wearables, all aimed at enhancing user health and well-being through informed dietary choices.
Key Features:
1. Chatbot-Driven Genetic Testing Integration
2. Personalized Nutritionist Recommendation Engine 
3. AI-Powered Nutrition Plans
4. Holistic Health Dashboard
5. Dynamic Goal Setting and Progress Tracking
6. Meal Planning and Recipes
7. AI-Driven Grocery Shopping Assistant
8. Food Sensitivity and Allergy Management
9. Integration with Wearables and Health Apps
10. Real-Time Health Monitoring and Alerts</v>
      </c>
      <c r="D75" s="12" t="str">
        <f ca="1">IFERROR(__xludf.DUMMYFUNCTION("""COMPUTED_VALUE"""),"Ms. Nirmal Tariq")</f>
        <v>Ms. Nirmal Tariq</v>
      </c>
      <c r="E75" s="12" t="str">
        <f ca="1">IFERROR(__xludf.DUMMYFUNCTION("""COMPUTED_VALUE"""),"Mr. Pir Sami Ullah Shah")</f>
        <v>Mr. Pir Sami Ullah Shah</v>
      </c>
      <c r="F75" s="12" t="str">
        <f ca="1">IFERROR(__xludf.DUMMYFUNCTION("""COMPUTED_VALUE"""),"Kashan Ali")</f>
        <v>Kashan Ali</v>
      </c>
      <c r="G75" s="12" t="str">
        <f ca="1">IFERROR(__xludf.DUMMYFUNCTION("""COMPUTED_VALUE"""),"i202421")</f>
        <v>i202421</v>
      </c>
      <c r="H75" s="12" t="str">
        <f ca="1">IFERROR(__xludf.DUMMYFUNCTION("""COMPUTED_VALUE"""),"Hammad Kabir")</f>
        <v>Hammad Kabir</v>
      </c>
      <c r="I75" s="12" t="str">
        <f ca="1">IFERROR(__xludf.DUMMYFUNCTION("""COMPUTED_VALUE"""),"i202480")</f>
        <v>i202480</v>
      </c>
      <c r="J75" s="12" t="str">
        <f ca="1">IFERROR(__xludf.DUMMYFUNCTION("""COMPUTED_VALUE"""),"Hamza Shahid")</f>
        <v>Hamza Shahid</v>
      </c>
      <c r="K75" s="12" t="str">
        <f ca="1">IFERROR(__xludf.DUMMYFUNCTION("""COMPUTED_VALUE"""),"i210815")</f>
        <v>i210815</v>
      </c>
    </row>
    <row r="76" spans="1:11" ht="331.5">
      <c r="A76" s="12" t="str">
        <f ca="1">IFERROR(__xludf.DUMMYFUNCTION("""COMPUTED_VALUE"""),"F24-076-D-SafeRouteXplorer")</f>
        <v>F24-076-D-SafeRouteXplorer</v>
      </c>
      <c r="B76" s="13" t="str">
        <f ca="1">IFERROR(__xludf.DUMMYFUNCTION("""COMPUTED_VALUE"""),"newsNexus: AI-Powered Chatbot for Personalized News and Informed Discussions")</f>
        <v>newsNexus: AI-Powered Chatbot for Personalized News and Informed Discussions</v>
      </c>
      <c r="C76" s="14" t="str">
        <f ca="1">IFERROR(__xludf.DUMMYFUNCTION("""COMPUTED_VALUE"""),"The newsNexus project aims to develop a conversational AI assistant that provides users with personalized news updates, in-depth articles, and real-time information on various topics, including politics, entertainment, sports, and more. The chatbot will b"&amp;"e designed to learn users' preferences and tailor its responses to their interests, offering a unique and engaging news consumption experience.
Below are some features:
1. Personalized news feed: Users receive customized news updates based on their inte"&amp;"rests.
2. Real-time news updates: The chatbot provides the latest news as it happens.
3. Article summaries: Users can request concise summaries of in-depth articles.
4. Topic-based news: Users can ask for news on specific topics, such as politics or sport"&amp;"s.
5. Source selection: Users can choose their preferred news sources.
6. Search functionality: Users can search for specific news articles or topics.
7. News categorization: News articles are categorized by topic, making it easy to find related content.
"&amp;"8. User profiling: The chatbot learns users' preferences and adjusts its responses accordingly.
9. Natural Language Processing (NLP): The chatbot understands and responds to user queries in natural language.
10. Integration with news: The chatbot aggregat"&amp;"es news from multiple sources, ensuring a diverse range of perspectives.
11. History: users past search history will also be available and it will also have saved responses. 
12. Audio: audio integration will also be available to record the query a user h"&amp;"ave.
 ")</f>
        <v xml:space="preserve">The newsNexus project aims to develop a conversational AI assistant that provides users with personalized news updates, in-depth articles, and real-time information on various topics, including politics, entertainment, sports, and more. The chatbot will be designed to learn users' preferences and tailor its responses to their interests, offering a unique and engaging news consumption experience.
Below are some features:
1. Personalized news feed: Users receive customized news updates based on their interests.
2. Real-time news updates: The chatbot provides the latest news as it happens.
3. Article summaries: Users can request concise summaries of in-depth articles.
4. Topic-based news: Users can ask for news on specific topics, such as politics or sports.
5. Source selection: Users can choose their preferred news sources.
6. Search functionality: Users can search for specific news articles or topics.
7. News categorization: News articles are categorized by topic, making it easy to find related content.
8. User profiling: The chatbot learns users' preferences and adjusts its responses accordingly.
9. Natural Language Processing (NLP): The chatbot understands and responds to user queries in natural language.
10. Integration with news: The chatbot aggregates news from multiple sources, ensuring a diverse range of perspectives.
11. History: users past search history will also be available and it will also have saved responses. 
12. Audio: audio integration will also be available to record the query a user have.
 </v>
      </c>
      <c r="D76" s="15" t="str">
        <f ca="1">IFERROR(__xludf.DUMMYFUNCTION("""COMPUTED_VALUE"""),"Dr. Zeshan Khan")</f>
        <v>Dr. Zeshan Khan</v>
      </c>
      <c r="E76" s="12"/>
      <c r="F76" s="12" t="str">
        <f ca="1">IFERROR(__xludf.DUMMYFUNCTION("""COMPUTED_VALUE"""),"Syeda Kisaa Fatima ")</f>
        <v xml:space="preserve">Syeda Kisaa Fatima </v>
      </c>
      <c r="G76" s="12" t="str">
        <f ca="1">IFERROR(__xludf.DUMMYFUNCTION("""COMPUTED_VALUE"""),"i212682")</f>
        <v>i212682</v>
      </c>
      <c r="H76" s="12" t="str">
        <f ca="1">IFERROR(__xludf.DUMMYFUNCTION("""COMPUTED_VALUE"""),"Fahad Ramzan ")</f>
        <v xml:space="preserve">Fahad Ramzan </v>
      </c>
      <c r="I76" s="12" t="str">
        <f ca="1">IFERROR(__xludf.DUMMYFUNCTION("""COMPUTED_VALUE"""),"i212657")</f>
        <v>i212657</v>
      </c>
      <c r="J76" s="12" t="str">
        <f ca="1">IFERROR(__xludf.DUMMYFUNCTION("""COMPUTED_VALUE"""),"Qasim Rizwan")</f>
        <v>Qasim Rizwan</v>
      </c>
      <c r="K76" s="12" t="str">
        <f ca="1">IFERROR(__xludf.DUMMYFUNCTION("""COMPUTED_VALUE"""),"i212678")</f>
        <v>i212678</v>
      </c>
    </row>
    <row r="77" spans="1:11" ht="331.5">
      <c r="A77" s="12" t="str">
        <f ca="1">IFERROR(__xludf.DUMMYFUNCTION("""COMPUTED_VALUE"""),"F24-077-D-PhysiQuestVR")</f>
        <v>F24-077-D-PhysiQuestVR</v>
      </c>
      <c r="B77" s="13" t="str">
        <f ca="1">IFERROR(__xludf.DUMMYFUNCTION("""COMPUTED_VALUE"""),"Enhancing Physics Education Through Gamified Virtual Reality: A Unity-Based Solution")</f>
        <v>Enhancing Physics Education Through Gamified Virtual Reality: A Unity-Based Solution</v>
      </c>
      <c r="C77" s="14" t="str">
        <f ca="1">IFERROR(__xludf.DUMMYFUNCTION("""COMPUTED_VALUE"""),"This project develops a VR game that uses gamification to teach middle and high school students complex physics concepts. Built with Unity, the game offers immersive mini-games covering key physics topics and integrates AI for personalized learning and re"&amp;"al-time feedback. It provides a scalable, cost-effective solution for schools with limited lab resources, enhancing student engagement and understanding of physics.
Features:
1. Interactive Mini-Games: Focused on teaching complex physics concepts throug"&amp;"h engaging, hands-on activities.
2. AI-Driven Personalisation: Adapts content and difficulty levels based on each student’s learning progress.
3. Real-Time Feedback: Provides instant feedback and hints to help students grasp difficult concepts more effect"&amp;"ively.
4.  Predictive Analytics: AI analyzes user data to predict learning challenges and areas requiring more focus.
5. Chatbot Assistance: An integrated chatbot offers real-time help and explanations during gameplay.
6. Immersive 3D Environment: High-qu"&amp;"ality visuals and animations to enhance the learning experience.
7.  Scalability: Designed for use in various educational settings, including schools with limited resources.
8. Comprehensive Physics Coverage: Includes a broad range of physics topics, from"&amp;" mechanics to electromagnetism.
9. User Testing and Iteration: Regular feedback-driven testing to ensure an effective and user-friendly experience.")</f>
        <v>This project develops a VR game that uses gamification to teach middle and high school students complex physics concepts. Built with Unity, the game offers immersive mini-games covering key physics topics and integrates AI for personalized learning and real-time feedback. It provides a scalable, cost-effective solution for schools with limited lab resources, enhancing student engagement and understanding of physics.
Features:
1. Interactive Mini-Games: Focused on teaching complex physics concepts through engaging, hands-on activities.
2. AI-Driven Personalisation: Adapts content and difficulty levels based on each student’s learning progress.
3. Real-Time Feedback: Provides instant feedback and hints to help students grasp difficult concepts more effectively.
4.  Predictive Analytics: AI analyzes user data to predict learning challenges and areas requiring more focus.
5. Chatbot Assistance: An integrated chatbot offers real-time help and explanations during gameplay.
6. Immersive 3D Environment: High-quality visuals and animations to enhance the learning experience.
7.  Scalability: Designed for use in various educational settings, including schools with limited resources.
8. Comprehensive Physics Coverage: Includes a broad range of physics topics, from mechanics to electromagnetism.
9. User Testing and Iteration: Regular feedback-driven testing to ensure an effective and user-friendly experience.</v>
      </c>
      <c r="D77" s="12" t="str">
        <f ca="1">IFERROR(__xludf.DUMMYFUNCTION("""COMPUTED_VALUE"""),"Mr. Shams Farooq")</f>
        <v>Mr. Shams Farooq</v>
      </c>
      <c r="E77" s="12" t="str">
        <f ca="1">IFERROR(__xludf.DUMMYFUNCTION("""COMPUTED_VALUE"""),"Mr. Usama Bin Imran")</f>
        <v>Mr. Usama Bin Imran</v>
      </c>
      <c r="F77" s="12" t="str">
        <f ca="1">IFERROR(__xludf.DUMMYFUNCTION("""COMPUTED_VALUE"""),"Zoya Arif Kazmi")</f>
        <v>Zoya Arif Kazmi</v>
      </c>
      <c r="G77" s="12" t="str">
        <f ca="1">IFERROR(__xludf.DUMMYFUNCTION("""COMPUTED_VALUE"""),"i211515")</f>
        <v>i211515</v>
      </c>
      <c r="H77" s="12" t="str">
        <f ca="1">IFERROR(__xludf.DUMMYFUNCTION("""COMPUTED_VALUE"""),"Ushna Nadeem")</f>
        <v>Ushna Nadeem</v>
      </c>
      <c r="I77" s="12" t="str">
        <f ca="1">IFERROR(__xludf.DUMMYFUNCTION("""COMPUTED_VALUE"""),"i211225")</f>
        <v>i211225</v>
      </c>
      <c r="J77" s="12" t="str">
        <f ca="1">IFERROR(__xludf.DUMMYFUNCTION("""COMPUTED_VALUE"""),"Hassan Rafiq")</f>
        <v>Hassan Rafiq</v>
      </c>
      <c r="K77" s="12" t="str">
        <f ca="1">IFERROR(__xludf.DUMMYFUNCTION("""COMPUTED_VALUE"""),"i200734")</f>
        <v>i200734</v>
      </c>
    </row>
    <row r="78" spans="1:11" ht="216.75">
      <c r="A78" s="12" t="str">
        <f ca="1">IFERROR(__xludf.DUMMYFUNCTION("""COMPUTED_VALUE"""),"F24-078-D-VirtualTour")</f>
        <v>F24-078-D-VirtualTour</v>
      </c>
      <c r="B78" s="13" t="str">
        <f ca="1">IFERROR(__xludf.DUMMYFUNCTION("""COMPUTED_VALUE"""),"Virtual 3D Tour ")</f>
        <v xml:space="preserve">Virtual 3D Tour </v>
      </c>
      <c r="C78" s="14" t="str">
        <f ca="1">IFERROR(__xludf.DUMMYFUNCTION("""COMPUTED_VALUE"""),"This project aims to develop a system that transforms 2D images into immersive 3D visuals to enhance the experience of tourists using a real-time pathfinder application. By leveraging advanced machine learning techniques, such as Convolutional Neural Netw"&amp;"orks (CNN) for image embedding and Large Language Models (LLM) for prompt generation, the system interprets and converts images into descriptive prompts, which are then used to generate photorealistic 3D scenes through Neural Radiance Fields (NeRF). The f"&amp;"inal product will offer tourists a visually engaging and interactive way to explore and navigate their destinations, providing them with detailed 3D views of paths, landmarks, and other points of interest
key features :
1)Image to Embedding Conversion
2)P"&amp;"rompt Generation
3)3D Visualization
4)Real-Time Processing
5)Interactive 3D Environment
6)Customizable Views
7)Scalable Architecture:
8)High-Resolution Output")</f>
        <v>This project aims to develop a system that transforms 2D images into immersive 3D visuals to enhance the experience of tourists using a real-time pathfinder application. By leveraging advanced machine learning techniques, such as Convolutional Neural Networks (CNN) for image embedding and Large Language Models (LLM) for prompt generation, the system interprets and converts images into descriptive prompts, which are then used to generate photorealistic 3D scenes through Neural Radiance Fields (NeRF). The final product will offer tourists a visually engaging and interactive way to explore and navigate their destinations, providing them with detailed 3D views of paths, landmarks, and other points of interest
key features :
1)Image to Embedding Conversion
2)Prompt Generation
3)3D Visualization
4)Real-Time Processing
5)Interactive 3D Environment
6)Customizable Views
7)Scalable Architecture:
8)High-Resolution Output</v>
      </c>
      <c r="D78" s="12" t="str">
        <f ca="1">IFERROR(__xludf.DUMMYFUNCTION("""COMPUTED_VALUE"""),"Dr. Zeshan Khan")</f>
        <v>Dr. Zeshan Khan</v>
      </c>
      <c r="E78" s="12"/>
      <c r="F78" s="12" t="str">
        <f ca="1">IFERROR(__xludf.DUMMYFUNCTION("""COMPUTED_VALUE"""),"senan faisal ")</f>
        <v xml:space="preserve">senan faisal </v>
      </c>
      <c r="G78" s="12" t="str">
        <f ca="1">IFERROR(__xludf.DUMMYFUNCTION("""COMPUTED_VALUE"""),"i211546")</f>
        <v>i211546</v>
      </c>
      <c r="H78" s="12" t="str">
        <f ca="1">IFERROR(__xludf.DUMMYFUNCTION("""COMPUTED_VALUE"""),"Dabeer ul haq")</f>
        <v>Dabeer ul haq</v>
      </c>
      <c r="I78" s="12" t="str">
        <f ca="1">IFERROR(__xludf.DUMMYFUNCTION("""COMPUTED_VALUE"""),"i211518")</f>
        <v>i211518</v>
      </c>
      <c r="J78" s="12" t="str">
        <f ca="1">IFERROR(__xludf.DUMMYFUNCTION("""COMPUTED_VALUE"""),"Saad Ahsan")</f>
        <v>Saad Ahsan</v>
      </c>
      <c r="K78" s="12" t="str">
        <f ca="1">IFERROR(__xludf.DUMMYFUNCTION("""COMPUTED_VALUE"""),"i212965")</f>
        <v>i212965</v>
      </c>
    </row>
    <row r="79" spans="1:11" ht="216.75">
      <c r="A79" s="12" t="str">
        <f ca="1">IFERROR(__xludf.DUMMYFUNCTION("""COMPUTED_VALUE"""),"F24-079-D-RideMatch")</f>
        <v>F24-079-D-RideMatch</v>
      </c>
      <c r="B79" s="13" t="str">
        <f ca="1">IFERROR(__xludf.DUMMYFUNCTION("""COMPUTED_VALUE"""),"RideMatch")</f>
        <v>RideMatch</v>
      </c>
      <c r="C79" s="14" t="str">
        <f ca="1">IFERROR(__xludf.DUMMYFUNCTION("""COMPUTED_VALUE"""),"RideMatch is a prototype application designed specifically for students to connect with others traveling on similar routes, allowing them to pool rides and share transportation costs. Beyond its core ride-matching functionality, the app also helps student"&amp;"s find lifts and offers an additional feature for connecting students based on shared interests, independent of their travel plans.
Features:
-Facilitating ride-sharing among users
-Assisting students in finding lifts
-Connecting students for social inte"&amp;"ractions
-Comparing matches based on various routes
-Integrating user preferences for personalized matching
-Secure cloud-based data storage
-Intuitive and user-friendly interface
-Verification of user profiles for safety
-Timely notifications and alerts
"&amp;"-User reviews and ratings")</f>
        <v>RideMatch is a prototype application designed specifically for students to connect with others traveling on similar routes, allowing them to pool rides and share transportation costs. Beyond its core ride-matching functionality, the app also helps students find lifts and offers an additional feature for connecting students based on shared interests, independent of their travel plans.
Features:
-Facilitating ride-sharing among users
-Assisting students in finding lifts
-Connecting students for social interactions
-Comparing matches based on various routes
-Integrating user preferences for personalized matching
-Secure cloud-based data storage
-Intuitive and user-friendly interface
-Verification of user profiles for safety
-Timely notifications and alerts
-User reviews and ratings</v>
      </c>
      <c r="D79" s="12" t="str">
        <f ca="1">IFERROR(__xludf.DUMMYFUNCTION("""COMPUTED_VALUE"""),"Dr. Syed Qaiser Ali Shah")</f>
        <v>Dr. Syed Qaiser Ali Shah</v>
      </c>
      <c r="E79" s="12"/>
      <c r="F79" s="12" t="str">
        <f ca="1">IFERROR(__xludf.DUMMYFUNCTION("""COMPUTED_VALUE"""),"Sameer Tahir")</f>
        <v>Sameer Tahir</v>
      </c>
      <c r="G79" s="12" t="str">
        <f ca="1">IFERROR(__xludf.DUMMYFUNCTION("""COMPUTED_VALUE"""),"i200455")</f>
        <v>i200455</v>
      </c>
      <c r="H79" s="12" t="str">
        <f ca="1">IFERROR(__xludf.DUMMYFUNCTION("""COMPUTED_VALUE"""),"Sayyed Muhammad Hasnain Jafri")</f>
        <v>Sayyed Muhammad Hasnain Jafri</v>
      </c>
      <c r="I79" s="12" t="str">
        <f ca="1">IFERROR(__xludf.DUMMYFUNCTION("""COMPUTED_VALUE"""),"k213116")</f>
        <v>k213116</v>
      </c>
      <c r="J79" s="12" t="str">
        <f ca="1">IFERROR(__xludf.DUMMYFUNCTION("""COMPUTED_VALUE"""),"Hamzah Ahmad")</f>
        <v>Hamzah Ahmad</v>
      </c>
      <c r="K79" s="12" t="str">
        <f ca="1">IFERROR(__xludf.DUMMYFUNCTION("""COMPUTED_VALUE"""),"i210254")</f>
        <v>i210254</v>
      </c>
    </row>
    <row r="80" spans="1:11" ht="229.5">
      <c r="A80" s="12" t="str">
        <f ca="1">IFERROR(__xludf.DUMMYFUNCTION("""COMPUTED_VALUE"""),"F24-080-D-LeafSpec")</f>
        <v>F24-080-D-LeafSpec</v>
      </c>
      <c r="B80" s="13" t="str">
        <f ca="1">IFERROR(__xludf.DUMMYFUNCTION("""COMPUTED_VALUE"""),"LeafSpec: AI-Powered Plant Species Identification Syste")</f>
        <v>LeafSpec: AI-Powered Plant Species Identification Syste</v>
      </c>
      <c r="C80" s="14" t="str">
        <f ca="1">IFERROR(__xludf.DUMMYFUNCTION("""COMPUTED_VALUE"""),"Description:
Develop a Plant Species identification system using Deep Learning techniques to analyze and classify plant species based on leaf images. The objective is to create a robust, user-friendly tool that delivers accurate and timely plant identific"&amp;"ation by analyzing leaf morphology. This system will utilize state-of-the-art convolutional neural networks (CNNs) to process and classify images, ensuring high accuracy in distinguishing between various plant species.
Features:
● Plant Specie Detection u"&amp;"sing Images.
● User Friendly Interface.
● Model provides timely responses to user queries.
● High accuracy in identifying similar plant species based on leaf morphology.
● Users can upload images of leaves from their devices or capture them using the app’"&amp;"s
camera functionality.
● A database with information on various plant species, including their common
names, scientific names, and habitat.
● Allow users to create profiles where they can save their plant identifications, and
image history.")</f>
        <v>Description:
Develop a Plant Species identification system using Deep Learning techniques to analyze and classify plant species based on leaf images. The objective is to create a robust, user-friendly tool that delivers accurate and timely plant identification by analyzing leaf morphology. This system will utilize state-of-the-art convolutional neural networks (CNNs) to process and classify images, ensuring high accuracy in distinguishing between various plant species.
Features:
● Plant Specie Detection using Images.
● User Friendly Interface.
● Model provides timely responses to user queries.
● High accuracy in identifying similar plant species based on leaf morphology.
● Users can upload images of leaves from their devices or capture them using the app’s
camera functionality.
● A database with information on various plant species, including their common
names, scientific names, and habitat.
● Allow users to create profiles where they can save their plant identifications, and
image history.</v>
      </c>
      <c r="D80" s="12" t="str">
        <f ca="1">IFERROR(__xludf.DUMMYFUNCTION("""COMPUTED_VALUE"""),"Dr. Labiba Fahad")</f>
        <v>Dr. Labiba Fahad</v>
      </c>
      <c r="E80" s="12"/>
      <c r="F80" s="12" t="str">
        <f ca="1">IFERROR(__xludf.DUMMYFUNCTION("""COMPUTED_VALUE"""),"Osama Fahim")</f>
        <v>Osama Fahim</v>
      </c>
      <c r="G80" s="12" t="str">
        <f ca="1">IFERROR(__xludf.DUMMYFUNCTION("""COMPUTED_VALUE"""),"i210439")</f>
        <v>i210439</v>
      </c>
      <c r="H80" s="12" t="str">
        <f ca="1">IFERROR(__xludf.DUMMYFUNCTION("""COMPUTED_VALUE"""),"Ahmed Rafiq")</f>
        <v>Ahmed Rafiq</v>
      </c>
      <c r="I80" s="12" t="str">
        <f ca="1">IFERROR(__xludf.DUMMYFUNCTION("""COMPUTED_VALUE"""),"i210607")</f>
        <v>i210607</v>
      </c>
      <c r="J80" s="12" t="str">
        <f ca="1">IFERROR(__xludf.DUMMYFUNCTION("""COMPUTED_VALUE"""),"Abdul Rafay")</f>
        <v>Abdul Rafay</v>
      </c>
      <c r="K80" s="12" t="str">
        <f ca="1">IFERROR(__xludf.DUMMYFUNCTION("""COMPUTED_VALUE"""),"i212582")</f>
        <v>i212582</v>
      </c>
    </row>
    <row r="81" spans="1:11" ht="229.5">
      <c r="A81" s="12" t="str">
        <f ca="1">IFERROR(__xludf.DUMMYFUNCTION("""COMPUTED_VALUE"""),"F24-081-D-newsNexus")</f>
        <v>F24-081-D-newsNexus</v>
      </c>
      <c r="B81" s="13" t="str">
        <f ca="1">IFERROR(__xludf.DUMMYFUNCTION("""COMPUTED_VALUE"""),"A blockchain-powered, true-passwordless MFA authenticator plugin.")</f>
        <v>A blockchain-powered, true-passwordless MFA authenticator plugin.</v>
      </c>
      <c r="C81" s="14" t="str">
        <f ca="1">IFERROR(__xludf.DUMMYFUNCTION("""COMPUTED_VALUE"""),"This project will develop a secure, passwordless authenticator app that utilizes blockchain technology and Dockerized deployment to provide robust security and seamless scalability. The app will offer a multi-option authentication experience as well as ad"&amp;"aptive risk authentication, enhancing user convenience and reducing login times. It will include a central dashboard for real-time monitoring and management of authentication events and device access, while also lowering IT overhead and operational costs."&amp;" Designed for easy integration with existing systems, this solution will ensure consistent and secure environments for organizations of all sizes.
FYP Key Features
- Passwordless Authentication 
- Blockchain Security
- Multi-Option Login
- Enhanced User "&amp;"Experience
- Cost and Resource Efficiency
- Centralized Monitoring
- Containerized Deployment
- Scalability and Integration")</f>
        <v>This project will develop a secure, passwordless authenticator app that utilizes blockchain technology and Dockerized deployment to provide robust security and seamless scalability. The app will offer a multi-option authentication experience as well as adaptive risk authentication, enhancing user convenience and reducing login times. It will include a central dashboard for real-time monitoring and management of authentication events and device access, while also lowering IT overhead and operational costs. Designed for easy integration with existing systems, this solution will ensure consistent and secure environments for organizations of all sizes.
FYP Key Features
- Passwordless Authentication 
- Blockchain Security
- Multi-Option Login
- Enhanced User Experience
- Cost and Resource Efficiency
- Centralized Monitoring
- Containerized Deployment
- Scalability and Integration</v>
      </c>
      <c r="D81" s="15" t="str">
        <f ca="1">IFERROR(__xludf.DUMMYFUNCTION("""COMPUTED_VALUE"""),"Ms. Ayesha Kamran")</f>
        <v>Ms. Ayesha Kamran</v>
      </c>
      <c r="E81" s="12"/>
      <c r="F81" s="12" t="str">
        <f ca="1">IFERROR(__xludf.DUMMYFUNCTION("""COMPUTED_VALUE"""),"Awais Shahid")</f>
        <v>Awais Shahid</v>
      </c>
      <c r="G81" s="12" t="str">
        <f ca="1">IFERROR(__xludf.DUMMYFUNCTION("""COMPUTED_VALUE"""),"i212764")</f>
        <v>i212764</v>
      </c>
      <c r="H81" s="12" t="str">
        <f ca="1">IFERROR(__xludf.DUMMYFUNCTION("""COMPUTED_VALUE"""),"Abdullah Abubaker")</f>
        <v>Abdullah Abubaker</v>
      </c>
      <c r="I81" s="12" t="str">
        <f ca="1">IFERROR(__xludf.DUMMYFUNCTION("""COMPUTED_VALUE"""),"i211917")</f>
        <v>i211917</v>
      </c>
      <c r="J81" s="12"/>
      <c r="K81" s="12"/>
    </row>
    <row r="82" spans="1:11" ht="293.25">
      <c r="A82" s="12" t="str">
        <f ca="1">IFERROR(__xludf.DUMMYFUNCTION("""COMPUTED_VALUE"""),"F24-082-D-VibeSync")</f>
        <v>F24-082-D-VibeSync</v>
      </c>
      <c r="B82" s="13" t="str">
        <f ca="1">IFERROR(__xludf.DUMMYFUNCTION("""COMPUTED_VALUE"""),"Music Recommendation based on video Analysis ")</f>
        <v xml:space="preserve">Music Recommendation based on video Analysis </v>
      </c>
      <c r="C82" s="14" t="str">
        <f ca="1">IFERROR(__xludf.DUMMYFUNCTION("""COMPUTED_VALUE"""),"Project Description and Scope:
The project is a background music recommendation system that analyzes videos to suggest suitable music tracks. By evaluating the content, mood, and context of a video, the system automatically selects music that enhances the"&amp;" viewer's experience. The scope includes the development of algorithms for video analysis, integration with a music library, and the creation of a user-friendly music. 
Key Features:
1. Video Content Analysis: Analyzes visual and auditory elements of the"&amp;" video to understand the context.
2. Mood Detection: Detects the mood or emotion conveyed in the video.
3. Genre Matching: Matches video content with appropriate music genres.
4. Real-time Recommendations: Provides music suggestions in real-time as the vi"&amp;"deo is being played.
5. User Preference Learning: Learns user preferences over time for personalized recommendations.
6. Music Library Integration: Integrates with an extensive music library to offer diverse options.
7. AI-Powered Algorithm: Utilizes AI t"&amp;"o improve the accuracy and relevance of music suggestions.
9. Cross-Platform Support: Available on multiple platforms, including web and mobile.
10. Seamless Integration: Easily integrates with existing video editing or streaming platforms.")</f>
        <v>Project Description and Scope:
The project is a background music recommendation system that analyzes videos to suggest suitable music tracks. By evaluating the content, mood, and context of a video, the system automatically selects music that enhances the viewer's experience. The scope includes the development of algorithms for video analysis, integration with a music library, and the creation of a user-friendly music. 
Key Features:
1. Video Content Analysis: Analyzes visual and auditory elements of the video to understand the context.
2. Mood Detection: Detects the mood or emotion conveyed in the video.
3. Genre Matching: Matches video content with appropriate music genres.
4. Real-time Recommendations: Provides music suggestions in real-time as the video is being played.
5. User Preference Learning: Learns user preferences over time for personalized recommendations.
6. Music Library Integration: Integrates with an extensive music library to offer diverse options.
7. AI-Powered Algorithm: Utilizes AI to improve the accuracy and relevance of music suggestions.
9. Cross-Platform Support: Available on multiple platforms, including web and mobile.
10. Seamless Integration: Easily integrates with existing video editing or streaming platforms.</v>
      </c>
      <c r="D82" s="12" t="str">
        <f ca="1">IFERROR(__xludf.DUMMYFUNCTION("""COMPUTED_VALUE"""),"Dr. Fehmida Usmani")</f>
        <v>Dr. Fehmida Usmani</v>
      </c>
      <c r="E82" s="12" t="str">
        <f ca="1">IFERROR(__xludf.DUMMYFUNCTION("""COMPUTED_VALUE"""),"Dr. Muhammad Arshad Islam")</f>
        <v>Dr. Muhammad Arshad Islam</v>
      </c>
      <c r="F82" s="12" t="str">
        <f ca="1">IFERROR(__xludf.DUMMYFUNCTION("""COMPUTED_VALUE"""),"Musharib Nadeem ")</f>
        <v xml:space="preserve">Musharib Nadeem </v>
      </c>
      <c r="G82" s="12" t="str">
        <f ca="1">IFERROR(__xludf.DUMMYFUNCTION("""COMPUTED_VALUE"""),"i201764")</f>
        <v>i201764</v>
      </c>
      <c r="H82" s="12" t="str">
        <f ca="1">IFERROR(__xludf.DUMMYFUNCTION("""COMPUTED_VALUE"""),"Azan Shehzad ")</f>
        <v xml:space="preserve">Azan Shehzad </v>
      </c>
      <c r="I82" s="12" t="str">
        <f ca="1">IFERROR(__xludf.DUMMYFUNCTION("""COMPUTED_VALUE"""),"i222068")</f>
        <v>i222068</v>
      </c>
      <c r="J82" s="12"/>
      <c r="K82" s="12"/>
    </row>
    <row r="83" spans="1:11" ht="216.75">
      <c r="A83" s="12" t="str">
        <f ca="1">IFERROR(__xludf.DUMMYFUNCTION("""COMPUTED_VALUE"""),"F24-083-D-Blackgate")</f>
        <v>F24-083-D-Blackgate</v>
      </c>
      <c r="B83" s="13" t="str">
        <f ca="1">IFERROR(__xludf.DUMMYFUNCTION("""COMPUTED_VALUE"""),"Next-Gen Web development: LLM based automatic code generation for web applications and Restful APIs")</f>
        <v>Next-Gen Web development: LLM based automatic code generation for web applications and Restful APIs</v>
      </c>
      <c r="C83" s="14" t="str">
        <f ca="1">IFERROR(__xludf.DUMMYFUNCTION("""COMPUTED_VALUE"""),"Our project titled as ""Next-Gen Web Development: LLM-Based Automatic Code Generation"", aims to revolutionize the way web applications and APIs are developed by leveraging Large Language Models (LLMs) to automate the code generation process. The project "&amp;"focuses on creating a system that translates class diagrams into fully functional code for web apps and APIs, significantly reducing development time and effort. By combining the power of Python and the MERN (MongoDB, Express, React, Node.js) stack, our s"&amp;"olution will provide developers with a seamless and efficient tool for building robust web applications. In addition to developing the software, we will conduct research to enhance the accuracy and efficiency of our code generation model.
Key Features
Cl"&amp;"ass Diagram to Code Translation
Python and MERN Stack Integration
Customizable Code Outputs
User-Friendly Interface
Research-Based Enhancements
Version Control Integration")</f>
        <v>Our project titled as "Next-Gen Web Development: LLM-Based Automatic Code Generation", aims to revolutionize the way web applications and APIs are developed by leveraging Large Language Models (LLMs) to automate the code generation process. The project focuses on creating a system that translates class diagrams into fully functional code for web apps and APIs, significantly reducing development time and effort. By combining the power of Python and the MERN (MongoDB, Express, React, Node.js) stack, our solution will provide developers with a seamless and efficient tool for building robust web applications. In addition to developing the software, we will conduct research to enhance the accuracy and efficiency of our code generation model.
Key Features
Class Diagram to Code Translation
Python and MERN Stack Integration
Customizable Code Outputs
User-Friendly Interface
Research-Based Enhancements
Version Control Integration</v>
      </c>
      <c r="D83" s="15" t="str">
        <f ca="1">IFERROR(__xludf.DUMMYFUNCTION("""COMPUTED_VALUE"""),"Dr. Muhammad Asim")</f>
        <v>Dr. Muhammad Asim</v>
      </c>
      <c r="E83" s="12"/>
      <c r="F83" s="12" t="str">
        <f ca="1">IFERROR(__xludf.DUMMYFUNCTION("""COMPUTED_VALUE"""),"Muhammad Ubaid Ul Rehman")</f>
        <v>Muhammad Ubaid Ul Rehman</v>
      </c>
      <c r="G83" s="12" t="str">
        <f ca="1">IFERROR(__xludf.DUMMYFUNCTION("""COMPUTED_VALUE"""),"i211749")</f>
        <v>i211749</v>
      </c>
      <c r="H83" s="12" t="str">
        <f ca="1">IFERROR(__xludf.DUMMYFUNCTION("""COMPUTED_VALUE"""),"Ahsan Nadeem")</f>
        <v>Ahsan Nadeem</v>
      </c>
      <c r="I83" s="12" t="str">
        <f ca="1">IFERROR(__xludf.DUMMYFUNCTION("""COMPUTED_VALUE"""),"i211710")</f>
        <v>i211710</v>
      </c>
      <c r="J83" s="12" t="str">
        <f ca="1">IFERROR(__xludf.DUMMYFUNCTION("""COMPUTED_VALUE"""),"Kanwar Muhammad Daniyal")</f>
        <v>Kanwar Muhammad Daniyal</v>
      </c>
      <c r="K83" s="12" t="str">
        <f ca="1">IFERROR(__xludf.DUMMYFUNCTION("""COMPUTED_VALUE"""),"i211180")</f>
        <v>i211180</v>
      </c>
    </row>
    <row r="84" spans="1:11" ht="89.25">
      <c r="A84" s="12" t="str">
        <f ca="1">IFERROR(__xludf.DUMMYFUNCTION("""COMPUTED_VALUE"""),"F24-084-R-WebCodeGen")</f>
        <v>F24-084-R-WebCodeGen</v>
      </c>
      <c r="B84" s="13" t="str">
        <f ca="1">IFERROR(__xludf.DUMMYFUNCTION("""COMPUTED_VALUE"""),"AI-Driven Decentralized Malware Detection and Analysis")</f>
        <v>AI-Driven Decentralized Malware Detection and Analysis</v>
      </c>
      <c r="C84" s="14" t="str">
        <f ca="1">IFERROR(__xludf.DUMMYFUNCTION("""COMPUTED_VALUE"""),"The project will create a PDF malware detection system using static and dynamic analysis. Users will upload PDFs via a web portal, where they can choose between static and dynamic analysis options. The system will automatically analyze the files and displ"&amp;"ay the results on-screen. The analysis insights will be visualized on dashboards and will enhance a local AI model. This local model will contribute to a global federated learning model, improving detection capabilities while ensuring that all processes a"&amp;"re fully automated and data privacy and security are maintained.")</f>
        <v>The project will create a PDF malware detection system using static and dynamic analysis. Users will upload PDFs via a web portal, where they can choose between static and dynamic analysis options. The system will automatically analyze the files and display the results on-screen. The analysis insights will be visualized on dashboards and will enhance a local AI model. This local model will contribute to a global federated learning model, improving detection capabilities while ensuring that all processes are fully automated and data privacy and security are maintained.</v>
      </c>
      <c r="D84" s="15" t="str">
        <f ca="1">IFERROR(__xludf.DUMMYFUNCTION("""COMPUTED_VALUE"""),"Mr. Irfan Ullah")</f>
        <v>Mr. Irfan Ullah</v>
      </c>
      <c r="E84" s="12" t="str">
        <f ca="1">IFERROR(__xludf.DUMMYFUNCTION("""COMPUTED_VALUE"""),"Mr. Muhammad Abdullah Abid")</f>
        <v>Mr. Muhammad Abdullah Abid</v>
      </c>
      <c r="F84" s="12" t="str">
        <f ca="1">IFERROR(__xludf.DUMMYFUNCTION("""COMPUTED_VALUE"""),"Minam Faisal")</f>
        <v>Minam Faisal</v>
      </c>
      <c r="G84" s="12" t="str">
        <f ca="1">IFERROR(__xludf.DUMMYFUNCTION("""COMPUTED_VALUE"""),"i211901")</f>
        <v>i211901</v>
      </c>
      <c r="H84" s="12" t="str">
        <f ca="1">IFERROR(__xludf.DUMMYFUNCTION("""COMPUTED_VALUE"""),"Momenah Saif")</f>
        <v>Momenah Saif</v>
      </c>
      <c r="I84" s="12" t="str">
        <f ca="1">IFERROR(__xludf.DUMMYFUNCTION("""COMPUTED_VALUE"""),"i211909")</f>
        <v>i211909</v>
      </c>
      <c r="J84" s="12"/>
      <c r="K84" s="12"/>
    </row>
    <row r="85" spans="1:11" ht="267.75">
      <c r="A85" s="12" t="str">
        <f ca="1">IFERROR(__xludf.DUMMYFUNCTION("""COMPUTED_VALUE"""),"F24-085-D-SmartLicense")</f>
        <v>F24-085-D-SmartLicense</v>
      </c>
      <c r="B85" s="13" t="str">
        <f ca="1">IFERROR(__xludf.DUMMYFUNCTION("""COMPUTED_VALUE"""),"Driver's License Testing Automation")</f>
        <v>Driver's License Testing Automation</v>
      </c>
      <c r="C85" s="14" t="str">
        <f ca="1">IFERROR(__xludf.DUMMYFUNCTION("""COMPUTED_VALUE"""),"We are developing an Automated Driver's License Testing System specifically designed for the Traffic Police, utilizing advanced artificial intelligence to automate the assessment of driving skills. The project aims to replace the traditional need for a hu"&amp;"man examiner with a system that uses cameras and sensors to evaluate a driver’s abilities under various conditions, ensuring a fair, unbiased, and precise testing process.
1. AI-Driven Evaluation: Utilizes machine learning and convolutional neural networ"&amp;"ks to assess driving performance.
2. Real-Time Monitoring: Cameras and sensors installed in the vehicle provide live feedback and capture essential data.
3. Automated Scoring: The system processes the collected data to score the driver against safe drivin"&amp;"g parameters automatically.
4. Bias Reduction: Removes human subjectivity and potential bias from the evaluation process.
5. Safety Enhancement: Conducts tests without requiring another person in the vehicle, reducing risk.
6. Efficiency and Speed: Delive"&amp;"rs immediate results, speeding up the testing process.
7. Cost Effectiveness: Reduces costs associated with human examiners.
8. Detailed Feedback: Provides specific insights into areas of improvement for each candidate.
9. Scalability: Can handle multiple"&amp;" candidates simultaneously with the same setup.")</f>
        <v>We are developing an Automated Driver's License Testing System specifically designed for the Traffic Police, utilizing advanced artificial intelligence to automate the assessment of driving skills. The project aims to replace the traditional need for a human examiner with a system that uses cameras and sensors to evaluate a driver’s abilities under various conditions, ensuring a fair, unbiased, and precise testing process.
1. AI-Driven Evaluation: Utilizes machine learning and convolutional neural networks to assess driving performance.
2. Real-Time Monitoring: Cameras and sensors installed in the vehicle provide live feedback and capture essential data.
3. Automated Scoring: The system processes the collected data to score the driver against safe driving parameters automatically.
4. Bias Reduction: Removes human subjectivity and potential bias from the evaluation process.
5. Safety Enhancement: Conducts tests without requiring another person in the vehicle, reducing risk.
6. Efficiency and Speed: Delivers immediate results, speeding up the testing process.
7. Cost Effectiveness: Reduces costs associated with human examiners.
8. Detailed Feedback: Provides specific insights into areas of improvement for each candidate.
9. Scalability: Can handle multiple candidates simultaneously with the same setup.</v>
      </c>
      <c r="D85" s="12" t="str">
        <f ca="1">IFERROR(__xludf.DUMMYFUNCTION("""COMPUTED_VALUE"""),"Dr. Shahela Saif")</f>
        <v>Dr. Shahela Saif</v>
      </c>
      <c r="E85" s="12"/>
      <c r="F85" s="12" t="str">
        <f ca="1">IFERROR(__xludf.DUMMYFUNCTION("""COMPUTED_VALUE"""),"Muhammad Usman Baig")</f>
        <v>Muhammad Usman Baig</v>
      </c>
      <c r="G85" s="12" t="str">
        <f ca="1">IFERROR(__xludf.DUMMYFUNCTION("""COMPUTED_VALUE"""),"i211132")</f>
        <v>i211132</v>
      </c>
      <c r="H85" s="12" t="str">
        <f ca="1">IFERROR(__xludf.DUMMYFUNCTION("""COMPUTED_VALUE"""),"Abdullah Daniyal")</f>
        <v>Abdullah Daniyal</v>
      </c>
      <c r="I85" s="12" t="str">
        <f ca="1">IFERROR(__xludf.DUMMYFUNCTION("""COMPUTED_VALUE"""),"i211234")</f>
        <v>i211234</v>
      </c>
      <c r="J85" s="12" t="str">
        <f ca="1">IFERROR(__xludf.DUMMYFUNCTION("""COMPUTED_VALUE"""),"Muhammad Huzaifa Ahmad")</f>
        <v>Muhammad Huzaifa Ahmad</v>
      </c>
      <c r="K85" s="12" t="str">
        <f ca="1">IFERROR(__xludf.DUMMYFUNCTION("""COMPUTED_VALUE"""),"i211187")</f>
        <v>i211187</v>
      </c>
    </row>
    <row r="86" spans="1:11" ht="216.75">
      <c r="A86" s="12" t="str">
        <f ca="1">IFERROR(__xludf.DUMMYFUNCTION("""COMPUTED_VALUE"""),"F24-086-D-RentEase")</f>
        <v>F24-086-D-RentEase</v>
      </c>
      <c r="B86" s="13" t="str">
        <f ca="1">IFERROR(__xludf.DUMMYFUNCTION("""COMPUTED_VALUE"""),"RentEase - Making renting process easy by bringing everyone together as renting product requesters and acceptors featuring blockchain based smart contracts between them.")</f>
        <v>RentEase - Making renting process easy by bringing everyone together as renting product requesters and acceptors featuring blockchain based smart contracts between them.</v>
      </c>
      <c r="C86" s="14" t="str">
        <f ca="1">IFERROR(__xludf.DUMMYFUNCTION("""COMPUTED_VALUE"""),"This is the World's unique and only existing idea i.e. Automating renting system!
With RentEase, Users as renting product providers will rent their (any) products and other users as renting product seekers will be able to get a product on rent. Blockchain"&amp;" based smart contracts will assure the transparency of the deal. It has following features:
1. Multilingual - support i.e. Urdu &amp; English.
2. Blockchain based smart contract between product provider &amp; requester to ensure transparency.
3. Auto recommendati"&amp;"on of products to product requesters based on the previous purchases, work and portfolio.
4. Real Time Communication between users.
5. Real time tracking feature where product owner can track the location of product requester while handing over the produc"&amp;"t.
6. Assistant Chat - Bot to assist people when using application.
7. Users Management i.e. users can manage their portfolio.
8. Dispute center for issues between customers.
9. Vouchers, Gifts  and  donation's mechanism to help community grow together.
1"&amp;"0. A mechanism for price negotiation of the renting product.")</f>
        <v>This is the World's unique and only existing idea i.e. Automating renting system!
With RentEase, Users as renting product providers will rent their (any) products and other users as renting product seekers will be able to get a product on rent. Blockchain based smart contracts will assure the transparency of the deal. It has following features:
1. Multilingual - support i.e. Urdu &amp; English.
2. Blockchain based smart contract between product provider &amp; requester to ensure transparency.
3. Auto recommendation of products to product requesters based on the previous purchases, work and portfolio.
4. Real Time Communication between users.
5. Real time tracking feature where product owner can track the location of product requester while handing over the product.
6. Assistant Chat - Bot to assist people when using application.
7. Users Management i.e. users can manage their portfolio.
8. Dispute center for issues between customers.
9. Vouchers, Gifts  and  donation's mechanism to help community grow together.
10. A mechanism for price negotiation of the renting product.</v>
      </c>
      <c r="D86" s="12" t="str">
        <f ca="1">IFERROR(__xludf.DUMMYFUNCTION("""COMPUTED_VALUE"""),"Dr. Javaria Imtiaz")</f>
        <v>Dr. Javaria Imtiaz</v>
      </c>
      <c r="E86" s="12" t="str">
        <f ca="1">IFERROR(__xludf.DUMMYFUNCTION("""COMPUTED_VALUE"""),"Ms. Noor ul Ain")</f>
        <v>Ms. Noor ul Ain</v>
      </c>
      <c r="F86" s="12" t="str">
        <f ca="1">IFERROR(__xludf.DUMMYFUNCTION("""COMPUTED_VALUE"""),"Syed Muhammad Ali")</f>
        <v>Syed Muhammad Ali</v>
      </c>
      <c r="G86" s="12" t="str">
        <f ca="1">IFERROR(__xludf.DUMMYFUNCTION("""COMPUTED_VALUE"""),"i202303")</f>
        <v>i202303</v>
      </c>
      <c r="H86" s="12" t="str">
        <f ca="1">IFERROR(__xludf.DUMMYFUNCTION("""COMPUTED_VALUE"""),"Sher Muhammad")</f>
        <v>Sher Muhammad</v>
      </c>
      <c r="I86" s="12" t="str">
        <f ca="1">IFERROR(__xludf.DUMMYFUNCTION("""COMPUTED_VALUE"""),"i200958")</f>
        <v>i200958</v>
      </c>
      <c r="J86" s="12" t="str">
        <f ca="1">IFERROR(__xludf.DUMMYFUNCTION("""COMPUTED_VALUE"""),"Abdullah Arif")</f>
        <v>Abdullah Arif</v>
      </c>
      <c r="K86" s="12" t="str">
        <f ca="1">IFERROR(__xludf.DUMMYFUNCTION("""COMPUTED_VALUE"""),"i201762")</f>
        <v>i201762</v>
      </c>
    </row>
    <row r="87" spans="1:11" ht="255">
      <c r="A87" s="12" t="str">
        <f ca="1">IFERROR(__xludf.DUMMYFUNCTION("""COMPUTED_VALUE"""),"F24-087-D-Dex'sLab")</f>
        <v>F24-087-D-Dex'sLab</v>
      </c>
      <c r="B87" s="13" t="str">
        <f ca="1">IFERROR(__xludf.DUMMYFUNCTION("""COMPUTED_VALUE"""),"A VR Laboratory simulatior")</f>
        <v>A VR Laboratory simulatior</v>
      </c>
      <c r="C87" s="14" t="str">
        <f ca="1">IFERROR(__xludf.DUMMYFUNCTION("""COMPUTED_VALUE"""),"The VR Lab Simulator project aims to develop a realistic virtual reality simulation for students (O Levels/Metric/Grade 9,10,11) to perform scientific experiments in a safe, controlled environment. The project will utilize Unreal Engine to create an immer"&amp;"sive VR platform targeting the Meta Quest VR hardware. The simulator will enhance students' understanding of complex scientific concepts such as titration, chemical tests, indicators, phase changes and many more. It will provide an interactive and engagin"&amp;"g learning experience in a safe, hazardless, maintenance-free and guided alternative to physical labs where students can learn and fulfill their curiosity.
Key Features:
*Realistic VR simulation of scientific experiments
*Immersive and interactive learn"&amp;"ing platform
*Comprehensive library of presets experiments
*Accurate 3D models of scientific equipment and materials
*Intuitive controls and user interfaces for VR interaction
*Real-time feedback
*Interactive tutorials and step-by-step instructions
*User "&amp;"account management options
*Optimization for Meta Quest VR platform performance")</f>
        <v>The VR Lab Simulator project aims to develop a realistic virtual reality simulation for students (O Levels/Metric/Grade 9,10,11) to perform scientific experiments in a safe, controlled environment. The project will utilize Unreal Engine to create an immersive VR platform targeting the Meta Quest VR hardware. The simulator will enhance students' understanding of complex scientific concepts such as titration, chemical tests, indicators, phase changes and many more. It will provide an interactive and engaging learning experience in a safe, hazardless, maintenance-free and guided alternative to physical labs where students can learn and fulfill their curiosity.
Key Features:
*Realistic VR simulation of scientific experiments
*Immersive and interactive learning platform
*Comprehensive library of presets experiments
*Accurate 3D models of scientific equipment and materials
*Intuitive controls and user interfaces for VR interaction
*Real-time feedback
*Interactive tutorials and step-by-step instructions
*User account management options
*Optimization for Meta Quest VR platform performance</v>
      </c>
      <c r="D87" s="12" t="str">
        <f ca="1">IFERROR(__xludf.DUMMYFUNCTION("""COMPUTED_VALUE"""),"Ms. Nirmal Tariq")</f>
        <v>Ms. Nirmal Tariq</v>
      </c>
      <c r="E87" s="12"/>
      <c r="F87" s="12" t="str">
        <f ca="1">IFERROR(__xludf.DUMMYFUNCTION("""COMPUTED_VALUE"""),"Khurram Nadir")</f>
        <v>Khurram Nadir</v>
      </c>
      <c r="G87" s="12" t="str">
        <f ca="1">IFERROR(__xludf.DUMMYFUNCTION("""COMPUTED_VALUE"""),"i210486")</f>
        <v>i210486</v>
      </c>
      <c r="H87" s="12" t="str">
        <f ca="1">IFERROR(__xludf.DUMMYFUNCTION("""COMPUTED_VALUE"""),"Muhammad Hassaan Farooq Malik")</f>
        <v>Muhammad Hassaan Farooq Malik</v>
      </c>
      <c r="I87" s="12" t="str">
        <f ca="1">IFERROR(__xludf.DUMMYFUNCTION("""COMPUTED_VALUE"""),"i210442")</f>
        <v>i210442</v>
      </c>
      <c r="J87" s="12" t="str">
        <f ca="1">IFERROR(__xludf.DUMMYFUNCTION("""COMPUTED_VALUE"""),"Kynat Mansha Goraya")</f>
        <v>Kynat Mansha Goraya</v>
      </c>
      <c r="K87" s="12" t="str">
        <f ca="1">IFERROR(__xludf.DUMMYFUNCTION("""COMPUTED_VALUE"""),"i210684")</f>
        <v>i210684</v>
      </c>
    </row>
    <row r="88" spans="1:11" ht="114.75">
      <c r="A88" s="12" t="str">
        <f ca="1">IFERROR(__xludf.DUMMYFUNCTION("""COMPUTED_VALUE"""),"F24-088-D-MalwareXplore")</f>
        <v>F24-088-D-MalwareXplore</v>
      </c>
      <c r="B88" s="13" t="str">
        <f ca="1">IFERROR(__xludf.DUMMYFUNCTION("""COMPUTED_VALUE"""),"OneBlock")</f>
        <v>OneBlock</v>
      </c>
      <c r="C88" s="14" t="str">
        <f ca="1">IFERROR(__xludf.DUMMYFUNCTION("""COMPUTED_VALUE"""),"Designing a blockchain based learning management system that ensures temper proof logs.
key features are 
1.Collects log data from various sources and sends it to the blockchain network.
2.Stores the log data in a decentralized and temper proof manner."&amp;"
3.Ensuring integrity of files.
4.Anomaly detection.
5.Ai based plagiarism detection.
6.Dashboard with graphs and charts to summarize data.")</f>
        <v>Designing a blockchain based learning management system that ensures temper proof logs.
key features are 
1.Collects log data from various sources and sends it to the blockchain network.
2.Stores the log data in a decentralized and temper proof manner.
3.Ensuring integrity of files.
4.Anomaly detection.
5.Ai based plagiarism detection.
6.Dashboard with graphs and charts to summarize data.</v>
      </c>
      <c r="D88" s="12" t="str">
        <f ca="1">IFERROR(__xludf.DUMMYFUNCTION("""COMPUTED_VALUE"""),"Dr. Qaiser Shafi")</f>
        <v>Dr. Qaiser Shafi</v>
      </c>
      <c r="E88" s="12"/>
      <c r="F88" s="12" t="str">
        <f ca="1">IFERROR(__xludf.DUMMYFUNCTION("""COMPUTED_VALUE"""),"Muhammad Zain Ul Abideen")</f>
        <v>Muhammad Zain Ul Abideen</v>
      </c>
      <c r="G88" s="12" t="str">
        <f ca="1">IFERROR(__xludf.DUMMYFUNCTION("""COMPUTED_VALUE"""),"i211551")</f>
        <v>i211551</v>
      </c>
      <c r="H88" s="12" t="str">
        <f ca="1">IFERROR(__xludf.DUMMYFUNCTION("""COMPUTED_VALUE"""),"Aitsam Tariq Bajwa")</f>
        <v>Aitsam Tariq Bajwa</v>
      </c>
      <c r="I88" s="12" t="str">
        <f ca="1">IFERROR(__xludf.DUMMYFUNCTION("""COMPUTED_VALUE"""),"i211583")</f>
        <v>i211583</v>
      </c>
      <c r="J88" s="12" t="str">
        <f ca="1">IFERROR(__xludf.DUMMYFUNCTION("""COMPUTED_VALUE"""),"Sameer Saif")</f>
        <v>Sameer Saif</v>
      </c>
      <c r="K88" s="12" t="str">
        <f ca="1">IFERROR(__xludf.DUMMYFUNCTION("""COMPUTED_VALUE"""),"i210757")</f>
        <v>i210757</v>
      </c>
    </row>
    <row r="89" spans="1:11" ht="153">
      <c r="A89" s="12" t="str">
        <f ca="1">IFERROR(__xludf.DUMMYFUNCTION("""COMPUTED_VALUE"""),"F24-089-D-VoiceArchi")</f>
        <v>F24-089-D-VoiceArchi</v>
      </c>
      <c r="B89" s="13" t="str">
        <f ca="1">IFERROR(__xludf.DUMMYFUNCTION("""COMPUTED_VALUE"""),"VoiceArchi: a web/mobile application that transforms your ideas into detailed 2D architectural designs")</f>
        <v>VoiceArchi: a web/mobile application that transforms your ideas into detailed 2D architectural designs</v>
      </c>
      <c r="C89" s="14" t="str">
        <f ca="1">IFERROR(__xludf.DUMMYFUNCTION("""COMPUTED_VALUE"""),"Our project's main objective is to allow users to describe their floorplan in their own words,
The app will use AI and NLP techniques to convert the user's voice into floorplan constraints, which will then be passed onto an algorithm that satisfies those"&amp;" constraints and creates an optimal 2D architectural drawing that fits the description provided by the user.
Key Features:
1. Allow the user to describe their floorplan in their own words.
2. Use AI and NLP techniques to extract constraints from the "&amp;"spoken words.
3. Handle ambiguous statements by asking for clarification from the user.
4. Generate detailed 2D architectural drawing for the given description.
5. Allow the user to save their drawings.")</f>
        <v>Our project's main objective is to allow users to describe their floorplan in their own words,
The app will use AI and NLP techniques to convert the user's voice into floorplan constraints, which will then be passed onto an algorithm that satisfies those constraints and creates an optimal 2D architectural drawing that fits the description provided by the user.
Key Features:
1. Allow the user to describe their floorplan in their own words.
2. Use AI and NLP techniques to extract constraints from the spoken words.
3. Handle ambiguous statements by asking for clarification from the user.
4. Generate detailed 2D architectural drawing for the given description.
5. Allow the user to save their drawings.</v>
      </c>
      <c r="D89" s="12" t="str">
        <f ca="1">IFERROR(__xludf.DUMMYFUNCTION("""COMPUTED_VALUE"""),"Mr. Irfan Ullah")</f>
        <v>Mr. Irfan Ullah</v>
      </c>
      <c r="E89" s="12"/>
      <c r="F89" s="12" t="str">
        <f ca="1">IFERROR(__xludf.DUMMYFUNCTION("""COMPUTED_VALUE"""),"Haseeb Ali")</f>
        <v>Haseeb Ali</v>
      </c>
      <c r="G89" s="12" t="str">
        <f ca="1">IFERROR(__xludf.DUMMYFUNCTION("""COMPUTED_VALUE"""),"i191889")</f>
        <v>i191889</v>
      </c>
      <c r="H89" s="12" t="str">
        <f ca="1">IFERROR(__xludf.DUMMYFUNCTION("""COMPUTED_VALUE"""),"Faiq Ahmad")</f>
        <v>Faiq Ahmad</v>
      </c>
      <c r="I89" s="12" t="str">
        <f ca="1">IFERROR(__xludf.DUMMYFUNCTION("""COMPUTED_VALUE"""),"i210759")</f>
        <v>i210759</v>
      </c>
      <c r="J89" s="12" t="str">
        <f ca="1">IFERROR(__xludf.DUMMYFUNCTION("""COMPUTED_VALUE"""),"Junaid Maqbool")</f>
        <v>Junaid Maqbool</v>
      </c>
      <c r="K89" s="12" t="str">
        <f ca="1">IFERROR(__xludf.DUMMYFUNCTION("""COMPUTED_VALUE"""),"i200985")</f>
        <v>i200985</v>
      </c>
    </row>
    <row r="90" spans="1:11" ht="255">
      <c r="A90" s="12" t="str">
        <f ca="1">IFERROR(__xludf.DUMMYFUNCTION("""COMPUTED_VALUE"""),"F24-090-D-BlockChainLMS")</f>
        <v>F24-090-D-BlockChainLMS</v>
      </c>
      <c r="B90" s="13" t="str">
        <f ca="1">IFERROR(__xludf.DUMMYFUNCTION("""COMPUTED_VALUE"""),"Visualytica")</f>
        <v>Visualytica</v>
      </c>
      <c r="C90" s="14" t="str">
        <f ca="1">IFERROR(__xludf.DUMMYFUNCTION("""COMPUTED_VALUE"""),"_Project Overview
                            Our project aims to develop a web-based data visualization application we can say similar to Tableau or PowerBI, focusing primarily on data visualization through interactive dashboards. This tool will facilita"&amp;"te data exploration and insights extraction, targeting users who need an intuitive and powerful platform to analyze their data.
_Objectives
-Develop Interactive Dashboards: 
                           Create dynamic and interactive dashboards that allow "&amp;"users to explore data visually.
-AI-Powered Insights(EXTENDED VERSION): 
                           Integrate AI features, such as a chat bot for user queries and a bot that provides insights from data visualizations (this is something we need to discuss,"&amp;" whether it's possible or not).
-User-Friendly Interface: 
                           Design a responsive and user-friendly interface using modern web technologies.
-Data Preparation and Exploration: 
                            Enable robust data prepara"&amp;"tion and exploration capabilities using Python.
")</f>
        <v xml:space="preserve">_Project Overview
                            Our project aims to develop a web-based data visualization application we can say similar to Tableau or PowerBI, focusing primarily on data visualization through interactive dashboards. This tool will facilitate data exploration and insights extraction, targeting users who need an intuitive and powerful platform to analyze their data.
_Objectives
-Develop Interactive Dashboards: 
                           Create dynamic and interactive dashboards that allow users to explore data visually.
-AI-Powered Insights(EXTENDED VERSION): 
                           Integrate AI features, such as a chat bot for user queries and a bot that provides insights from data visualizations (this is something we need to discuss, whether it's possible or not).
-User-Friendly Interface: 
                           Design a responsive and user-friendly interface using modern web technologies.
-Data Preparation and Exploration: 
                            Enable robust data preparation and exploration capabilities using Python.
</v>
      </c>
      <c r="D90" s="15" t="str">
        <f ca="1">IFERROR(__xludf.DUMMYFUNCTION("""COMPUTED_VALUE"""),"Dr. Qaiser Shafi")</f>
        <v>Dr. Qaiser Shafi</v>
      </c>
      <c r="E90" s="12"/>
      <c r="F90" s="12" t="str">
        <f ca="1">IFERROR(__xludf.DUMMYFUNCTION("""COMPUTED_VALUE"""),"Muhammad Umar")</f>
        <v>Muhammad Umar</v>
      </c>
      <c r="G90" s="12" t="str">
        <f ca="1">IFERROR(__xludf.DUMMYFUNCTION("""COMPUTED_VALUE"""),"i211787")</f>
        <v>i211787</v>
      </c>
      <c r="H90" s="12" t="str">
        <f ca="1">IFERROR(__xludf.DUMMYFUNCTION("""COMPUTED_VALUE"""),"Syed Saad Khurshid")</f>
        <v>Syed Saad Khurshid</v>
      </c>
      <c r="I90" s="12" t="str">
        <f ca="1">IFERROR(__xludf.DUMMYFUNCTION("""COMPUTED_VALUE"""),"i211760")</f>
        <v>i211760</v>
      </c>
      <c r="J90" s="12" t="str">
        <f ca="1">IFERROR(__xludf.DUMMYFUNCTION("""COMPUTED_VALUE"""),"M Owais Zahid")</f>
        <v>M Owais Zahid</v>
      </c>
      <c r="K90" s="12" t="str">
        <f ca="1">IFERROR(__xludf.DUMMYFUNCTION("""COMPUTED_VALUE"""),"i211709")</f>
        <v>i211709</v>
      </c>
    </row>
    <row r="91" spans="1:11" ht="357">
      <c r="A91" s="12" t="str">
        <f ca="1">IFERROR(__xludf.DUMMYFUNCTION("""COMPUTED_VALUE"""),"F24-091-D-Visualytica")</f>
        <v>F24-091-D-Visualytica</v>
      </c>
      <c r="B91" s="13" t="str">
        <f ca="1">IFERROR(__xludf.DUMMYFUNCTION("""COMPUTED_VALUE"""),"VoxAI SQL")</f>
        <v>VoxAI SQL</v>
      </c>
      <c r="C91" s="14" t="str">
        <f ca="1">IFERROR(__xludf.DUMMYFUNCTION("""COMPUTED_VALUE"""),"The project aims to develop an AI-driven chatbot or voicebot that allows users to interact with their databases or data warehouses without requiring SQL knowledge. By transforming user inputs, whether text or voice, into SQL queries, the system provides a"&amp;" user-friendly interface for data manipulation and retrieval. The project also includes the development of support for voice notes in Urdu, broadening its accessibility. The scope encompasses the design, implementation, and testing of the chatbot, along w"&amp;"ith the integration of advanced natural language processing (NLP) and speech recognition technologies to ensure accuracy and ease of use.
1) Text-to-SQL Conversion: Automatically converts user text inputs into SQL queries.
2) Voice-to-SQL Conversion: Tra"&amp;"nsforms voice notes into SQL queries for database interaction.
3) Urdu Language Support: Enables users to interact with the system using Urdu voice notes.
4) Database Connectivity: Seamlessly connects with various databases and data warehouses.
5) User-Fr"&amp;"iendly Interface: Simplified interface allowing non-technical users to manage and manipulate data.
6) Natural Language Processing (NLP): Employs advanced NLP techniques to accurately interpret user queries.
7) Speech Recognition: Integrates state-of-the-a"&amp;"rt speech recognition technology for voice input.
8) Real-Time Query Execution: Executes SQL queries in real-time, providing immediate results.
9) Error Handling and Feedback: Provides feedback and suggestions if the query cannot be processed.
10) Customi"&amp;"zable Responses: Allows for the customization of chatbot responses to meet specific user needs.")</f>
        <v>The project aims to develop an AI-driven chatbot or voicebot that allows users to interact with their databases or data warehouses without requiring SQL knowledge. By transforming user inputs, whether text or voice, into SQL queries, the system provides a user-friendly interface for data manipulation and retrieval. The project also includes the development of support for voice notes in Urdu, broadening its accessibility. The scope encompasses the design, implementation, and testing of the chatbot, along with the integration of advanced natural language processing (NLP) and speech recognition technologies to ensure accuracy and ease of use.
1) Text-to-SQL Conversion: Automatically converts user text inputs into SQL queries.
2) Voice-to-SQL Conversion: Transforms voice notes into SQL queries for database interaction.
3) Urdu Language Support: Enables users to interact with the system using Urdu voice notes.
4) Database Connectivity: Seamlessly connects with various databases and data warehouses.
5) User-Friendly Interface: Simplified interface allowing non-technical users to manage and manipulate data.
6) Natural Language Processing (NLP): Employs advanced NLP techniques to accurately interpret user queries.
7) Speech Recognition: Integrates state-of-the-art speech recognition technology for voice input.
8) Real-Time Query Execution: Executes SQL queries in real-time, providing immediate results.
9) Error Handling and Feedback: Provides feedback and suggestions if the query cannot be processed.
10) Customizable Responses: Allows for the customization of chatbot responses to meet specific user needs.</v>
      </c>
      <c r="D91" s="15" t="str">
        <f ca="1">IFERROR(__xludf.DUMMYFUNCTION("""COMPUTED_VALUE"""),"Dr. Faisal Cheema")</f>
        <v>Dr. Faisal Cheema</v>
      </c>
      <c r="E91" s="12" t="str">
        <f ca="1">IFERROR(__xludf.DUMMYFUNCTION("""COMPUTED_VALUE"""),"Dr. Asif Naeem")</f>
        <v>Dr. Asif Naeem</v>
      </c>
      <c r="F91" s="12" t="str">
        <f ca="1">IFERROR(__xludf.DUMMYFUNCTION("""COMPUTED_VALUE"""),"Zimal Alam")</f>
        <v>Zimal Alam</v>
      </c>
      <c r="G91" s="12" t="str">
        <f ca="1">IFERROR(__xludf.DUMMYFUNCTION("""COMPUTED_VALUE"""),"i212681")</f>
        <v>i212681</v>
      </c>
      <c r="H91" s="12" t="str">
        <f ca="1">IFERROR(__xludf.DUMMYFUNCTION("""COMPUTED_VALUE"""),"Mahrukh Wahidi ")</f>
        <v xml:space="preserve">Mahrukh Wahidi </v>
      </c>
      <c r="I91" s="12" t="str">
        <f ca="1">IFERROR(__xludf.DUMMYFUNCTION("""COMPUTED_VALUE"""),"i211765")</f>
        <v>i211765</v>
      </c>
      <c r="J91" s="12" t="str">
        <f ca="1">IFERROR(__xludf.DUMMYFUNCTION("""COMPUTED_VALUE"""),"Shoaib Ahmed")</f>
        <v>Shoaib Ahmed</v>
      </c>
      <c r="K91" s="12" t="str">
        <f ca="1">IFERROR(__xludf.DUMMYFUNCTION("""COMPUTED_VALUE"""),"k200229")</f>
        <v>k200229</v>
      </c>
    </row>
    <row r="92" spans="1:11" ht="331.5">
      <c r="A92" s="12" t="str">
        <f ca="1">IFERROR(__xludf.DUMMYFUNCTION("""COMPUTED_VALUE"""),"F24-092-R-SafeAI")</f>
        <v>F24-092-R-SafeAI</v>
      </c>
      <c r="B92" s="13" t="str">
        <f ca="1">IFERROR(__xludf.DUMMYFUNCTION("""COMPUTED_VALUE"""),"Enhanced Object Detection, Tracking, and Re-Identification for High-Altitude Aerial Surveillance applications")</f>
        <v>Enhanced Object Detection, Tracking, and Re-Identification for High-Altitude Aerial Surveillance applications</v>
      </c>
      <c r="C92" s="14" t="str">
        <f ca="1">IFERROR(__xludf.DUMMYFUNCTION("""COMPUTED_VALUE"""),"This project focuses on creating a system for detecting, identifying, and re-identifying persons and vehicles using aerial imagery, specifically tailored to Pakistan's technological landscape. By leveraging advanced machine learning and computer vision te"&amp;"chniques, it aims to enhance high-altitude surveillance, addressing challenges like varying altitudes and resolutions to improve urban security and disaster response.
1.⁠ ⁠High-Accuracy Object Detection: Utilizes state-of-the-art algorithms to detect per"&amp;"sons and vehicles with high precision.
 2.⁠ ⁠Real-Time Tracking: Enables continuous monitoring and tracking of identified objects across frames.
 3.⁠ ⁠Re-Identification Across Frames: Capable of recognizing the same object in different frames, even under "&amp;"varying conditions.
 4.⁠ ⁠Scalability for Large-Scale Surveillance: Designed to handle vast areas and large volumes of data efficiently.
 5.⁠ ⁠Robustness to Variations: Functions effectively despite changes in altitude, angles, and lighting conditions.
 6"&amp;".⁠ ⁠User-Friendly Interface: Offers a clear and intuitive interface for users to monitor and analyse surveillance data.
 7.⁠ ⁠Integration with Existing Systems: Can be integrated into current security and surveillance infrastructures.
 8.⁠ ⁠Customisable D"&amp;"etection Parameters: Allows users to set and adjust detection criteria based on specific needs.
 9.⁠ ⁠Efficient Data Processing: Employs optimized algorithms for fast processing of aerial imagery data.
10.⁠ ⁠Comprehensive Reporting Tools: Generates detail"&amp;"ed reports on detection and tracking events for further analysis.")</f>
        <v>This project focuses on creating a system for detecting, identifying, and re-identifying persons and vehicles using aerial imagery, specifically tailored to Pakistan's technological landscape. By leveraging advanced machine learning and computer vision techniques, it aims to enhance high-altitude surveillance, addressing challenges like varying altitudes and resolutions to improve urban security and disaster response.
1.⁠ ⁠High-Accuracy Object Detection: Utilizes state-of-the-art algorithms to detect persons and vehicles with high precision.
 2.⁠ ⁠Real-Time Tracking: Enables continuous monitoring and tracking of identified objects across frames.
 3.⁠ ⁠Re-Identification Across Frames: Capable of recognizing the same object in different frames, even under varying conditions.
 4.⁠ ⁠Scalability for Large-Scale Surveillance: Designed to handle vast areas and large volumes of data efficiently.
 5.⁠ ⁠Robustness to Variations: Functions effectively despite changes in altitude, angles, and lighting conditions.
 6.⁠ ⁠User-Friendly Interface: Offers a clear and intuitive interface for users to monitor and analyse surveillance data.
 7.⁠ ⁠Integration with Existing Systems: Can be integrated into current security and surveillance infrastructures.
 8.⁠ ⁠Customisable Detection Parameters: Allows users to set and adjust detection criteria based on specific needs.
 9.⁠ ⁠Efficient Data Processing: Employs optimized algorithms for fast processing of aerial imagery data.
10.⁠ ⁠Comprehensive Reporting Tools: Generates detailed reports on detection and tracking events for further analysis.</v>
      </c>
      <c r="D92" s="12" t="str">
        <f ca="1">IFERROR(__xludf.DUMMYFUNCTION("""COMPUTED_VALUE"""),"Dr. Imran Ashraf")</f>
        <v>Dr. Imran Ashraf</v>
      </c>
      <c r="E92" s="12"/>
      <c r="F92" s="12" t="str">
        <f ca="1">IFERROR(__xludf.DUMMYFUNCTION("""COMPUTED_VALUE"""),"Ahmed Hammad")</f>
        <v>Ahmed Hammad</v>
      </c>
      <c r="G92" s="12" t="str">
        <f ca="1">IFERROR(__xludf.DUMMYFUNCTION("""COMPUTED_VALUE"""),"i211543")</f>
        <v>i211543</v>
      </c>
      <c r="H92" s="12" t="str">
        <f ca="1">IFERROR(__xludf.DUMMYFUNCTION("""COMPUTED_VALUE"""),"Hiba Imran")</f>
        <v>Hiba Imran</v>
      </c>
      <c r="I92" s="12" t="str">
        <f ca="1">IFERROR(__xludf.DUMMYFUNCTION("""COMPUTED_VALUE"""),"i212685")</f>
        <v>i212685</v>
      </c>
      <c r="J92" s="12" t="str">
        <f ca="1">IFERROR(__xludf.DUMMYFUNCTION("""COMPUTED_VALUE"""),"Shizra Burney")</f>
        <v>Shizra Burney</v>
      </c>
      <c r="K92" s="12" t="str">
        <f ca="1">IFERROR(__xludf.DUMMYFUNCTION("""COMPUTED_VALUE"""),"i212660")</f>
        <v>i212660</v>
      </c>
    </row>
    <row r="93" spans="1:11" ht="255">
      <c r="A93" s="12" t="str">
        <f ca="1">IFERROR(__xludf.DUMMYFUNCTION("""COMPUTED_VALUE"""),"F24-093-D-TrashCam")</f>
        <v>F24-093-D-TrashCam</v>
      </c>
      <c r="B93" s="13" t="str">
        <f ca="1">IFERROR(__xludf.DUMMYFUNCTION("""COMPUTED_VALUE"""),"TrashCam: Real Time Littering Detection")</f>
        <v>TrashCam: Real Time Littering Detection</v>
      </c>
      <c r="C93" s="14" t="str">
        <f ca="1">IFERROR(__xludf.DUMMYFUNCTION("""COMPUTED_VALUE"""),"This project is a comprehensive smart security system designed to detect and address littering in public spaces using advanced technologies like computer vision, machine learning, AI, and IoT. The system automatically detects littering incidents, identifi"&amp;"es offenders (either individuals or vehicles), and generates detailed reports with supporting evidence. Additionally, it allows citizens to contribute through a mobile app, making the system a collaborative effort between authorities and the public. By in"&amp;"tegrating GPS, facial recognition, and license plate recognition, the system provides real-time alerts to authorities, enabling swift action against littering. 
Key Features:
1. Object Detection for trash classification.
2. Context Awareness to different"&amp;"iate between accidental drops and intentional littering.
3. Temporal Analysis to trace litter back in time.
4. GPS Integration for precise location identification.
5. Video/Photo Capture for evidence collection.
6. License Plate Recognition for identifyin"&amp;"g vehicles involved in littering.
7. Facial Recognition for identifying individuals.
8. Real-Time Alerts to notify authorities.
9. User Reporting via a mobile app.
10. Incident Reporting with automatic description generation.")</f>
        <v>This project is a comprehensive smart security system designed to detect and address littering in public spaces using advanced technologies like computer vision, machine learning, AI, and IoT. The system automatically detects littering incidents, identifies offenders (either individuals or vehicles), and generates detailed reports with supporting evidence. Additionally, it allows citizens to contribute through a mobile app, making the system a collaborative effort between authorities and the public. By integrating GPS, facial recognition, and license plate recognition, the system provides real-time alerts to authorities, enabling swift action against littering. 
Key Features:
1. Object Detection for trash classification.
2. Context Awareness to differentiate between accidental drops and intentional littering.
3. Temporal Analysis to trace litter back in time.
4. GPS Integration for precise location identification.
5. Video/Photo Capture for evidence collection.
6. License Plate Recognition for identifying vehicles involved in littering.
7. Facial Recognition for identifying individuals.
8. Real-Time Alerts to notify authorities.
9. User Reporting via a mobile app.
10. Incident Reporting with automatic description generation.</v>
      </c>
      <c r="D93" s="12" t="str">
        <f ca="1">IFERROR(__xludf.DUMMYFUNCTION("""COMPUTED_VALUE"""),"Mr. Owais Idrees")</f>
        <v>Mr. Owais Idrees</v>
      </c>
      <c r="E93" s="12"/>
      <c r="F93" s="12" t="str">
        <f ca="1">IFERROR(__xludf.DUMMYFUNCTION("""COMPUTED_VALUE"""),"Muhammad Saad Hasan")</f>
        <v>Muhammad Saad Hasan</v>
      </c>
      <c r="G93" s="12" t="str">
        <f ca="1">IFERROR(__xludf.DUMMYFUNCTION("""COMPUTED_VALUE"""),"i210566")</f>
        <v>i210566</v>
      </c>
      <c r="H93" s="12" t="str">
        <f ca="1">IFERROR(__xludf.DUMMYFUNCTION("""COMPUTED_VALUE"""),"Raafey Azhar")</f>
        <v>Raafey Azhar</v>
      </c>
      <c r="I93" s="12" t="str">
        <f ca="1">IFERROR(__xludf.DUMMYFUNCTION("""COMPUTED_VALUE"""),"i210315")</f>
        <v>i210315</v>
      </c>
      <c r="J93" s="12" t="str">
        <f ca="1">IFERROR(__xludf.DUMMYFUNCTION("""COMPUTED_VALUE"""),"Mujtaba Asad")</f>
        <v>Mujtaba Asad</v>
      </c>
      <c r="K93" s="12" t="str">
        <f ca="1">IFERROR(__xludf.DUMMYFUNCTION("""COMPUTED_VALUE"""),"i212494")</f>
        <v>i212494</v>
      </c>
    </row>
    <row r="94" spans="1:11" ht="255">
      <c r="A94" s="12" t="str">
        <f ca="1">IFERROR(__xludf.DUMMYFUNCTION("""COMPUTED_VALUE"""),"F24-094-D-CaseLink")</f>
        <v>F24-094-D-CaseLink</v>
      </c>
      <c r="B94" s="13" t="str">
        <f ca="1">IFERROR(__xludf.DUMMYFUNCTION("""COMPUTED_VALUE"""),"Case Link: An AI-powered Software Solution for Law Firms")</f>
        <v>Case Link: An AI-powered Software Solution for Law Firms</v>
      </c>
      <c r="C94" s="14" t="str">
        <f ca="1">IFERROR(__xludf.DUMMYFUNCTION("""COMPUTED_VALUE"""),"“Case Link” is an all in one law firm software solution meant to utilize the power of AI to support law firms both in Pakistan and abroad. In addition to essential features like case management and assignment, the software integrates advanced tools such a"&amp;"s performance dashboards, AI-driven chatbots for legal inquiries, real-time case updates for clients.
The software will be designed to address the various challenges faced by law firms and their personnel by incorporating AI and automating routine tasks, "&amp;"significantly enhancing the efficiency and productivity of any law firm.
Key Features:
1. Case Management - Efficient management of client and case data. 
2. Case Assignment - Smart Case Assignment according to lawyer’s experience and availability.
3. Cas"&amp;"e Dates Scheduling - Clash-free scheduling, deadline tracking and notification generation system.
4. Client Collaboration - Minimal client interface for real-time updates on case status.
5. Dashboard - Lawyer’s progress and performance tracking and monthl"&amp;"y report generation.
6. Communication - In-app chat system for efficient communication.
7. Legal Updates - Keep lawyers updated on the latest legal news and developments.
8. Document Chat - LLM powered interaction with legal documents.
9. Domain-Specific "&amp;"Chat - Provides AI-powered legal advice and insights.
10. Legal Document Creation - Automated creation of legal documents using LLM.")</f>
        <v>“Case Link” is an all in one law firm software solution meant to utilize the power of AI to support law firms both in Pakistan and abroad. In addition to essential features like case management and assignment, the software integrates advanced tools such as performance dashboards, AI-driven chatbots for legal inquiries, real-time case updates for clients.
The software will be designed to address the various challenges faced by law firms and their personnel by incorporating AI and automating routine tasks, significantly enhancing the efficiency and productivity of any law firm.
Key Features:
1. Case Management - Efficient management of client and case data. 
2. Case Assignment - Smart Case Assignment according to lawyer’s experience and availability.
3. Case Dates Scheduling - Clash-free scheduling, deadline tracking and notification generation system.
4. Client Collaboration - Minimal client interface for real-time updates on case status.
5. Dashboard - Lawyer’s progress and performance tracking and monthly report generation.
6. Communication - In-app chat system for efficient communication.
7. Legal Updates - Keep lawyers updated on the latest legal news and developments.
8. Document Chat - LLM powered interaction with legal documents.
9. Domain-Specific Chat - Provides AI-powered legal advice and insights.
10. Legal Document Creation - Automated creation of legal documents using LLM.</v>
      </c>
      <c r="D94" s="12" t="str">
        <f ca="1">IFERROR(__xludf.DUMMYFUNCTION("""COMPUTED_VALUE"""),"Dr. Imran Ashraf")</f>
        <v>Dr. Imran Ashraf</v>
      </c>
      <c r="E94" s="12"/>
      <c r="F94" s="12" t="str">
        <f ca="1">IFERROR(__xludf.DUMMYFUNCTION("""COMPUTED_VALUE"""),"Kalsoom Tariq")</f>
        <v>Kalsoom Tariq</v>
      </c>
      <c r="G94" s="12" t="str">
        <f ca="1">IFERROR(__xludf.DUMMYFUNCTION("""COMPUTED_VALUE"""),"i212487")</f>
        <v>i212487</v>
      </c>
      <c r="H94" s="12" t="str">
        <f ca="1">IFERROR(__xludf.DUMMYFUNCTION("""COMPUTED_VALUE"""),"Abtaal Aatif")</f>
        <v>Abtaal Aatif</v>
      </c>
      <c r="I94" s="12" t="str">
        <f ca="1">IFERROR(__xludf.DUMMYFUNCTION("""COMPUTED_VALUE"""),"i212990")</f>
        <v>i212990</v>
      </c>
      <c r="J94" s="12" t="str">
        <f ca="1">IFERROR(__xludf.DUMMYFUNCTION("""COMPUTED_VALUE"""),"Harras Mansoor")</f>
        <v>Harras Mansoor</v>
      </c>
      <c r="K94" s="12" t="str">
        <f ca="1">IFERROR(__xludf.DUMMYFUNCTION("""COMPUTED_VALUE"""),"i210749")</f>
        <v>i210749</v>
      </c>
    </row>
    <row r="95" spans="1:11" ht="76.5">
      <c r="A95" s="12" t="str">
        <f ca="1">IFERROR(__xludf.DUMMYFUNCTION("""COMPUTED_VALUE"""),"F24-095-R-VoxAISQL")</f>
        <v>F24-095-R-VoxAISQL</v>
      </c>
      <c r="B95" s="13" t="str">
        <f ca="1">IFERROR(__xludf.DUMMYFUNCTION("""COMPUTED_VALUE"""),"Optimizing the Whisper Model by open AI for Urdu Language: Reducing Compute Requirements While Maintaining Accuracy")</f>
        <v>Optimizing the Whisper Model by open AI for Urdu Language: Reducing Compute Requirements While Maintaining Accuracy</v>
      </c>
      <c r="C95" s="14" t="str">
        <f ca="1">IFERROR(__xludf.DUMMYFUNCTION("""COMPUTED_VALUE"""),"Our project focuses on optimizing Open-AI's Whisper model, fine-tuned for Urdu, to reduce its computational demands while maintaining accuracy. Currently, the model's accuracy is highest in its largest form, which requires substantial compute resources. W"&amp;"e aim to refine the smaller version of Whisper to achieve similar accuracy for Urdu, exploring techniques like QLORA, even though its effectiveness is uncertain. The goal is to create a more efficient model that performs well in resource-constrained envir"&amp;"onments.")</f>
        <v>Our project focuses on optimizing Open-AI's Whisper model, fine-tuned for Urdu, to reduce its computational demands while maintaining accuracy. Currently, the model's accuracy is highest in its largest form, which requires substantial compute resources. We aim to refine the smaller version of Whisper to achieve similar accuracy for Urdu, exploring techniques like QLORA, even though its effectiveness is uncertain. The goal is to create a more efficient model that performs well in resource-constrained environments.</v>
      </c>
      <c r="D95" s="15" t="str">
        <f ca="1">IFERROR(__xludf.DUMMYFUNCTION("""COMPUTED_VALUE"""),"Dr. Asif Naeem")</f>
        <v>Dr. Asif Naeem</v>
      </c>
      <c r="E95" s="12"/>
      <c r="F95" s="12" t="str">
        <f ca="1">IFERROR(__xludf.DUMMYFUNCTION("""COMPUTED_VALUE"""),"Nayyera Wasim")</f>
        <v>Nayyera Wasim</v>
      </c>
      <c r="G95" s="12" t="str">
        <f ca="1">IFERROR(__xludf.DUMMYFUNCTION("""COMPUTED_VALUE"""),"i211651")</f>
        <v>i211651</v>
      </c>
      <c r="H95" s="12" t="str">
        <f ca="1">IFERROR(__xludf.DUMMYFUNCTION("""COMPUTED_VALUE"""),"Mohammad Osman")</f>
        <v>Mohammad Osman</v>
      </c>
      <c r="I95" s="12" t="str">
        <f ca="1">IFERROR(__xludf.DUMMYFUNCTION("""COMPUTED_VALUE"""),"i211723")</f>
        <v>i211723</v>
      </c>
      <c r="J95" s="12" t="str">
        <f ca="1">IFERROR(__xludf.DUMMYFUNCTION("""COMPUTED_VALUE"""),"Fatima Ghafoor")</f>
        <v>Fatima Ghafoor</v>
      </c>
      <c r="K95" s="12" t="str">
        <f ca="1">IFERROR(__xludf.DUMMYFUNCTION("""COMPUTED_VALUE"""),"l215820")</f>
        <v>l215820</v>
      </c>
    </row>
    <row r="96" spans="1:11" ht="382.5">
      <c r="A96" s="12" t="str">
        <f ca="1">IFERROR(__xludf.DUMMYFUNCTION("""COMPUTED_VALUE"""),"F24-096-D-EduVantage")</f>
        <v>F24-096-D-EduVantage</v>
      </c>
      <c r="B96" s="13" t="str">
        <f ca="1">IFERROR(__xludf.DUMMYFUNCTION("""COMPUTED_VALUE"""),"The Graduate Recommender System is an intelligent web application aimed at helping graduates discover the most suitable graduate programs. ")</f>
        <v xml:space="preserve">The Graduate Recommender System is an intelligent web application aimed at helping graduates discover the most suitable graduate programs. </v>
      </c>
      <c r="C96" s="14" t="str">
        <f ca="1">IFERROR(__xludf.DUMMYFUNCTION("""COMPUTED_VALUE"""),"The Graduate Recommender System is an intelligent web application aimed at helping graduates discover the most suitable graduate programs. By collecting and analyzing user credentials, preferences, and eligibility criteria, the system provides personalize"&amp;"d recommendations. It leverages real-time university data scraping to ensure that users receive the most accurate and relevant program options available.
1. Manage User Profiles and Preferences:
Users can create and update profiles with personal and acad"&amp;"emic information, utilizing collaborative filtering for personalized suggestions.
2. Collect and Store Academic Credentials:
This feature gathers and securely stores user academic details like GPA, courses, and certifications.
3. Input and Select Preferre"&amp;"d Graduate Programs and Universities:
Users can specify their preferred graduate programs and universities, which is then used to tailor recommendations.
4. Evaluate Eligibility Against University Criteria:
The system matches user credentials with univers"&amp;"ity eligibility requirements using rule-based algorithms and NLP for criteria interpretation.
5. Scrape and Update Real-Time University Data:
This feature scrapes and updates university data in real-time, ensuring the system provides current program infor"&amp;"mation.
6. Generate and Prioritize Personalized Program Recommendations:
The recommendation engine uses AI and collaborative filtering to generate and prioritize graduate program suggestions based on user data.
7. Submit and View University Reviews and Ra"&amp;"tings:
Users can submit and view reviews and ratings for universities, enhancing community insights with collaborative filtering and sentiment analysis.
8. Enhance Recommendations with AI-Driven Insights:
The system refines program recommendations by anal"&amp;"yzing user data patterns and applying machine learning algorithms for deeper insights.")</f>
        <v>The Graduate Recommender System is an intelligent web application aimed at helping graduates discover the most suitable graduate programs. By collecting and analyzing user credentials, preferences, and eligibility criteria, the system provides personalized recommendations. It leverages real-time university data scraping to ensure that users receive the most accurate and relevant program options available.
1. Manage User Profiles and Preferences:
Users can create and update profiles with personal and academic information, utilizing collaborative filtering for personalized suggestions.
2. Collect and Store Academic Credentials:
This feature gathers and securely stores user academic details like GPA, courses, and certifications.
3. Input and Select Preferred Graduate Programs and Universities:
Users can specify their preferred graduate programs and universities, which is then used to tailor recommendations.
4. Evaluate Eligibility Against University Criteria:
The system matches user credentials with university eligibility requirements using rule-based algorithms and NLP for criteria interpretation.
5. Scrape and Update Real-Time University Data:
This feature scrapes and updates university data in real-time, ensuring the system provides current program information.
6. Generate and Prioritize Personalized Program Recommendations:
The recommendation engine uses AI and collaborative filtering to generate and prioritize graduate program suggestions based on user data.
7. Submit and View University Reviews and Ratings:
Users can submit and view reviews and ratings for universities, enhancing community insights with collaborative filtering and sentiment analysis.
8. Enhance Recommendations with AI-Driven Insights:
The system refines program recommendations by analyzing user data patterns and applying machine learning algorithms for deeper insights.</v>
      </c>
      <c r="D96" s="12" t="str">
        <f ca="1">IFERROR(__xludf.DUMMYFUNCTION("""COMPUTED_VALUE"""),"Mr. Majid Hussain")</f>
        <v>Mr. Majid Hussain</v>
      </c>
      <c r="E96" s="12" t="str">
        <f ca="1">IFERROR(__xludf.DUMMYFUNCTION("""COMPUTED_VALUE"""),"Dr. Zeshan Khan")</f>
        <v>Dr. Zeshan Khan</v>
      </c>
      <c r="F96" s="12" t="str">
        <f ca="1">IFERROR(__xludf.DUMMYFUNCTION("""COMPUTED_VALUE"""),"Muhammad Arham Akmal")</f>
        <v>Muhammad Arham Akmal</v>
      </c>
      <c r="G96" s="12" t="str">
        <f ca="1">IFERROR(__xludf.DUMMYFUNCTION("""COMPUTED_VALUE"""),"i210710")</f>
        <v>i210710</v>
      </c>
      <c r="H96" s="12" t="str">
        <f ca="1">IFERROR(__xludf.DUMMYFUNCTION("""COMPUTED_VALUE"""),"Muhammad Umair Tanveer")</f>
        <v>Muhammad Umair Tanveer</v>
      </c>
      <c r="I96" s="12" t="str">
        <f ca="1">IFERROR(__xludf.DUMMYFUNCTION("""COMPUTED_VALUE"""),"i210431")</f>
        <v>i210431</v>
      </c>
      <c r="J96" s="12" t="str">
        <f ca="1">IFERROR(__xludf.DUMMYFUNCTION("""COMPUTED_VALUE"""),"Muhammad Mudasir Saeed")</f>
        <v>Muhammad Mudasir Saeed</v>
      </c>
      <c r="K96" s="12" t="str">
        <f ca="1">IFERROR(__xludf.DUMMYFUNCTION("""COMPUTED_VALUE"""),"i210592")</f>
        <v>i210592</v>
      </c>
    </row>
    <row r="97" spans="1:11" ht="331.5">
      <c r="A97" s="12" t="str">
        <f ca="1">IFERROR(__xludf.DUMMYFUNCTION("""COMPUTED_VALUE"""),"F24-097-D-LingoLearn")</f>
        <v>F24-097-D-LingoLearn</v>
      </c>
      <c r="B97" s="13" t="str">
        <f ca="1">IFERROR(__xludf.DUMMYFUNCTION("""COMPUTED_VALUE""")," LingoLearn: Live the Language through Immersive Augmented Reality Cultural Scenarios and Practice")</f>
        <v xml:space="preserve"> LingoLearn: Live the Language through Immersive Augmented Reality Cultural Scenarios and Practice</v>
      </c>
      <c r="C97" s="14" t="str">
        <f ca="1">IFERROR(__xludf.DUMMYFUNCTION("""COMPUTED_VALUE"""),"Project Scope:  Overview
The Augmented Reality Language Learning Platform is a cutting-edge application designed to enhance language acquisition through immersive technology. Utilizing Augmented Reality (AR) and Artificial Intelligence (AI), this platfor"&amp;"m provides users with an interactive environment where they can practice and improve their language skills in realistic scenarios. By integrating contextual AR environments and advanced AI tools, the platform aims to make language learning more engaging a"&amp;"nd effective.
Key Features
Immersive AR Scenery: Users interact with virtual environments that simulate the cultural and contextual aspects of the language they are learning.
AI-Powered Language Companion: An AI bot with a natural accent offers int"&amp;"eractive guidance and conversation practice within the AR environment.
Accent and Pronunciation Feedback: Weekly assessments provide immediate feedback on pronunciation and accent, helping users refine their speaking skills.
Scenario-Based Final Ass"&amp;"essment: A comprehensive test involving realistic scenarios evaluates users’ conversational abilities and language comprehension.
Progress Tracking and Performance Analytics: Continuous monitoring and detailed analytics track user progress.
Interact"&amp;"ive Conversational Practice: Users engage in free-form conversations with the AI bot to enhance their fluency and contextual understanding.")</f>
        <v>Project Scope:  Overview
The Augmented Reality Language Learning Platform is a cutting-edge application designed to enhance language acquisition through immersive technology. Utilizing Augmented Reality (AR) and Artificial Intelligence (AI), this platform provides users with an interactive environment where they can practice and improve their language skills in realistic scenarios. By integrating contextual AR environments and advanced AI tools, the platform aims to make language learning more engaging and effective.
Key Features
Immersive AR Scenery: Users interact with virtual environments that simulate the cultural and contextual aspects of the language they are learning.
AI-Powered Language Companion: An AI bot with a natural accent offers interactive guidance and conversation practice within the AR environment.
Accent and Pronunciation Feedback: Weekly assessments provide immediate feedback on pronunciation and accent, helping users refine their speaking skills.
Scenario-Based Final Assessment: A comprehensive test involving realistic scenarios evaluates users’ conversational abilities and language comprehension.
Progress Tracking and Performance Analytics: Continuous monitoring and detailed analytics track user progress.
Interactive Conversational Practice: Users engage in free-form conversations with the AI bot to enhance their fluency and contextual understanding.</v>
      </c>
      <c r="D97" s="12" t="str">
        <f ca="1">IFERROR(__xludf.DUMMYFUNCTION("""COMPUTED_VALUE"""),"Mr. Shams Farooq")</f>
        <v>Mr. Shams Farooq</v>
      </c>
      <c r="E97" s="12" t="str">
        <f ca="1">IFERROR(__xludf.DUMMYFUNCTION("""COMPUTED_VALUE"""),"Mr. Usama Bin Imran")</f>
        <v>Mr. Usama Bin Imran</v>
      </c>
      <c r="F97" s="12" t="str">
        <f ca="1">IFERROR(__xludf.DUMMYFUNCTION("""COMPUTED_VALUE"""),"Shahmeer Ali Akhtar")</f>
        <v>Shahmeer Ali Akhtar</v>
      </c>
      <c r="G97" s="12" t="str">
        <f ca="1">IFERROR(__xludf.DUMMYFUNCTION("""COMPUTED_VALUE"""),"i210466")</f>
        <v>i210466</v>
      </c>
      <c r="H97" s="12" t="str">
        <f ca="1">IFERROR(__xludf.DUMMYFUNCTION("""COMPUTED_VALUE"""),"Fatima Basit")</f>
        <v>Fatima Basit</v>
      </c>
      <c r="I97" s="12" t="str">
        <f ca="1">IFERROR(__xludf.DUMMYFUNCTION("""COMPUTED_VALUE"""),"i210711")</f>
        <v>i210711</v>
      </c>
      <c r="J97" s="12" t="str">
        <f ca="1">IFERROR(__xludf.DUMMYFUNCTION("""COMPUTED_VALUE"""),"Aazan Shami")</f>
        <v>Aazan Shami</v>
      </c>
      <c r="K97" s="12" t="str">
        <f ca="1">IFERROR(__xludf.DUMMYFUNCTION("""COMPUTED_VALUE"""),"i210400")</f>
        <v>i210400</v>
      </c>
    </row>
    <row r="98" spans="1:11" ht="409.5">
      <c r="A98" s="12" t="str">
        <f ca="1">IFERROR(__xludf.DUMMYFUNCTION("""COMPUTED_VALUE"""),"F24-098-D-BidBot")</f>
        <v>F24-098-D-BidBot</v>
      </c>
      <c r="B98" s="13" t="str">
        <f ca="1">IFERROR(__xludf.DUMMYFUNCTION("""COMPUTED_VALUE"""),"Bid Bot: Freelance Automation and Engagement Suite ")</f>
        <v xml:space="preserve">Bid Bot: Freelance Automation and Engagement Suite </v>
      </c>
      <c r="C98" s="14" t="str">
        <f ca="1">IFERROR(__xludf.DUMMYFUNCTION("""COMPUTED_VALUE"""),"The project aims to develop an intelligent automation bot designed to streamline the workflow for freelancers on Upwork. This bot will handle a variety of tasks including job search, proposal submissions, client communication, and project tracking. The go"&amp;"al is to enhance productivity and efficiency by automating routine and repetitive tasks, allowing freelancers to focus on higher-value activities. The scope of the project includes integration with web scraping techniques if API access is limited, user-fr"&amp;"iendly interface design, and robust data management to ensure secure handling of personal and project information.
Key Features:
Automated Proposal Generation with AI: Advanced AI-powered suggestions that not only generate proposals based on job descrip"&amp;"tions but also adapt to client preferences and past interactions to increase the chances of winning bids.
Client Communication Automation: Intelligent response system that can handle routine client interactions and follow-ups based on predefined triggers"&amp;" and context, reducing manual communication effort.
Bid Management with Dynamic Adjustment: Automated bid placement that adjusts based on competitor bids, project urgency, and freelancer’s historical success rates to maximize winning potential.
Integrat"&amp;"ed Project Tracking Dashboard: Comprehensive project management tools within Upwork for tracking project status, deadlines, and milestones without needing to use external tools.
Advanced Time Tracking with Automation: Tools that automatically track time "&amp;"spent on tasks, categorize it, and provide detailed reports without manual logging.
Performance Analytics and Insights: Detailed analytics on proposal success rates, client feedback, project performance, and financial summaries to help freelancers make d"&amp;"ata-driven decisions.
Real-Time Notification and Alert System: Customized real-time alerts for job opportunities, message responses, and project updates to ensure timely action and avoid missed opportunities.
These features would address gaps in Upwork’"&amp;"s current offerings by providing more automation, analytics, and optimization tools to enhance freelancers' productivity and success on the platform.
")</f>
        <v xml:space="preserve">The project aims to develop an intelligent automation bot designed to streamline the workflow for freelancers on Upwork. This bot will handle a variety of tasks including job search, proposal submissions, client communication, and project tracking. The goal is to enhance productivity and efficiency by automating routine and repetitive tasks, allowing freelancers to focus on higher-value activities. The scope of the project includes integration with web scraping techniques if API access is limited, user-friendly interface design, and robust data management to ensure secure handling of personal and project information.
Key Features:
Automated Proposal Generation with AI: Advanced AI-powered suggestions that not only generate proposals based on job descriptions but also adapt to client preferences and past interactions to increase the chances of winning bids.
Client Communication Automation: Intelligent response system that can handle routine client interactions and follow-ups based on predefined triggers and context, reducing manual communication effort.
Bid Management with Dynamic Adjustment: Automated bid placement that adjusts based on competitor bids, project urgency, and freelancer’s historical success rates to maximize winning potential.
Integrated Project Tracking Dashboard: Comprehensive project management tools within Upwork for tracking project status, deadlines, and milestones without needing to use external tools.
Advanced Time Tracking with Automation: Tools that automatically track time spent on tasks, categorize it, and provide detailed reports without manual logging.
Performance Analytics and Insights: Detailed analytics on proposal success rates, client feedback, project performance, and financial summaries to help freelancers make data-driven decisions.
Real-Time Notification and Alert System: Customized real-time alerts for job opportunities, message responses, and project updates to ensure timely action and avoid missed opportunities.
These features would address gaps in Upwork’s current offerings by providing more automation, analytics, and optimization tools to enhance freelancers' productivity and success on the platform.
</v>
      </c>
      <c r="D98" s="12" t="str">
        <f ca="1">IFERROR(__xludf.DUMMYFUNCTION("""COMPUTED_VALUE"""),"Dr. Asif Naeem")</f>
        <v>Dr. Asif Naeem</v>
      </c>
      <c r="E98" s="12"/>
      <c r="F98" s="12" t="str">
        <f ca="1">IFERROR(__xludf.DUMMYFUNCTION("""COMPUTED_VALUE"""),"Basit Nazir ")</f>
        <v xml:space="preserve">Basit Nazir </v>
      </c>
      <c r="G98" s="12" t="str">
        <f ca="1">IFERROR(__xludf.DUMMYFUNCTION("""COMPUTED_VALUE"""),"i211205")</f>
        <v>i211205</v>
      </c>
      <c r="H98" s="12" t="str">
        <f ca="1">IFERROR(__xludf.DUMMYFUNCTION("""COMPUTED_VALUE"""),"Muhammad Bilal ")</f>
        <v xml:space="preserve">Muhammad Bilal </v>
      </c>
      <c r="I98" s="12" t="str">
        <f ca="1">IFERROR(__xludf.DUMMYFUNCTION("""COMPUTED_VALUE"""),"i211112")</f>
        <v>i211112</v>
      </c>
      <c r="J98" s="12"/>
      <c r="K98" s="12"/>
    </row>
    <row r="99" spans="1:11" ht="229.5">
      <c r="A99" s="12" t="str">
        <f ca="1">IFERROR(__xludf.DUMMYFUNCTION("""COMPUTED_VALUE"""),"F24-099-D-Paralegal")</f>
        <v>F24-099-D-Paralegal</v>
      </c>
      <c r="B99" s="13" t="str">
        <f ca="1">IFERROR(__xludf.DUMMYFUNCTION("""COMPUTED_VALUE"""),"Case Management System")</f>
        <v>Case Management System</v>
      </c>
      <c r="C99" s="14" t="str">
        <f ca="1">IFERROR(__xludf.DUMMYFUNCTION("""COMPUTED_VALUE"""),"The project involves developing an advanced Legal Case Management System tailored for lawyers in Pakistan to address inefficiencies in case handling and preparation. The system will provide a centralized platform for organizing, accessing, and analyzing c"&amp;"ase information, allowing lawyers to streamline their workflows, reduce delays, and enhance the quality of legal representation. The scope of the project includes integrating key legal resources, automating document creation, and supporting case law resea"&amp;"rch, ensuring that lawyers can present well-prepared arguments and expedite the legal process.
Features
1. Statues/Acts  Repository
2. Case Notes Repositry
3. Case Management
4. Clients Mangement
5. Automated Case Notes creation from Case Laws
6. Resear"&amp;"ch Document Creation for Case based on the case facts
7. Arguments generation for prosecutor and defendant
8. Legal Document Template Creation
")</f>
        <v xml:space="preserve">The project involves developing an advanced Legal Case Management System tailored for lawyers in Pakistan to address inefficiencies in case handling and preparation. The system will provide a centralized platform for organizing, accessing, and analyzing case information, allowing lawyers to streamline their workflows, reduce delays, and enhance the quality of legal representation. The scope of the project includes integrating key legal resources, automating document creation, and supporting case law research, ensuring that lawyers can present well-prepared arguments and expedite the legal process.
Features
1. Statues/Acts  Repository
2. Case Notes Repositry
3. Case Management
4. Clients Mangement
5. Automated Case Notes creation from Case Laws
6. Research Document Creation for Case based on the case facts
7. Arguments generation for prosecutor and defendant
8. Legal Document Template Creation
</v>
      </c>
      <c r="D99" s="12" t="str">
        <f ca="1">IFERROR(__xludf.DUMMYFUNCTION("""COMPUTED_VALUE"""),"Mr. Pir Sami Ullah Shah")</f>
        <v>Mr. Pir Sami Ullah Shah</v>
      </c>
      <c r="E99" s="12"/>
      <c r="F99" s="12" t="str">
        <f ca="1">IFERROR(__xludf.DUMMYFUNCTION("""COMPUTED_VALUE"""),"Muhammad Mahad Sheilh")</f>
        <v>Muhammad Mahad Sheilh</v>
      </c>
      <c r="G99" s="12" t="str">
        <f ca="1">IFERROR(__xludf.DUMMYFUNCTION("""COMPUTED_VALUE"""),"i211239")</f>
        <v>i211239</v>
      </c>
      <c r="H99" s="12" t="str">
        <f ca="1">IFERROR(__xludf.DUMMYFUNCTION("""COMPUTED_VALUE"""),"Wajeeh ul Hassan")</f>
        <v>Wajeeh ul Hassan</v>
      </c>
      <c r="I99" s="12" t="str">
        <f ca="1">IFERROR(__xludf.DUMMYFUNCTION("""COMPUTED_VALUE"""),"i212684")</f>
        <v>i212684</v>
      </c>
      <c r="J99" s="12"/>
      <c r="K99" s="12"/>
    </row>
    <row r="100" spans="1:11" ht="409.5">
      <c r="A100" s="12" t="str">
        <f ca="1">IFERROR(__xludf.DUMMYFUNCTION("""COMPUTED_VALUE"""),"F24-100-D-Palantir360")</f>
        <v>F24-100-D-Palantir360</v>
      </c>
      <c r="B100" s="13" t="str">
        <f ca="1">IFERROR(__xludf.DUMMYFUNCTION("""COMPUTED_VALUE"""),"Palantir360")</f>
        <v>Palantir360</v>
      </c>
      <c r="C100" s="14" t="str">
        <f ca="1">IFERROR(__xludf.DUMMYFUNCTION("""COMPUTED_VALUE"""),"Palantir360 is an innovative virtual reality (VR) solution designed for real estate societies, offering potential buyers an immersive and interactive experience to explore properties remotely. The project's scope encompasses creating a comprehensive VR en"&amp;"vironment that combines 360 view of the society with detailed interior models of individual homes. By utilizing drone footage, the Palantir360 generates 3D models of specific sectors, allowing users to take virtual tours of the neighborhood. For available"&amp;" properties, users can explore detailed interior models, providing a realistic sense of space and layout. The integration of an AI agent enhances the experience by answering user queries in real-time during both exterior and interior tours. Additionally, "&amp;"Palantir360 offers a unique feature that enables users to upload AutoCAD models of their dream homes, and visualize how they would fit into the existing landscape. This feature also includes customization options for elements such as paint colors and stor"&amp;"y levels etc. to further personalize the experience.
Key Features:
VR-based Real Estate Tours: Explore both outdoor and indoor spaces of real estate societies in an immersive VR environment.
Drone Footage Integration: Generate 3D models from drone foot"&amp;"age for a realistic representation of sectors and homes.
AI-Powered Query Assistance: An AI agent, using NLP, answers all customer queries during the VR tour.
Interior Model Exploration: Users can tour the inside of homes where 3D models are available.
"&amp;"AutoCAD Model Integration: Upload and visualize custom AutoCAD models within the VR space.
Customization Options: Customize features like paint and interior designs within the VR environment.
Real-Time Updates: Instant updates to the VR environment base"&amp;"d on new drone footage or model uploads.
Interactive User Interface: An intuitive and interactive interface for seamless navigation within the VR space.
Cross-Platform Compatibility: Accessible across various VR devices and platforms for a broad user ba"&amp;"se. Would also include a mobile application for accessibility.")</f>
        <v>Palantir360 is an innovative virtual reality (VR) solution designed for real estate societies, offering potential buyers an immersive and interactive experience to explore properties remotely. The project's scope encompasses creating a comprehensive VR environment that combines 360 view of the society with detailed interior models of individual homes. By utilizing drone footage, the Palantir360 generates 3D models of specific sectors, allowing users to take virtual tours of the neighborhood. For available properties, users can explore detailed interior models, providing a realistic sense of space and layout. The integration of an AI agent enhances the experience by answering user queries in real-time during both exterior and interior tours. Additionally, Palantir360 offers a unique feature that enables users to upload AutoCAD models of their dream homes, and visualize how they would fit into the existing landscape. This feature also includes customization options for elements such as paint colors and story levels etc. to further personalize the experience.
Key Features:
VR-based Real Estate Tours: Explore both outdoor and indoor spaces of real estate societies in an immersive VR environment.
Drone Footage Integration: Generate 3D models from drone footage for a realistic representation of sectors and homes.
AI-Powered Query Assistance: An AI agent, using NLP, answers all customer queries during the VR tour.
Interior Model Exploration: Users can tour the inside of homes where 3D models are available.
AutoCAD Model Integration: Upload and visualize custom AutoCAD models within the VR space.
Customization Options: Customize features like paint and interior designs within the VR environment.
Real-Time Updates: Instant updates to the VR environment based on new drone footage or model uploads.
Interactive User Interface: An intuitive and interactive interface for seamless navigation within the VR space.
Cross-Platform Compatibility: Accessible across various VR devices and platforms for a broad user base. Would also include a mobile application for accessibility.</v>
      </c>
      <c r="D100" s="12" t="str">
        <f ca="1">IFERROR(__xludf.DUMMYFUNCTION("""COMPUTED_VALUE"""),"Dr. Ahmad Raza Shahid")</f>
        <v>Dr. Ahmad Raza Shahid</v>
      </c>
      <c r="E100" s="12" t="str">
        <f ca="1">IFERROR(__xludf.DUMMYFUNCTION("""COMPUTED_VALUE"""),"Mr. Usama Bin Imran")</f>
        <v>Mr. Usama Bin Imran</v>
      </c>
      <c r="F100" s="12" t="str">
        <f ca="1">IFERROR(__xludf.DUMMYFUNCTION("""COMPUTED_VALUE"""),"Muhammad Huzaifa")</f>
        <v>Muhammad Huzaifa</v>
      </c>
      <c r="G100" s="12" t="str">
        <f ca="1">IFERROR(__xludf.DUMMYFUNCTION("""COMPUTED_VALUE"""),"i212460")</f>
        <v>i212460</v>
      </c>
      <c r="H100" s="12" t="str">
        <f ca="1">IFERROR(__xludf.DUMMYFUNCTION("""COMPUTED_VALUE"""),"Muhammad Kashif")</f>
        <v>Muhammad Kashif</v>
      </c>
      <c r="I100" s="12" t="str">
        <f ca="1">IFERROR(__xludf.DUMMYFUNCTION("""COMPUTED_VALUE"""),"i210851")</f>
        <v>i210851</v>
      </c>
      <c r="J100" s="12" t="str">
        <f ca="1">IFERROR(__xludf.DUMMYFUNCTION("""COMPUTED_VALUE"""),"Muhammad Ali Khan")</f>
        <v>Muhammad Ali Khan</v>
      </c>
      <c r="K100" s="12" t="str">
        <f ca="1">IFERROR(__xludf.DUMMYFUNCTION("""COMPUTED_VALUE"""),"i210766")</f>
        <v>i210766</v>
      </c>
    </row>
    <row r="101" spans="1:11" ht="409.5">
      <c r="A101" s="12" t="str">
        <f ca="1">IFERROR(__xludf.DUMMYFUNCTION("""COMPUTED_VALUE"""),"F24-101-D-Fabricae")</f>
        <v>F24-101-D-Fabricae</v>
      </c>
      <c r="B101" s="13" t="str">
        <f ca="1">IFERROR(__xludf.DUMMYFUNCTION("""COMPUTED_VALUE"""),"A unified platform that uses AI technology to enable independent designers to generate, customize, and publish their textile patterns to a designer marketplace.")</f>
        <v>A unified platform that uses AI technology to enable independent designers to generate, customize, and publish their textile patterns to a designer marketplace.</v>
      </c>
      <c r="C101" s="14" t="str">
        <f ca="1">IFERROR(__xludf.DUMMYFUNCTION("""COMPUTED_VALUE"""),"The web application is designed for independent designers, small clothing businesses, and general consumers to create custom textile patterns from descriptive prompts, accommodating designs for clothing items and accessories with inspiration from both Eas"&amp;"tern and Western aesthetics. Users will personalize their patterns by editing colors and adding embellishments. The platform enables designers and businesses to create, publish, and showcase their designs, which can be viewed by large fashion companies wh"&amp;"o can contact designers directly. To ensure design quality, the app will have automated color harmony checks and symmetry detection to prevent color clashes and maintain pattern alignment, ensuring visually appealing and well-proportioned designs.
The app"&amp;"lication requires internet connectivity and user sign-in for a secure and personalized experience. 
1. AI-Driven Pattern Generation: Allows users to create custom textile patterns based on seasonal choices using descriptive prompts, using AI to generate "&amp;"unique designs.
2. Pattern Quality Assurance: Includes automated features to check and suggest refinements for pattern quality, such as color harmony checks and symmetry detection.
3. 3D Visualization: Provides a 3D view of generated patterns applied to v"&amp;"arious clothing items(Eastern and Western) and accessories (hats, bags e.tc), allowing users to see how their designs look before production.
4. Design Customization : Offers customization options to print patterns on different fabric types(eg. silk, cott"&amp;"on etc.),  edit pattern colors, add embellishments (such as patchwork, laces, and buttons), and refine designs on the selected 3D model.
5. Designer Marketplace: A platform where independent designers can showcase their textile patterns and designs to big"&amp;" fashion companies.
6. Integrated Chat Feature: Facilitates direct communication between independent designers and fashion companies, enabling collaborations, customization requests, and business inquiries.
7. Screenshot protection: Implement an overlay w"&amp;"atermark that appears only when a screenshot is detected in order to ensure the integrity and protection of designs, especially when any fashion company attempts to take screenshots
8. Account Management and Personalization:
Requires users to sign in to a"&amp;"ccess all features, providing a secure and personalized experience with user-specific design storage and management.
")</f>
        <v xml:space="preserve">The web application is designed for independent designers, small clothing businesses, and general consumers to create custom textile patterns from descriptive prompts, accommodating designs for clothing items and accessories with inspiration from both Eastern and Western aesthetics. Users will personalize their patterns by editing colors and adding embellishments. The platform enables designers and businesses to create, publish, and showcase their designs, which can be viewed by large fashion companies who can contact designers directly. To ensure design quality, the app will have automated color harmony checks and symmetry detection to prevent color clashes and maintain pattern alignment, ensuring visually appealing and well-proportioned designs.
The application requires internet connectivity and user sign-in for a secure and personalized experience. 
1. AI-Driven Pattern Generation: Allows users to create custom textile patterns based on seasonal choices using descriptive prompts, using AI to generate unique designs.
2. Pattern Quality Assurance: Includes automated features to check and suggest refinements for pattern quality, such as color harmony checks and symmetry detection.
3. 3D Visualization: Provides a 3D view of generated patterns applied to various clothing items(Eastern and Western) and accessories (hats, bags e.tc), allowing users to see how their designs look before production.
4. Design Customization : Offers customization options to print patterns on different fabric types(eg. silk, cotton etc.),  edit pattern colors, add embellishments (such as patchwork, laces, and buttons), and refine designs on the selected 3D model.
5. Designer Marketplace: A platform where independent designers can showcase their textile patterns and designs to big fashion companies.
6. Integrated Chat Feature: Facilitates direct communication between independent designers and fashion companies, enabling collaborations, customization requests, and business inquiries.
7. Screenshot protection: Implement an overlay watermark that appears only when a screenshot is detected in order to ensure the integrity and protection of designs, especially when any fashion company attempts to take screenshots
8. Account Management and Personalization:
Requires users to sign in to access all features, providing a secure and personalized experience with user-specific design storage and management.
</v>
      </c>
      <c r="D101" s="12" t="str">
        <f ca="1">IFERROR(__xludf.DUMMYFUNCTION("""COMPUTED_VALUE"""),"Dr. Shahela Saif")</f>
        <v>Dr. Shahela Saif</v>
      </c>
      <c r="E101" s="12"/>
      <c r="F101" s="12" t="str">
        <f ca="1">IFERROR(__xludf.DUMMYFUNCTION("""COMPUTED_VALUE"""),"Aiyza Junaid")</f>
        <v>Aiyza Junaid</v>
      </c>
      <c r="G101" s="12" t="str">
        <f ca="1">IFERROR(__xludf.DUMMYFUNCTION("""COMPUTED_VALUE"""),"i211145")</f>
        <v>i211145</v>
      </c>
      <c r="H101" s="12" t="str">
        <f ca="1">IFERROR(__xludf.DUMMYFUNCTION("""COMPUTED_VALUE"""),"Haniya Tariq")</f>
        <v>Haniya Tariq</v>
      </c>
      <c r="I101" s="12" t="str">
        <f ca="1">IFERROR(__xludf.DUMMYFUNCTION("""COMPUTED_VALUE"""),"i211169")</f>
        <v>i211169</v>
      </c>
      <c r="J101" s="12" t="str">
        <f ca="1">IFERROR(__xludf.DUMMYFUNCTION("""COMPUTED_VALUE"""),"Anum Sajid")</f>
        <v>Anum Sajid</v>
      </c>
      <c r="K101" s="12" t="str">
        <f ca="1">IFERROR(__xludf.DUMMYFUNCTION("""COMPUTED_VALUE"""),"i211233")</f>
        <v>i211233</v>
      </c>
    </row>
    <row r="102" spans="1:11" ht="409.5">
      <c r="A102" s="12" t="str">
        <f ca="1">IFERROR(__xludf.DUMMYFUNCTION("""COMPUTED_VALUE"""),"F24-102-D-HealthMate")</f>
        <v>F24-102-D-HealthMate</v>
      </c>
      <c r="B102" s="13" t="str">
        <f ca="1">IFERROR(__xludf.DUMMYFUNCTION("""COMPUTED_VALUE"""),"HealthMate: An AI-powered application that provides personalized health advice, predictions, and insights by analyzing user data and medical reports")</f>
        <v>HealthMate: An AI-powered application that provides personalized health advice, predictions, and insights by analyzing user data and medical reports</v>
      </c>
      <c r="C102" s="14" t="str">
        <f ca="1">IFERROR(__xludf.DUMMYFUNCTION("""COMPUTED_VALUE"""),"HealthMate is an innovative AI-driven mobile and web application designed to empower users to take control of their health by providing personalized advice, predictive insights, and comprehensive health management tools. The application leverages generati"&amp;"ve AI to analyze user data, including real-time metrics from wearables and IoT devices, as well as existing medical reports, to offer tailored health recommendations. HealthMate’s scope extends from daily wellness tips to advanced predictive modeling for "&amp;"potential health risks, making it an essential tool for proactive health management. The application is designed with a strong focus on data privacy, user engagement, and seamless integration with existing health ecosystems, ensuring that users receive ac"&amp;"curate, reliable, and actionable insights to enhance their overall well-being.
Key Features:
1- Personalized Health Advice: Custom recommendations on nutrition, exercise, sleep, and lifestyle adjustments based on user data.
2- Health Data Integration: R"&amp;"eal-time data collection and analysis from user inputs, wearables, and IoT devices.
3- AI-Driven Health Predictions: Forecasts potential health risks using advanced generative AI models.
4- Symptom Checker: AI-powered tool for diagnosing symptoms and prov"&amp;"iding advice on further medical action.
5- Medical Report Scanning: OCR technology to scan and extract key information from existing medical reports and prescriptions.
6- Medical Test Analysis: Automated analysis of blood tests and other medical reports t"&amp;"o detect abnormalities and provide recommendations.
7- Health Dashboard: Centralized display of key health metrics, advice, and predictive analytics.
8- Emergency Alerts: Real-time alerts sent to users and emergency contacts for critical health issues.
9-"&amp;" Community Support: Platform for users to connect, share experiences, and access peer-reviewed health content.
10- Multi-Platform Access: Seamless accessibility on both mobile and web applications for convenient health management.")</f>
        <v>HealthMate is an innovative AI-driven mobile and web application designed to empower users to take control of their health by providing personalized advice, predictive insights, and comprehensive health management tools. The application leverages generative AI to analyze user data, including real-time metrics from wearables and IoT devices, as well as existing medical reports, to offer tailored health recommendations. HealthMate’s scope extends from daily wellness tips to advanced predictive modeling for potential health risks, making it an essential tool for proactive health management. The application is designed with a strong focus on data privacy, user engagement, and seamless integration with existing health ecosystems, ensuring that users receive accurate, reliable, and actionable insights to enhance their overall well-being.
Key Features:
1- Personalized Health Advice: Custom recommendations on nutrition, exercise, sleep, and lifestyle adjustments based on user data.
2- Health Data Integration: Real-time data collection and analysis from user inputs, wearables, and IoT devices.
3- AI-Driven Health Predictions: Forecasts potential health risks using advanced generative AI models.
4- Symptom Checker: AI-powered tool for diagnosing symptoms and providing advice on further medical action.
5- Medical Report Scanning: OCR technology to scan and extract key information from existing medical reports and prescriptions.
6- Medical Test Analysis: Automated analysis of blood tests and other medical reports to detect abnormalities and provide recommendations.
7- Health Dashboard: Centralized display of key health metrics, advice, and predictive analytics.
8- Emergency Alerts: Real-time alerts sent to users and emergency contacts for critical health issues.
9- Community Support: Platform for users to connect, share experiences, and access peer-reviewed health content.
10- Multi-Platform Access: Seamless accessibility on both mobile and web applications for convenient health management.</v>
      </c>
      <c r="D102" s="12" t="str">
        <f ca="1">IFERROR(__xludf.DUMMYFUNCTION("""COMPUTED_VALUE"""),"Mr. Pir Sami Ullah Shah")</f>
        <v>Mr. Pir Sami Ullah Shah</v>
      </c>
      <c r="E102" s="12"/>
      <c r="F102" s="12" t="str">
        <f ca="1">IFERROR(__xludf.DUMMYFUNCTION("""COMPUTED_VALUE"""),"Muhammad Ali Khan")</f>
        <v>Muhammad Ali Khan</v>
      </c>
      <c r="G102" s="12" t="str">
        <f ca="1">IFERROR(__xludf.DUMMYFUNCTION("""COMPUTED_VALUE"""),"i210429")</f>
        <v>i210429</v>
      </c>
      <c r="H102" s="12" t="str">
        <f ca="1">IFERROR(__xludf.DUMMYFUNCTION("""COMPUTED_VALUE"""),"Anas Mohsin")</f>
        <v>Anas Mohsin</v>
      </c>
      <c r="I102" s="12" t="str">
        <f ca="1">IFERROR(__xludf.DUMMYFUNCTION("""COMPUTED_VALUE"""),"i210609")</f>
        <v>i210609</v>
      </c>
      <c r="J102" s="12" t="str">
        <f ca="1">IFERROR(__xludf.DUMMYFUNCTION("""COMPUTED_VALUE"""),"Haider Rizvi")</f>
        <v>Haider Rizvi</v>
      </c>
      <c r="K102" s="12" t="str">
        <f ca="1">IFERROR(__xludf.DUMMYFUNCTION("""COMPUTED_VALUE"""),"i210547")</f>
        <v>i210547</v>
      </c>
    </row>
    <row r="103" spans="1:11" ht="102">
      <c r="A103" s="12" t="str">
        <f ca="1">IFERROR(__xludf.DUMMYFUNCTION("""COMPUTED_VALUE"""),"F24-103-D-SkillSpark")</f>
        <v>F24-103-D-SkillSpark</v>
      </c>
      <c r="B103" s="13" t="str">
        <f ca="1">IFERROR(__xludf.DUMMYFUNCTION("""COMPUTED_VALUE"""),"SkillSpark: A Learning app catering to the needs of Austistic Kids")</f>
        <v>SkillSpark: A Learning app catering to the needs of Austistic Kids</v>
      </c>
      <c r="C103" s="14" t="str">
        <f ca="1">IFERROR(__xludf.DUMMYFUNCTION("""COMPUTED_VALUE"""),"Skillspark is a Learning app specifically tailored to the need of autistic Children and helps them learn by using their obsessions. It involves games with alot of environmental tasks that teaches them learning ranging from counting to social safety and cu"&amp;"es. 
 KEY FEATURES: 1.AI Driven Choosing 
 2.Tailored learning 
 3.Autism friendly Ui and concepts 
 4.Caregiver dashboard")</f>
        <v>Skillspark is a Learning app specifically tailored to the need of autistic Children and helps them learn by using their obsessions. It involves games with alot of environmental tasks that teaches them learning ranging from counting to social safety and cues. 
 KEY FEATURES: 1.AI Driven Choosing 
 2.Tailored learning 
 3.Autism friendly Ui and concepts 
 4.Caregiver dashboard</v>
      </c>
      <c r="D103" s="12" t="str">
        <f ca="1">IFERROR(__xludf.DUMMYFUNCTION("""COMPUTED_VALUE"""),"Ms. Marium Hida")</f>
        <v>Ms. Marium Hida</v>
      </c>
      <c r="E103" s="12"/>
      <c r="F103" s="12" t="str">
        <f ca="1">IFERROR(__xludf.DUMMYFUNCTION("""COMPUTED_VALUE"""),"Mishal Ahmed")</f>
        <v>Mishal Ahmed</v>
      </c>
      <c r="G103" s="12" t="str">
        <f ca="1">IFERROR(__xludf.DUMMYFUNCTION("""COMPUTED_VALUE"""),"i210471")</f>
        <v>i210471</v>
      </c>
      <c r="H103" s="12" t="str">
        <f ca="1">IFERROR(__xludf.DUMMYFUNCTION("""COMPUTED_VALUE"""),"Muhammad Shaheer Khan")</f>
        <v>Muhammad Shaheer Khan</v>
      </c>
      <c r="I103" s="12" t="str">
        <f ca="1">IFERROR(__xludf.DUMMYFUNCTION("""COMPUTED_VALUE"""),"i211358")</f>
        <v>i211358</v>
      </c>
      <c r="J103" s="12" t="str">
        <f ca="1">IFERROR(__xludf.DUMMYFUNCTION("""COMPUTED_VALUE"""),"Malghalara Khan")</f>
        <v>Malghalara Khan</v>
      </c>
      <c r="K103" s="12" t="str">
        <f ca="1">IFERROR(__xludf.DUMMYFUNCTION("""COMPUTED_VALUE"""),"i212488")</f>
        <v>i212488</v>
      </c>
    </row>
    <row r="104" spans="1:11" ht="165.75">
      <c r="A104" s="12" t="str">
        <f ca="1">IFERROR(__xludf.DUMMYFUNCTION("""COMPUTED_VALUE"""),"F24-104-D-FitFlex")</f>
        <v>F24-104-D-FitFlex</v>
      </c>
      <c r="B104" s="13" t="str">
        <f ca="1">IFERROR(__xludf.DUMMYFUNCTION("""COMPUTED_VALUE""")," FitFlex: Gym Trainer")</f>
        <v xml:space="preserve"> FitFlex: Gym Trainer</v>
      </c>
      <c r="C104" s="14" t="str">
        <f ca="1">IFERROR(__xludf.DUMMYFUNCTION("""COMPUTED_VALUE"""),"Project scope: we intend to build a one-stop fitness mobile application to make the process of finding a gym and working out much easier, incorporating real time assessment and visual/audio feedback generation. Modules
 .Gym accessories 
.Find gyms near"&amp;" me
.Real time Workout assessment through computer vision and deep learning
.Real time rep counter
.Real time audio feedback
.AR based feedback (optional)
.AI chatbot for gym/workout
.Goal tailored workout recommendations
.Performance reports  
.G"&amp;"ym community and forums")</f>
        <v>Project scope: we intend to build a one-stop fitness mobile application to make the process of finding a gym and working out much easier, incorporating real time assessment and visual/audio feedback generation. Modules
 .Gym accessories 
.Find gyms near me
.Real time Workout assessment through computer vision and deep learning
.Real time rep counter
.Real time audio feedback
.AR based feedback (optional)
.AI chatbot for gym/workout
.Goal tailored workout recommendations
.Performance reports  
.Gym community and forums</v>
      </c>
      <c r="D104" s="12" t="str">
        <f ca="1">IFERROR(__xludf.DUMMYFUNCTION("""COMPUTED_VALUE"""),"Ms. Nirmal Tariq")</f>
        <v>Ms. Nirmal Tariq</v>
      </c>
      <c r="E104" s="12"/>
      <c r="F104" s="12" t="str">
        <f ca="1">IFERROR(__xludf.DUMMYFUNCTION("""COMPUTED_VALUE"""),"Aazan")</f>
        <v>Aazan</v>
      </c>
      <c r="G104" s="12" t="str">
        <f ca="1">IFERROR(__xludf.DUMMYFUNCTION("""COMPUTED_VALUE"""),"i212950")</f>
        <v>i212950</v>
      </c>
      <c r="H104" s="12" t="str">
        <f ca="1">IFERROR(__xludf.DUMMYFUNCTION("""COMPUTED_VALUE"""),"Abdullah Bin Masood")</f>
        <v>Abdullah Bin Masood</v>
      </c>
      <c r="I104" s="12" t="str">
        <f ca="1">IFERROR(__xludf.DUMMYFUNCTION("""COMPUTED_VALUE"""),"i210451")</f>
        <v>i210451</v>
      </c>
      <c r="J104" s="12" t="str">
        <f ca="1">IFERROR(__xludf.DUMMYFUNCTION("""COMPUTED_VALUE"""),"Fauz ahmed")</f>
        <v>Fauz ahmed</v>
      </c>
      <c r="K104" s="12" t="str">
        <f ca="1">IFERROR(__xludf.DUMMYFUNCTION("""COMPUTED_VALUE"""),"i212542")</f>
        <v>i212542</v>
      </c>
    </row>
    <row r="105" spans="1:11" ht="114.75">
      <c r="A105" s="12" t="str">
        <f ca="1">IFERROR(__xludf.DUMMYFUNCTION("""COMPUTED_VALUE"""),"F24-105-D-RouteRover")</f>
        <v>F24-105-D-RouteRover</v>
      </c>
      <c r="B105" s="13" t="str">
        <f ca="1">IFERROR(__xludf.DUMMYFUNCTION("""COMPUTED_VALUE"""),"RouteRover")</f>
        <v>RouteRover</v>
      </c>
      <c r="C105" s="14" t="str">
        <f ca="1">IFERROR(__xludf.DUMMYFUNCTION("""COMPUTED_VALUE"""),"RouteRover is a mobile application that aims to provide real-time information and updates about different areas, similar to Google Maps, but with a unique set of features that enhances its functionality. These features include crowdsourced area updates, A"&amp;"I-powered insights for predicting traffic patterns and area conditions, customizable alerts for safety or event notifications, augmented reality (AR) overlays for real-time data visualization, and hyperlocal news and social media updates. Additionally, th"&amp;"e app encourages community engagement through localized discussions and micro-networks, offers eco-friendly route suggestions, and delivers highly personalized and context-aware notifications, creating a dynamic, user-driven platform that goes beyond trad"&amp;"itional mapping tools.
")</f>
        <v xml:space="preserve">RouteRover is a mobile application that aims to provide real-time information and updates about different areas, similar to Google Maps, but with a unique set of features that enhances its functionality. These features include crowdsourced area updates, AI-powered insights for predicting traffic patterns and area conditions, customizable alerts for safety or event notifications, augmented reality (AR) overlays for real-time data visualization, and hyperlocal news and social media updates. Additionally, the app encourages community engagement through localized discussions and micro-networks, offers eco-friendly route suggestions, and delivers highly personalized and context-aware notifications, creating a dynamic, user-driven platform that goes beyond traditional mapping tools.
</v>
      </c>
      <c r="D105" s="12" t="str">
        <f ca="1">IFERROR(__xludf.DUMMYFUNCTION("""COMPUTED_VALUE"""),"Mr. Saad Salman")</f>
        <v>Mr. Saad Salman</v>
      </c>
      <c r="E105" s="12" t="str">
        <f ca="1">IFERROR(__xludf.DUMMYFUNCTION("""COMPUTED_VALUE"""),"Ms. Marium Hida")</f>
        <v>Ms. Marium Hida</v>
      </c>
      <c r="F105" s="12" t="str">
        <f ca="1">IFERROR(__xludf.DUMMYFUNCTION("""COMPUTED_VALUE"""),"Humna Shafique")</f>
        <v>Humna Shafique</v>
      </c>
      <c r="G105" s="12" t="str">
        <f ca="1">IFERROR(__xludf.DUMMYFUNCTION("""COMPUTED_VALUE"""),"i212464")</f>
        <v>i212464</v>
      </c>
      <c r="H105" s="12" t="str">
        <f ca="1">IFERROR(__xludf.DUMMYFUNCTION("""COMPUTED_VALUE"""),"Uswa Siddiq")</f>
        <v>Uswa Siddiq</v>
      </c>
      <c r="I105" s="12" t="str">
        <f ca="1">IFERROR(__xludf.DUMMYFUNCTION("""COMPUTED_VALUE"""),"i210551")</f>
        <v>i210551</v>
      </c>
      <c r="J105" s="12" t="str">
        <f ca="1">IFERROR(__xludf.DUMMYFUNCTION("""COMPUTED_VALUE"""),"Huzaifa Haider")</f>
        <v>Huzaifa Haider</v>
      </c>
      <c r="K105" s="12" t="str">
        <f ca="1">IFERROR(__xludf.DUMMYFUNCTION("""COMPUTED_VALUE"""),"i210784")</f>
        <v>i210784</v>
      </c>
    </row>
    <row r="106" spans="1:11" ht="229.5">
      <c r="A106" s="12" t="str">
        <f ca="1">IFERROR(__xludf.DUMMYFUNCTION("""COMPUTED_VALUE"""),"F24-106-D-CodeNexus")</f>
        <v>F24-106-D-CodeNexus</v>
      </c>
      <c r="B106" s="13" t="str">
        <f ca="1">IFERROR(__xludf.DUMMYFUNCTION("""COMPUTED_VALUE"""),"CodeNexus")</f>
        <v>CodeNexus</v>
      </c>
      <c r="C106" s="14" t="str">
        <f ca="1">IFERROR(__xludf.DUMMYFUNCTION("""COMPUTED_VALUE"""),"CodeNexus aims to create a comprehensive code analysis tool that detects code smells across an entire codebase, rather than just individual files. Code smells are suboptimal practices that can reduce the quality and maintainability of a codebase, hence th"&amp;"is project aims to enhance the code quality and maintainability of code before it is committed and pushed. The tool will analyze inter-file dependencies and provide refactoring suggestions, ensuring that the codebase remains clean, efficient, and easy to "&amp;"manage. The end result of our project is an open source VS Code extension that will allow developers to skip the paid options.
Analysis of the project
AST Generation 
AST Visualization
Real time detection of certain code smells 
Manually triggered detecti"&amp;"on of certain code smells
Manually configured rulesets for detection and refactoring to include or exclude files
Refactoring suggestions based on the identified code smells 
Revert modifications made after refactoring the code
Report generation post-analy"&amp;"sis and/or refactoring
Web-based version control and history management")</f>
        <v>CodeNexus aims to create a comprehensive code analysis tool that detects code smells across an entire codebase, rather than just individual files. Code smells are suboptimal practices that can reduce the quality and maintainability of a codebase, hence this project aims to enhance the code quality and maintainability of code before it is committed and pushed. The tool will analyze inter-file dependencies and provide refactoring suggestions, ensuring that the codebase remains clean, efficient, and easy to manage. The end result of our project is an open source VS Code extension that will allow developers to skip the paid options.
Analysis of the project
AST Generation 
AST Visualization
Real time detection of certain code smells 
Manually triggered detection of certain code smells
Manually configured rulesets for detection and refactoring to include or exclude files
Refactoring suggestions based on the identified code smells 
Revert modifications made after refactoring the code
Report generation post-analysis and/or refactoring
Web-based version control and history management</v>
      </c>
      <c r="D106" s="12" t="str">
        <f ca="1">IFERROR(__xludf.DUMMYFUNCTION("""COMPUTED_VALUE"""),"Dr. Atif Jilani")</f>
        <v>Dr. Atif Jilani</v>
      </c>
      <c r="E106" s="12"/>
      <c r="F106" s="12" t="str">
        <f ca="1">IFERROR(__xludf.DUMMYFUNCTION("""COMPUTED_VALUE"""),"Amna Shehzad")</f>
        <v>Amna Shehzad</v>
      </c>
      <c r="G106" s="12" t="str">
        <f ca="1">IFERROR(__xludf.DUMMYFUNCTION("""COMPUTED_VALUE"""),"i211209")</f>
        <v>i211209</v>
      </c>
      <c r="H106" s="12" t="str">
        <f ca="1">IFERROR(__xludf.DUMMYFUNCTION("""COMPUTED_VALUE"""),"Malaika Zafar")</f>
        <v>Malaika Zafar</v>
      </c>
      <c r="I106" s="12" t="str">
        <f ca="1">IFERROR(__xludf.DUMMYFUNCTION("""COMPUTED_VALUE"""),"i211110")</f>
        <v>i211110</v>
      </c>
      <c r="J106" s="12" t="str">
        <f ca="1">IFERROR(__xludf.DUMMYFUNCTION("""COMPUTED_VALUE"""),"Talal Habib")</f>
        <v>Talal Habib</v>
      </c>
      <c r="K106" s="12" t="str">
        <f ca="1">IFERROR(__xludf.DUMMYFUNCTION("""COMPUTED_VALUE"""),"i211111")</f>
        <v>i211111</v>
      </c>
    </row>
    <row r="107" spans="1:11" ht="357">
      <c r="A107" s="12" t="str">
        <f ca="1">IFERROR(__xludf.DUMMYFUNCTION("""COMPUTED_VALUE"""),"F24-107-D-SparkQuest")</f>
        <v>F24-107-D-SparkQuest</v>
      </c>
      <c r="B107" s="13" t="str">
        <f ca="1">IFERROR(__xludf.DUMMYFUNCTION("""COMPUTED_VALUE"""),"SparkQuest: AI powered Learning Platform for Elementary School Students")</f>
        <v>SparkQuest: AI powered Learning Platform for Elementary School Students</v>
      </c>
      <c r="C107" s="14" t="str">
        <f ca="1">IFERROR(__xludf.DUMMYFUNCTION("""COMPUTED_VALUE"""),"Scope:
We propose the development of an innovative educational app designed to enhance the learning experience of primary grade students through interactive and engaging modules. The app will mainly focus on enhancing learning through audio-visual aid Via"&amp;" Gen-AI. The app will also feature native language support to help Pakistani students understand the content clearly.
Key Features:
Q/A module: This module with generate questions from a textbook for students to practice for their tests
Image Q/A modul"&amp;"e: This module interprets and explains given images, helping students understand and describe what is happening in the visual content. 
Text to audio feature: The app will include a Text to Audio feature, making the app accessible to students with differe"&amp;"nt learning preferences and needs.
Evaluation and testing of students based on the accuracy of their answers to the questions generated by the system.
Topic explanation/summarization: This feature will specify topics from a pdf, given text or a book.
Topi"&amp;"c explanation and question answering from a video: This feature can be used to explain a given video or answer a given question by the user from the video. 
Dual language support: The app will support English as well as Urdu input and output (speech and t"&amp;"ext both).
Interactive question answering game: A feature to support interactive question answering games to engage a student and promote faster learning.
Data base: Record all student data, and save in a database to keep track of student evaluations")</f>
        <v>Scope:
We propose the development of an innovative educational app designed to enhance the learning experience of primary grade students through interactive and engaging modules. The app will mainly focus on enhancing learning through audio-visual aid Via Gen-AI. The app will also feature native language support to help Pakistani students understand the content clearly.
Key Features:
Q/A module: This module with generate questions from a textbook for students to practice for their tests
Image Q/A module: This module interprets and explains given images, helping students understand and describe what is happening in the visual content. 
Text to audio feature: The app will include a Text to Audio feature, making the app accessible to students with different learning preferences and needs.
Evaluation and testing of students based on the accuracy of their answers to the questions generated by the system.
Topic explanation/summarization: This feature will specify topics from a pdf, given text or a book.
Topic explanation and question answering from a video: This feature can be used to explain a given video or answer a given question by the user from the video. 
Dual language support: The app will support English as well as Urdu input and output (speech and text both).
Interactive question answering game: A feature to support interactive question answering games to engage a student and promote faster learning.
Data base: Record all student data, and save in a database to keep track of student evaluations</v>
      </c>
      <c r="D107" s="12" t="str">
        <f ca="1">IFERROR(__xludf.DUMMYFUNCTION("""COMPUTED_VALUE"""),"Mr. Adil Majeed")</f>
        <v>Mr. Adil Majeed</v>
      </c>
      <c r="E107" s="12" t="str">
        <f ca="1">IFERROR(__xludf.DUMMYFUNCTION("""COMPUTED_VALUE"""),"Dr. Usman Haider")</f>
        <v>Dr. Usman Haider</v>
      </c>
      <c r="F107" s="12" t="str">
        <f ca="1">IFERROR(__xludf.DUMMYFUNCTION("""COMPUTED_VALUE"""),"Maheen Shoukat")</f>
        <v>Maheen Shoukat</v>
      </c>
      <c r="G107" s="12" t="str">
        <f ca="1">IFERROR(__xludf.DUMMYFUNCTION("""COMPUTED_VALUE"""),"i212719")</f>
        <v>i212719</v>
      </c>
      <c r="H107" s="12" t="str">
        <f ca="1">IFERROR(__xludf.DUMMYFUNCTION("""COMPUTED_VALUE"""),"Talha Nadeem")</f>
        <v>Talha Nadeem</v>
      </c>
      <c r="I107" s="12" t="str">
        <f ca="1">IFERROR(__xludf.DUMMYFUNCTION("""COMPUTED_VALUE"""),"i210313")</f>
        <v>i210313</v>
      </c>
      <c r="J107" s="12" t="str">
        <f ca="1">IFERROR(__xludf.DUMMYFUNCTION("""COMPUTED_VALUE"""),"Syeda Aiman Azhar")</f>
        <v>Syeda Aiman Azhar</v>
      </c>
      <c r="K107" s="12" t="str">
        <f ca="1">IFERROR(__xludf.DUMMYFUNCTION("""COMPUTED_VALUE"""),"i210290")</f>
        <v>i210290</v>
      </c>
    </row>
    <row r="108" spans="1:11" ht="178.5">
      <c r="A108" s="12" t="str">
        <f ca="1">IFERROR(__xludf.DUMMYFUNCTION("""COMPUTED_VALUE"""),"F24-108-D-PurrfectAssistant")</f>
        <v>F24-108-D-PurrfectAssistant</v>
      </c>
      <c r="B108" s="13" t="str">
        <f ca="1">IFERROR(__xludf.DUMMYFUNCTION("""COMPUTED_VALUE"""),"Purrfect Assistant")</f>
        <v>Purrfect Assistant</v>
      </c>
      <c r="C108" s="14" t="str">
        <f ca="1">IFERROR(__xludf.DUMMYFUNCTION("""COMPUTED_VALUE"""),"""Purrfect Assistant"" is a comprehensive mobile app designed to provide cat owners with personalized and reliable tools for optimal cat care.
Key Features:
1- Diet Tracker and AI Powered Personalised Diet Recommendations
2- AI powered cat care recommend"&amp;"ations and tips (Grooming, Exercise, and Neutering Guidance)
3- AI-Powered Chatbot for Quick Assistance
4- Specialized Care for Newborn and Rescue Cats
5- Integrated Cat Doctor for healthcare and veterinary recommendations. 
6- Cat Training Tips and Resou"&amp;"rces
7- Cat Accessories recommendations and online listings 
8- Cat Breed Detection Tool
9- GPS Tracker for Cat Safety")</f>
        <v>"Purrfect Assistant" is a comprehensive mobile app designed to provide cat owners with personalized and reliable tools for optimal cat care.
Key Features:
1- Diet Tracker and AI Powered Personalised Diet Recommendations
2- AI powered cat care recommendations and tips (Grooming, Exercise, and Neutering Guidance)
3- AI-Powered Chatbot for Quick Assistance
4- Specialized Care for Newborn and Rescue Cats
5- Integrated Cat Doctor for healthcare and veterinary recommendations. 
6- Cat Training Tips and Resources
7- Cat Accessories recommendations and online listings 
8- Cat Breed Detection Tool
9- GPS Tracker for Cat Safety</v>
      </c>
      <c r="D108" s="12" t="str">
        <f ca="1">IFERROR(__xludf.DUMMYFUNCTION("""COMPUTED_VALUE"""),"Ms. Sana Razzaq")</f>
        <v>Ms. Sana Razzaq</v>
      </c>
      <c r="E108" s="12" t="str">
        <f ca="1">IFERROR(__xludf.DUMMYFUNCTION("""COMPUTED_VALUE"""),"Dr. Shahela Saif")</f>
        <v>Dr. Shahela Saif</v>
      </c>
      <c r="F108" s="12" t="str">
        <f ca="1">IFERROR(__xludf.DUMMYFUNCTION("""COMPUTED_VALUE"""),"Muhammad Jahanzeb Khan")</f>
        <v>Muhammad Jahanzeb Khan</v>
      </c>
      <c r="G108" s="12" t="str">
        <f ca="1">IFERROR(__xludf.DUMMYFUNCTION("""COMPUTED_VALUE"""),"i210419")</f>
        <v>i210419</v>
      </c>
      <c r="H108" s="12" t="str">
        <f ca="1">IFERROR(__xludf.DUMMYFUNCTION("""COMPUTED_VALUE"""),"Muhammad Shayaan Nofil")</f>
        <v>Muhammad Shayaan Nofil</v>
      </c>
      <c r="I108" s="12" t="str">
        <f ca="1">IFERROR(__xludf.DUMMYFUNCTION("""COMPUTED_VALUE"""),"i210450")</f>
        <v>i210450</v>
      </c>
      <c r="J108" s="12" t="str">
        <f ca="1">IFERROR(__xludf.DUMMYFUNCTION("""COMPUTED_VALUE"""),"Muhammad Abdullah Khan")</f>
        <v>Muhammad Abdullah Khan</v>
      </c>
      <c r="K108" s="12" t="str">
        <f ca="1">IFERROR(__xludf.DUMMYFUNCTION("""COMPUTED_VALUE"""),"i211385")</f>
        <v>i211385</v>
      </c>
    </row>
    <row r="109" spans="1:11" ht="344.25">
      <c r="A109" s="12" t="str">
        <f ca="1">IFERROR(__xludf.DUMMYFUNCTION("""COMPUTED_VALUE"""),"F24-109-R-WhisperMini")</f>
        <v>F24-109-R-WhisperMini</v>
      </c>
      <c r="B109" s="13" t="str">
        <f ca="1">IFERROR(__xludf.DUMMYFUNCTION("""COMPUTED_VALUE"""),"ScholarWatch: Smart Engagement and Performance Tracker")</f>
        <v>ScholarWatch: Smart Engagement and Performance Tracker</v>
      </c>
      <c r="C109" s="14" t="str">
        <f ca="1">IFERROR(__xludf.DUMMYFUNCTION("""COMPUTED_VALUE"""),"Scholarwatch aims to elevate the functionality of an existing Learning Management System (LMS) by integrating sophisticated AI-driven features that optimize content delivery and enhance student monitoring. The platform fosters flexible learning by adaptin"&amp;"g to each student's unique needs, pinpointing areas of difficulty, and providing targeted support to boost academic performance. Scholarwatch also ensures academic integrity by incorporating advanced mechanisms to monitor and prevent cheating during asses"&amp;"sments.
Key Features:
- Automated Slide Generation: Input a book chapter in PDF format, and the system generates slides with comprehensive explanations of the topic.
- Cheating Prevention: Monitors student behavior, including eye movement patterns, tab "&amp;"switching, and split-screen usage, to detect potential cheating.
- Attention Tracking: Analyzes student's posture and facial expressions to assess attentiveness during lectures.
- Attendance Monitoring: Tracks the duration of a student's participation in "&amp;"lectures to accurately record attendance.
- Insightful Analytics: Monitoring frequent visits  and time duration on specific slides, giving teachers insights into topics where students may be struggling.
- Interactive Quizzes: Administers quizzes during or"&amp;" after lectures to assess student understanding of the material.
- Revised Content Delivery: Offers additional lectures or materials to students who struggle with quiz topics.
- Progress Control: Prevents students from advancing to new topics without comp"&amp;"leting prerequisite content as determined by the teacher.
- Interactive Teacher Avatars: (Optional) A teacher avatar can be used for interactive and engaging lectures.")</f>
        <v>Scholarwatch aims to elevate the functionality of an existing Learning Management System (LMS) by integrating sophisticated AI-driven features that optimize content delivery and enhance student monitoring. The platform fosters flexible learning by adapting to each student's unique needs, pinpointing areas of difficulty, and providing targeted support to boost academic performance. Scholarwatch also ensures academic integrity by incorporating advanced mechanisms to monitor and prevent cheating during assessments.
Key Features:
- Automated Slide Generation: Input a book chapter in PDF format, and the system generates slides with comprehensive explanations of the topic.
- Cheating Prevention: Monitors student behavior, including eye movement patterns, tab switching, and split-screen usage, to detect potential cheating.
- Attention Tracking: Analyzes student's posture and facial expressions to assess attentiveness during lectures.
- Attendance Monitoring: Tracks the duration of a student's participation in lectures to accurately record attendance.
- Insightful Analytics: Monitoring frequent visits  and time duration on specific slides, giving teachers insights into topics where students may be struggling.
- Interactive Quizzes: Administers quizzes during or after lectures to assess student understanding of the material.
- Revised Content Delivery: Offers additional lectures or materials to students who struggle with quiz topics.
- Progress Control: Prevents students from advancing to new topics without completing prerequisite content as determined by the teacher.
- Interactive Teacher Avatars: (Optional) A teacher avatar can be used for interactive and engaging lectures.</v>
      </c>
      <c r="D109" s="15" t="str">
        <f ca="1">IFERROR(__xludf.DUMMYFUNCTION("""COMPUTED_VALUE"""),"Mr. Pir Sami Ullah Shah")</f>
        <v>Mr. Pir Sami Ullah Shah</v>
      </c>
      <c r="E109" s="12" t="str">
        <f ca="1">IFERROR(__xludf.DUMMYFUNCTION("""COMPUTED_VALUE"""),"Dr. Muhammad Arshad Islam")</f>
        <v>Dr. Muhammad Arshad Islam</v>
      </c>
      <c r="F109" s="12" t="str">
        <f ca="1">IFERROR(__xludf.DUMMYFUNCTION("""COMPUTED_VALUE"""),"Afaq Alam")</f>
        <v>Afaq Alam</v>
      </c>
      <c r="G109" s="12" t="str">
        <f ca="1">IFERROR(__xludf.DUMMYFUNCTION("""COMPUTED_VALUE"""),"i211700")</f>
        <v>i211700</v>
      </c>
      <c r="H109" s="12" t="str">
        <f ca="1">IFERROR(__xludf.DUMMYFUNCTION("""COMPUTED_VALUE"""),"Eman Tahir")</f>
        <v>Eman Tahir</v>
      </c>
      <c r="I109" s="12" t="str">
        <f ca="1">IFERROR(__xludf.DUMMYFUNCTION("""COMPUTED_VALUE"""),"i211718")</f>
        <v>i211718</v>
      </c>
      <c r="J109" s="12" t="str">
        <f ca="1">IFERROR(__xludf.DUMMYFUNCTION("""COMPUTED_VALUE"""),"Hammad Sikandar")</f>
        <v>Hammad Sikandar</v>
      </c>
      <c r="K109" s="12" t="str">
        <f ca="1">IFERROR(__xludf.DUMMYFUNCTION("""COMPUTED_VALUE"""),"i211684")</f>
        <v>i211684</v>
      </c>
    </row>
    <row r="110" spans="1:11" ht="204">
      <c r="A110" s="12" t="str">
        <f ca="1">IFERROR(__xludf.DUMMYFUNCTION("""COMPUTED_VALUE"""),"F24-110-D-WatchDogAI")</f>
        <v>F24-110-D-WatchDogAI</v>
      </c>
      <c r="B110" s="13" t="str">
        <f ca="1">IFERROR(__xludf.DUMMYFUNCTION("""COMPUTED_VALUE"""),"WatchDog AI: Comprehensive Threat and Object Detection System")</f>
        <v>WatchDog AI: Comprehensive Threat and Object Detection System</v>
      </c>
      <c r="C110" s="14" t="str">
        <f ca="1">IFERROR(__xludf.DUMMYFUNCTION("""COMPUTED_VALUE"""),"In order to timely detect incidents like theft, robbery, violence etc, we've decided to make our own model, which combines existing models and detects multiple areas of violence in a CCTV footage. This model provides users with timely and immediate update"&amp;"s of any irregular/suspicious activities detected and prevents them from any kind of loss. It also allows the users to jump directly to the footage of the suspicious activity detected, instead of going through the complete footage.
Key features:
1. Detec"&amp;"ting multiple acts of violence automatically 
2. Increased accuracy of model 
3. Pinpointing the exact type and time of violence in CCTV footage
4. Exact detection of the suspicious activity in a crowded place
5. Real-time alerts/alarm and notifications 
"&amp;"6. User-friendly interface
7. Integration with existing security systems
8. Export clips/video (CCTV)
")</f>
        <v xml:space="preserve">In order to timely detect incidents like theft, robbery, violence etc, we've decided to make our own model, which combines existing models and detects multiple areas of violence in a CCTV footage. This model provides users with timely and immediate updates of any irregular/suspicious activities detected and prevents them from any kind of loss. It also allows the users to jump directly to the footage of the suspicious activity detected, instead of going through the complete footage.
Key features:
1. Detecting multiple acts of violence automatically 
2. Increased accuracy of model 
3. Pinpointing the exact type and time of violence in CCTV footage
4. Exact detection of the suspicious activity in a crowded place
5. Real-time alerts/alarm and notifications 
6. User-friendly interface
7. Integration with existing security systems
8. Export clips/video (CCTV)
</v>
      </c>
      <c r="D110" s="12" t="str">
        <f ca="1">IFERROR(__xludf.DUMMYFUNCTION("""COMPUTED_VALUE"""),"Dr. Usman Habib")</f>
        <v>Dr. Usman Habib</v>
      </c>
      <c r="E110" s="12" t="str">
        <f ca="1">IFERROR(__xludf.DUMMYFUNCTION("""COMPUTED_VALUE"""),"Ms. Hifza Umer")</f>
        <v>Ms. Hifza Umer</v>
      </c>
      <c r="F110" s="12" t="str">
        <f ca="1">IFERROR(__xludf.DUMMYFUNCTION("""COMPUTED_VALUE"""),"Muhammad Hisan Usman")</f>
        <v>Muhammad Hisan Usman</v>
      </c>
      <c r="G110" s="12" t="str">
        <f ca="1">IFERROR(__xludf.DUMMYFUNCTION("""COMPUTED_VALUE"""),"i210336")</f>
        <v>i210336</v>
      </c>
      <c r="H110" s="12" t="str">
        <f ca="1">IFERROR(__xludf.DUMMYFUNCTION("""COMPUTED_VALUE"""),"Shafqat Mehmood")</f>
        <v>Shafqat Mehmood</v>
      </c>
      <c r="I110" s="12" t="str">
        <f ca="1">IFERROR(__xludf.DUMMYFUNCTION("""COMPUTED_VALUE"""),"i210324")</f>
        <v>i210324</v>
      </c>
      <c r="J110" s="12"/>
      <c r="K110" s="12"/>
    </row>
    <row r="111" spans="1:11" ht="51">
      <c r="A111" s="12" t="str">
        <f ca="1">IFERROR(__xludf.DUMMYFUNCTION("""COMPUTED_VALUE"""),"F24-111-D-FireCar")</f>
        <v>F24-111-D-FireCar</v>
      </c>
      <c r="B111" s="13" t="str">
        <f ca="1">IFERROR(__xludf.DUMMYFUNCTION("""COMPUTED_VALUE"""),"FireCar: Autonomous Firefighter Car for Building Protection")</f>
        <v>FireCar: Autonomous Firefighter Car for Building Protection</v>
      </c>
      <c r="C111" s="14" t="str">
        <f ca="1">IFERROR(__xludf.DUMMYFUNCTION("""COMPUTED_VALUE"""),"The project aims to develop an autonomous car capable of navigating a predefined area to detect and extinguish fires. FireCar will utilize advanced sensors to monitor environmental conditions and identify the presence of fire. Upon detection, it will acti"&amp;"vate its built-in extinguishing system to suppress the fire and also generate safety alarms.")</f>
        <v>The project aims to develop an autonomous car capable of navigating a predefined area to detect and extinguish fires. FireCar will utilize advanced sensors to monitor environmental conditions and identify the presence of fire. Upon detection, it will activate its built-in extinguishing system to suppress the fire and also generate safety alarms.</v>
      </c>
      <c r="D111" s="12" t="str">
        <f ca="1">IFERROR(__xludf.DUMMYFUNCTION("""COMPUTED_VALUE"""),"Dr. Zeshan Khan")</f>
        <v>Dr. Zeshan Khan</v>
      </c>
      <c r="E111" s="12"/>
      <c r="F111" s="12" t="str">
        <f ca="1">IFERROR(__xludf.DUMMYFUNCTION("""COMPUTED_VALUE"""),"Alyan Shahid")</f>
        <v>Alyan Shahid</v>
      </c>
      <c r="G111" s="12" t="str">
        <f ca="1">IFERROR(__xludf.DUMMYFUNCTION("""COMPUTED_VALUE"""),"i211537")</f>
        <v>i211537</v>
      </c>
      <c r="H111" s="12" t="str">
        <f ca="1">IFERROR(__xludf.DUMMYFUNCTION("""COMPUTED_VALUE"""),"Ahmed Awaiz ")</f>
        <v xml:space="preserve">Ahmed Awaiz </v>
      </c>
      <c r="I111" s="12" t="str">
        <f ca="1">IFERROR(__xludf.DUMMYFUNCTION("""COMPUTED_VALUE"""),"i211539")</f>
        <v>i211539</v>
      </c>
      <c r="J111" s="12" t="str">
        <f ca="1">IFERROR(__xludf.DUMMYFUNCTION("""COMPUTED_VALUE"""),"Muhammad Zafar ")</f>
        <v xml:space="preserve">Muhammad Zafar </v>
      </c>
      <c r="K111" s="12" t="str">
        <f ca="1">IFERROR(__xludf.DUMMYFUNCTION("""COMPUTED_VALUE"""),"i211534")</f>
        <v>i211534</v>
      </c>
    </row>
    <row r="112" spans="1:11" ht="127.5">
      <c r="A112" s="12" t="str">
        <f ca="1">IFERROR(__xludf.DUMMYFUNCTION("""COMPUTED_VALUE"""),"F24-112-D-InfoMorph")</f>
        <v>F24-112-D-InfoMorph</v>
      </c>
      <c r="B112" s="13" t="str">
        <f ca="1">IFERROR(__xludf.DUMMYFUNCTION("""COMPUTED_VALUE"""),"InfoMorph - Revolutionizing information with AI generation")</f>
        <v>InfoMorph - Revolutionizing information with AI generation</v>
      </c>
      <c r="C112" s="14" t="str">
        <f ca="1">IFERROR(__xludf.DUMMYFUNCTION("""COMPUTED_VALUE"""),"Our project involves creating a web-based platform where users can input any URL of an article or blog. The platform will automatically scrape data from the selected URL or set of URLs, using natural language processing (NLP) techniques to categorize the "&amp;"extracted content. We’ll leverage open-source large language models (LLMs) to summarize the data, producing a concise and original summary. This summary will then be transformed into speech using advanced text-to-speech (TTS) technology and integrated int"&amp;"o a video featuring a deepfake news anchor who delivers the content. The project will showcase the seamless integration of web scraping, NLP, LLMs, deepfake video generation, and web development, demonstrating a complete end-to-end pipeline from data coll"&amp;"ection to multimedia content creation.")</f>
        <v>Our project involves creating a web-based platform where users can input any URL of an article or blog. The platform will automatically scrape data from the selected URL or set of URLs, using natural language processing (NLP) techniques to categorize the extracted content. We’ll leverage open-source large language models (LLMs) to summarize the data, producing a concise and original summary. This summary will then be transformed into speech using advanced text-to-speech (TTS) technology and integrated into a video featuring a deepfake news anchor who delivers the content. The project will showcase the seamless integration of web scraping, NLP, LLMs, deepfake video generation, and web development, demonstrating a complete end-to-end pipeline from data collection to multimedia content creation.</v>
      </c>
      <c r="D112" s="12" t="str">
        <f ca="1">IFERROR(__xludf.DUMMYFUNCTION("""COMPUTED_VALUE"""),"Dr. Adnan Tariq")</f>
        <v>Dr. Adnan Tariq</v>
      </c>
      <c r="E112" s="12"/>
      <c r="F112" s="12" t="str">
        <f ca="1">IFERROR(__xludf.DUMMYFUNCTION("""COMPUTED_VALUE"""),"Ahmad Moazam")</f>
        <v>Ahmad Moazam</v>
      </c>
      <c r="G112" s="12" t="str">
        <f ca="1">IFERROR(__xludf.DUMMYFUNCTION("""COMPUTED_VALUE"""),"i210436")</f>
        <v>i210436</v>
      </c>
      <c r="H112" s="12" t="str">
        <f ca="1">IFERROR(__xludf.DUMMYFUNCTION("""COMPUTED_VALUE"""),"Muhammad Tallal Eatazaz")</f>
        <v>Muhammad Tallal Eatazaz</v>
      </c>
      <c r="I112" s="12" t="str">
        <f ca="1">IFERROR(__xludf.DUMMYFUNCTION("""COMPUTED_VALUE"""),"i210637")</f>
        <v>i210637</v>
      </c>
      <c r="J112" s="12" t="str">
        <f ca="1">IFERROR(__xludf.DUMMYFUNCTION("""COMPUTED_VALUE"""),"Syed Hamza Rehman")</f>
        <v>Syed Hamza Rehman</v>
      </c>
      <c r="K112" s="12" t="str">
        <f ca="1">IFERROR(__xludf.DUMMYFUNCTION("""COMPUTED_VALUE"""),"i210478")</f>
        <v>i210478</v>
      </c>
    </row>
    <row r="113" spans="1:11" ht="395.25">
      <c r="A113" s="12" t="str">
        <f ca="1">IFERROR(__xludf.DUMMYFUNCTION("""COMPUTED_VALUE"""),"F24-113-D-TeleAI")</f>
        <v>F24-113-D-TeleAI</v>
      </c>
      <c r="B113" s="13" t="str">
        <f ca="1">IFERROR(__xludf.DUMMYFUNCTION("""COMPUTED_VALUE"""),"TeleAI: Real-Time AI Conversational Agent for Order Taking in Restaurants")</f>
        <v>TeleAI: Real-Time AI Conversational Agent for Order Taking in Restaurants</v>
      </c>
      <c r="C113" s="14" t="str">
        <f ca="1">IFERROR(__xludf.DUMMYFUNCTION("""COMPUTED_VALUE"""),"TeleAI: Real-Time AI Conversational Agent for Order Taking in Restaurants
Project Description: TeleAI is a Real-Time AI Conversational Agent specifically designed for taking orders in restaurants. The system will autonomously handle customer calls in Engl"&amp;"ish, accurately interpreting their requests and processing orders seamlessly. The AI agent manages all customer interactions independently, without the need for call routing to human agents. Orders generated by TeleAI will be displayed on a dedicated term"&amp;"inal, allowing restaurant staff to manage and process them efficiently. This solution aims to reduce wait times, improve order accuracy, and enhance overall customer satisfaction by providing a smooth and efficient ordering process over the phone.
Key Fe"&amp;"atures:
1.	Real-Time Speech Recognition: Accurately transcribe customer speech in English into text for processing.
2.	Natural Language Understanding (NLP): Interpret customer queries and order details, handling different accents and variations in speech."&amp;"
3.	Dynamic Response Generation: Provide context-aware responses to customer inputs, including confirmation of order details.
4.	Order Confirmation: Verify and confirm order details with the customer before finalizing.
5.	Menu Management: Allow restaurant"&amp;" staff to update the menu, including availability of items and daily specials.
6.	Dedicated Order Terminal: Display all orders generated by TeleAI on a dedicated terminal for staff review and processing.
7.	User-Friendly Interface: Offer an intuitive inte"&amp;"rface for managing orders, updating the menu, and monitoring system performance.
8.	Scalability: Capable of handling multiple customer calls simultaneously, ensuring smooth operation even during peak hours.
9.	Analytics and Reporting: Provide reporting on"&amp;" order metrics and call durations to help improve service efficiency.
TeleAI is designed to streamline the order-taking process in restaurants, ensuring accuracy and efficiency while providing a positive customer experience.")</f>
        <v>TeleAI: Real-Time AI Conversational Agent for Order Taking in Restaurants
Project Description: TeleAI is a Real-Time AI Conversational Agent specifically designed for taking orders in restaurants. The system will autonomously handle customer calls in English, accurately interpreting their requests and processing orders seamlessly. The AI agent manages all customer interactions independently, without the need for call routing to human agents. Orders generated by TeleAI will be displayed on a dedicated terminal, allowing restaurant staff to manage and process them efficiently. This solution aims to reduce wait times, improve order accuracy, and enhance overall customer satisfaction by providing a smooth and efficient ordering process over the phone.
Key Features:
1.	Real-Time Speech Recognition: Accurately transcribe customer speech in English into text for processing.
2.	Natural Language Understanding (NLP): Interpret customer queries and order details, handling different accents and variations in speech.
3.	Dynamic Response Generation: Provide context-aware responses to customer inputs, including confirmation of order details.
4.	Order Confirmation: Verify and confirm order details with the customer before finalizing.
5.	Menu Management: Allow restaurant staff to update the menu, including availability of items and daily specials.
6.	Dedicated Order Terminal: Display all orders generated by TeleAI on a dedicated terminal for staff review and processing.
7.	User-Friendly Interface: Offer an intuitive interface for managing orders, updating the menu, and monitoring system performance.
8.	Scalability: Capable of handling multiple customer calls simultaneously, ensuring smooth operation even during peak hours.
9.	Analytics and Reporting: Provide reporting on order metrics and call durations to help improve service efficiency.
TeleAI is designed to streamline the order-taking process in restaurants, ensuring accuracy and efficiency while providing a positive customer experience.</v>
      </c>
      <c r="D113" s="12" t="str">
        <f ca="1">IFERROR(__xludf.DUMMYFUNCTION("""COMPUTED_VALUE"""),"Dr. Hasan Mujtaba")</f>
        <v>Dr. Hasan Mujtaba</v>
      </c>
      <c r="E113" s="12" t="str">
        <f ca="1">IFERROR(__xludf.DUMMYFUNCTION("""COMPUTED_VALUE"""),"Mr. Saad Salman")</f>
        <v>Mr. Saad Salman</v>
      </c>
      <c r="F113" s="12" t="str">
        <f ca="1">IFERROR(__xludf.DUMMYFUNCTION("""COMPUTED_VALUE"""),"Muhammad Haseeb Ahmad ")</f>
        <v xml:space="preserve">Muhammad Haseeb Ahmad </v>
      </c>
      <c r="G113" s="12" t="str">
        <f ca="1">IFERROR(__xludf.DUMMYFUNCTION("""COMPUTED_VALUE"""),"i212712")</f>
        <v>i212712</v>
      </c>
      <c r="H113" s="12" t="str">
        <f ca="1">IFERROR(__xludf.DUMMYFUNCTION("""COMPUTED_VALUE"""),"Ahmad Raza Zahid")</f>
        <v>Ahmad Raza Zahid</v>
      </c>
      <c r="I113" s="12" t="str">
        <f ca="1">IFERROR(__xludf.DUMMYFUNCTION("""COMPUTED_VALUE"""),"i200853")</f>
        <v>i200853</v>
      </c>
      <c r="J113" s="12" t="str">
        <f ca="1">IFERROR(__xludf.DUMMYFUNCTION("""COMPUTED_VALUE"""),"Muhammad Sohail")</f>
        <v>Muhammad Sohail</v>
      </c>
      <c r="K113" s="12" t="str">
        <f ca="1">IFERROR(__xludf.DUMMYFUNCTION("""COMPUTED_VALUE"""),"i212720")</f>
        <v>i212720</v>
      </c>
    </row>
    <row r="114" spans="1:11" ht="318.75">
      <c r="A114" s="12" t="str">
        <f ca="1">IFERROR(__xludf.DUMMYFUNCTION("""COMPUTED_VALUE"""),"F24-114-D-SignsEye")</f>
        <v>F24-114-D-SignsEye</v>
      </c>
      <c r="B114" s="13" t="str">
        <f ca="1">IFERROR(__xludf.DUMMYFUNCTION("""COMPUTED_VALUE"""),"Geo-Tagging US Roadway Assets Using 2D Images")</f>
        <v>Geo-Tagging US Roadway Assets Using 2D Images</v>
      </c>
      <c r="C114" s="14" t="str">
        <f ca="1">IFERROR(__xludf.DUMMYFUNCTION("""COMPUTED_VALUE"""),"This project aims to develop an advanced system for accurately determining the geolocation of various roadway assets using sequential 2D imagery collected by survey vehicles. Utilizing AI and machine learning algorithms, the project addresses challenges s"&amp;"uch as the limitations of 2D vector space, vehicle speed, and external obstructions. The ultimate objective is to enhance road safety analysis by precisely identifying and documenting the locations of assets like traffic signs from roadway images, thereby"&amp;" improving asset management and maintenance efficiency.
Key Features:
1. Depth Map Generation: Implementing algorithms to create depth maps from 2D images for accurate spatial analysis.
2. Image Preprocessing: Enhancing and preparing 2D images of roadway"&amp;" assets for analysis.
3. Depth and Angle Calculation: Determining the depth and angles of assets from generated depth maps.
4. Geolocation Calculation: Accurately calculating the geolocation of roadway assets using depth and angle information.
5. Visualiz"&amp;"ation of Results: Presenting geolocation results in an intuitive visual format for easy interpretation and decision-making.
6. High Accuracy and Robustness: Leveraging state-of-the-art deep learning models to ensure high accuracy and robustness in depth e"&amp;"stimation and geolocation.
7. Handling Occlusions and Variations: Implementing techniques to manage challenges such as occlusions and variations in texture and lighting conditions.
8. Error Reduction: Ongoing efforts to minimize location prediction errors"&amp;", aiming to achieve an accuracy within 3 feet.")</f>
        <v>This project aims to develop an advanced system for accurately determining the geolocation of various roadway assets using sequential 2D imagery collected by survey vehicles. Utilizing AI and machine learning algorithms, the project addresses challenges such as the limitations of 2D vector space, vehicle speed, and external obstructions. The ultimate objective is to enhance road safety analysis by precisely identifying and documenting the locations of assets like traffic signs from roadway images, thereby improving asset management and maintenance efficiency.
Key Features:
1. Depth Map Generation: Implementing algorithms to create depth maps from 2D images for accurate spatial analysis.
2. Image Preprocessing: Enhancing and preparing 2D images of roadway assets for analysis.
3. Depth and Angle Calculation: Determining the depth and angles of assets from generated depth maps.
4. Geolocation Calculation: Accurately calculating the geolocation of roadway assets using depth and angle information.
5. Visualization of Results: Presenting geolocation results in an intuitive visual format for easy interpretation and decision-making.
6. High Accuracy and Robustness: Leveraging state-of-the-art deep learning models to ensure high accuracy and robustness in depth estimation and geolocation.
7. Handling Occlusions and Variations: Implementing techniques to manage challenges such as occlusions and variations in texture and lighting conditions.
8. Error Reduction: Ongoing efforts to minimize location prediction errors, aiming to achieve an accuracy within 3 feet.</v>
      </c>
      <c r="D114" s="12" t="str">
        <f ca="1">IFERROR(__xludf.DUMMYFUNCTION("""COMPUTED_VALUE"""),"Dr. Imran Ashraf")</f>
        <v>Dr. Imran Ashraf</v>
      </c>
      <c r="E114" s="12"/>
      <c r="F114" s="12" t="str">
        <f ca="1">IFERROR(__xludf.DUMMYFUNCTION("""COMPUTED_VALUE"""),"Muhammad Nouman Amjad")</f>
        <v>Muhammad Nouman Amjad</v>
      </c>
      <c r="G114" s="12" t="str">
        <f ca="1">IFERROR(__xludf.DUMMYFUNCTION("""COMPUTED_VALUE"""),"i210853")</f>
        <v>i210853</v>
      </c>
      <c r="H114" s="12" t="str">
        <f ca="1">IFERROR(__xludf.DUMMYFUNCTION("""COMPUTED_VALUE"""),"Moeez Muslim")</f>
        <v>Moeez Muslim</v>
      </c>
      <c r="I114" s="12" t="str">
        <f ca="1">IFERROR(__xludf.DUMMYFUNCTION("""COMPUTED_VALUE"""),"i210490")</f>
        <v>i210490</v>
      </c>
      <c r="J114" s="12" t="str">
        <f ca="1">IFERROR(__xludf.DUMMYFUNCTION("""COMPUTED_VALUE"""),"Muhammad Luqman Ansari")</f>
        <v>Muhammad Luqman Ansari</v>
      </c>
      <c r="K114" s="12" t="str">
        <f ca="1">IFERROR(__xludf.DUMMYFUNCTION("""COMPUTED_VALUE"""),"i210413")</f>
        <v>i210413</v>
      </c>
    </row>
    <row r="115" spans="1:11" ht="178.5">
      <c r="A115" s="12" t="str">
        <f ca="1">IFERROR(__xludf.DUMMYFUNCTION("""COMPUTED_VALUE"""),"F24-115-D-RoadInSight")</f>
        <v>F24-115-D-RoadInSight</v>
      </c>
      <c r="B115" s="13" t="str">
        <f ca="1">IFERROR(__xludf.DUMMYFUNCTION("""COMPUTED_VALUE"""),"Road Surface Detection Using Inexpensive Cell Phone IMU Sensors")</f>
        <v>Road Surface Detection Using Inexpensive Cell Phone IMU Sensors</v>
      </c>
      <c r="C115" s="14" t="str">
        <f ca="1">IFERROR(__xludf.DUMMYFUNCTION("""COMPUTED_VALUE"""),"Utilize inexpensive and readily available smartphone sensors for road surface detection. The application will be installed on the cell phones of drivers. The collected data will be used for crowd-pavement sensing and estimation of road elevation. Moreover"&amp;", a simple dash cam will be installed in the vehicles for assistance in labelling of ground truth values.
Key Points:
1. Development of a Mobile Application for Real-time Data Collection
2. Implementation of Firebase Database for Secure Data Storage
3. I"&amp;"ntegration of Crowdsourced Data from Multiple Contributors
4. Ground Truth Labeling on Roads in Islamabad and Rawalpindi
5. Design and Implementation of a Custom Model Architecture
6. Model Training and Optimization for Enhanced Accuracy
7. Deployment of "&amp;"a Mobile Application for Citywide Pothole Mapping
8. Creation of a Road Elevation Estimation Map
")</f>
        <v xml:space="preserve">Utilize inexpensive and readily available smartphone sensors for road surface detection. The application will be installed on the cell phones of drivers. The collected data will be used for crowd-pavement sensing and estimation of road elevation. Moreover, a simple dash cam will be installed in the vehicles for assistance in labelling of ground truth values.
Key Points:
1. Development of a Mobile Application for Real-time Data Collection
2. Implementation of Firebase Database for Secure Data Storage
3. Integration of Crowdsourced Data from Multiple Contributors
4. Ground Truth Labeling on Roads in Islamabad and Rawalpindi
5. Design and Implementation of a Custom Model Architecture
6. Model Training and Optimization for Enhanced Accuracy
7. Deployment of a Mobile Application for Citywide Pothole Mapping
8. Creation of a Road Elevation Estimation Map
</v>
      </c>
      <c r="D115" s="12" t="str">
        <f ca="1">IFERROR(__xludf.DUMMYFUNCTION("""COMPUTED_VALUE"""),"Dr. Hammad Majeed")</f>
        <v>Dr. Hammad Majeed</v>
      </c>
      <c r="E115" s="12" t="str">
        <f ca="1">IFERROR(__xludf.DUMMYFUNCTION("""COMPUTED_VALUE"""),"Mr. Ahmad Raza")</f>
        <v>Mr. Ahmad Raza</v>
      </c>
      <c r="F115" s="12" t="str">
        <f ca="1">IFERROR(__xludf.DUMMYFUNCTION("""COMPUTED_VALUE"""),"Abdul Rehman ")</f>
        <v xml:space="preserve">Abdul Rehman </v>
      </c>
      <c r="G115" s="12" t="str">
        <f ca="1">IFERROR(__xludf.DUMMYFUNCTION("""COMPUTED_VALUE"""),"i210322")</f>
        <v>i210322</v>
      </c>
      <c r="H115" s="12" t="str">
        <f ca="1">IFERROR(__xludf.DUMMYFUNCTION("""COMPUTED_VALUE"""),"Hammad Bakhtiar")</f>
        <v>Hammad Bakhtiar</v>
      </c>
      <c r="I115" s="12" t="str">
        <f ca="1">IFERROR(__xludf.DUMMYFUNCTION("""COMPUTED_VALUE"""),"i210266")</f>
        <v>i210266</v>
      </c>
      <c r="J115" s="12" t="str">
        <f ca="1">IFERROR(__xludf.DUMMYFUNCTION("""COMPUTED_VALUE"""),"Moiz Ahmed")</f>
        <v>Moiz Ahmed</v>
      </c>
      <c r="K115" s="12" t="str">
        <f ca="1">IFERROR(__xludf.DUMMYFUNCTION("""COMPUTED_VALUE"""),"i210294")</f>
        <v>i210294</v>
      </c>
    </row>
    <row r="116" spans="1:11" ht="229.5">
      <c r="A116" s="12" t="str">
        <f ca="1">IFERROR(__xludf.DUMMYFUNCTION("""COMPUTED_VALUE"""),"F24-116-D-PestInsight")</f>
        <v>F24-116-D-PestInsight</v>
      </c>
      <c r="B116" s="13" t="str">
        <f ca="1">IFERROR(__xludf.DUMMYFUNCTION("""COMPUTED_VALUE"""),"PestInsight - AI-Driven Pest Detection for Crops")</f>
        <v>PestInsight - AI-Driven Pest Detection for Crops</v>
      </c>
      <c r="C116" s="14" t="str">
        <f ca="1">IFERROR(__xludf.DUMMYFUNCTION("""COMPUTED_VALUE"""),"PestInsight focuses on developing an AI-based system for the detection of pests in the three most popular crops in Pakistan: wheat, rice, and corn. By leveraging deep learning models and image processing techniques, the system aims to provide farmers and "&amp;"agricultural professionals with an efficient tool to identify and manage pest infestations early, ultimately promoting sustainable agricultural practices and enhancing crop yields. The solution integrates a user-friendly web application with a React front"&amp;"end and Django backend to deliver real-time pest detection and actionable insights.
Key Features:
1. Pest Detection with YOLO
2. Pest Counting
3. IP102 Dataset Utilization
4. Real-Time Image Analysis
5. Pest Identification Results
6. Severity Assessment "&amp;"
7. Pest Management Tips
8. Report Generation
9. User-Friendly Interface ")</f>
        <v xml:space="preserve">PestInsight focuses on developing an AI-based system for the detection of pests in the three most popular crops in Pakistan: wheat, rice, and corn. By leveraging deep learning models and image processing techniques, the system aims to provide farmers and agricultural professionals with an efficient tool to identify and manage pest infestations early, ultimately promoting sustainable agricultural practices and enhancing crop yields. The solution integrates a user-friendly web application with a React frontend and Django backend to deliver real-time pest detection and actionable insights.
Key Features:
1. Pest Detection with YOLO
2. Pest Counting
3. IP102 Dataset Utilization
4. Real-Time Image Analysis
5. Pest Identification Results
6. Severity Assessment 
7. Pest Management Tips
8. Report Generation
9. User-Friendly Interface </v>
      </c>
      <c r="D116" s="12" t="str">
        <f ca="1">IFERROR(__xludf.DUMMYFUNCTION("""COMPUTED_VALUE"""),"Dr. Labiba Fahad")</f>
        <v>Dr. Labiba Fahad</v>
      </c>
      <c r="E116" s="12"/>
      <c r="F116" s="12" t="str">
        <f ca="1">IFERROR(__xludf.DUMMYFUNCTION("""COMPUTED_VALUE"""),"Muhammad Bin Basit Masood")</f>
        <v>Muhammad Bin Basit Masood</v>
      </c>
      <c r="G116" s="12" t="str">
        <f ca="1">IFERROR(__xludf.DUMMYFUNCTION("""COMPUTED_VALUE"""),"i212486")</f>
        <v>i212486</v>
      </c>
      <c r="H116" s="12" t="str">
        <f ca="1">IFERROR(__xludf.DUMMYFUNCTION("""COMPUTED_VALUE"""),"Syed Ali Tallian")</f>
        <v>Syed Ali Tallian</v>
      </c>
      <c r="I116" s="12" t="str">
        <f ca="1">IFERROR(__xludf.DUMMYFUNCTION("""COMPUTED_VALUE"""),"i210599")</f>
        <v>i210599</v>
      </c>
      <c r="J116" s="12" t="str">
        <f ca="1">IFERROR(__xludf.DUMMYFUNCTION("""COMPUTED_VALUE"""),"Ali Maaz Cheema")</f>
        <v>Ali Maaz Cheema</v>
      </c>
      <c r="K116" s="12" t="str">
        <f ca="1">IFERROR(__xludf.DUMMYFUNCTION("""COMPUTED_VALUE"""),"i210636")</f>
        <v>i210636</v>
      </c>
    </row>
    <row r="117" spans="1:11" ht="216.75">
      <c r="A117" s="12" t="str">
        <f ca="1">IFERROR(__xludf.DUMMYFUNCTION("""COMPUTED_VALUE"""),"F24-117-D-AiUML")</f>
        <v>F24-117-D-AiUML</v>
      </c>
      <c r="B117" s="13" t="str">
        <f ca="1">IFERROR(__xludf.DUMMYFUNCTION("""COMPUTED_VALUE"""),"AiUML - AI Powered Automated Generation of UML Diagrams")</f>
        <v>AiUML - AI Powered Automated Generation of UML Diagrams</v>
      </c>
      <c r="C117" s="14" t="str">
        <f ca="1">IFERROR(__xludf.DUMMYFUNCTION("""COMPUTED_VALUE"""),"Our project is an AI-powered system that automatically generates UML diagrams from textual software requirements. The system interprets textual requirements through NLP techniques and translates them into accurate and structured UML diagrams, such as clas"&amp;"s diagrams, sequence diagrams, and use case diagrams etc. Such a system will automate a major part of the Software Development Lifecycle (SDLC), and thus help software engineers and the developer community by automating the creation of design artifacts.
"&amp;"Features:
- NLP Based Entity Extraction
- Automated Diagram Generation
- AI Driven Diagram Optimization
- Diagram Customizer &amp; Editor
- Multi-Diagram Support (Class diagrams, Use-Case Diagrams, Sequence Diagrams, Entity Relationship Diagrams, Architecture"&amp;" Diagram)
- Integration with 3rd Party Diagramming Tools
- Exporting Diagram in Multiple Formats
- Text Based User-Friendly Interface")</f>
        <v>Our project is an AI-powered system that automatically generates UML diagrams from textual software requirements. The system interprets textual requirements through NLP techniques and translates them into accurate and structured UML diagrams, such as class diagrams, sequence diagrams, and use case diagrams etc. Such a system will automate a major part of the Software Development Lifecycle (SDLC), and thus help software engineers and the developer community by automating the creation of design artifacts.
Features:
- NLP Based Entity Extraction
- Automated Diagram Generation
- AI Driven Diagram Optimization
- Diagram Customizer &amp; Editor
- Multi-Diagram Support (Class diagrams, Use-Case Diagrams, Sequence Diagrams, Entity Relationship Diagrams, Architecture Diagram)
- Integration with 3rd Party Diagramming Tools
- Exporting Diagram in Multiple Formats
- Text Based User-Friendly Interface</v>
      </c>
      <c r="D117" s="12" t="str">
        <f ca="1">IFERROR(__xludf.DUMMYFUNCTION("""COMPUTED_VALUE"""),"Ms. Noor ul Ain")</f>
        <v>Ms. Noor ul Ain</v>
      </c>
      <c r="E117" s="12" t="str">
        <f ca="1">IFERROR(__xludf.DUMMYFUNCTION("""COMPUTED_VALUE"""),"Dr. Javaria Imtiaz")</f>
        <v>Dr. Javaria Imtiaz</v>
      </c>
      <c r="F117" s="12" t="str">
        <f ca="1">IFERROR(__xludf.DUMMYFUNCTION("""COMPUTED_VALUE"""),"Laiba Asif")</f>
        <v>Laiba Asif</v>
      </c>
      <c r="G117" s="12" t="str">
        <f ca="1">IFERROR(__xludf.DUMMYFUNCTION("""COMPUTED_VALUE"""),"i212560")</f>
        <v>i212560</v>
      </c>
      <c r="H117" s="12" t="str">
        <f ca="1">IFERROR(__xludf.DUMMYFUNCTION("""COMPUTED_VALUE"""),"Vaneeza Ahmad ")</f>
        <v xml:space="preserve">Vaneeza Ahmad </v>
      </c>
      <c r="I117" s="12" t="str">
        <f ca="1">IFERROR(__xludf.DUMMYFUNCTION("""COMPUTED_VALUE"""),"i210390")</f>
        <v>i210390</v>
      </c>
      <c r="J117" s="12" t="str">
        <f ca="1">IFERROR(__xludf.DUMMYFUNCTION("""COMPUTED_VALUE"""),"Rabail Nasir")</f>
        <v>Rabail Nasir</v>
      </c>
      <c r="K117" s="12" t="str">
        <f ca="1">IFERROR(__xludf.DUMMYFUNCTION("""COMPUTED_VALUE"""),"i210880")</f>
        <v>i210880</v>
      </c>
    </row>
    <row r="118" spans="1:11" ht="280.5">
      <c r="A118" s="12" t="str">
        <f ca="1">IFERROR(__xludf.DUMMYFUNCTION("""COMPUTED_VALUE"""),"F24-118-D-ScholarWatch")</f>
        <v>F24-118-D-ScholarWatch</v>
      </c>
      <c r="B118" s="13" t="str">
        <f ca="1">IFERROR(__xludf.DUMMYFUNCTION("""COMPUTED_VALUE"""),"An LLM-powered application that allows users to hire professionals across diverse fields, including programming, medical, architectural, and more.")</f>
        <v>An LLM-powered application that allows users to hire professionals across diverse fields, including programming, medical, architectural, and more.</v>
      </c>
      <c r="C118" s="14" t="str">
        <f ca="1">IFERROR(__xludf.DUMMYFUNCTION("""COMPUTED_VALUE"""),"An LLM-powered platform that enables users to discover, connect, and hire skilled professionals across a wide range of industries and specialties, including programming, healthcare, design, and more. This comprehensive solution streamlines the hiring proc"&amp;"ess, allowing individuals and businesses to access a diverse pool of vetted experts to meet their specific needs efficiently.
Key Features:
1. Search up a plethora of niches in any major profession with sufficient details.
2. Users can be extremely spec"&amp;"ific with thier searches, asking the chatbot for timings, pricing, sub-specialties, interests, reviews and more.
3. Upto date data from a variety of automated web-scrapers from authentic websites entailing user information.
4. Roman Urdu/Multi-Language su"&amp;"pport for all sorts of users.
5. An ""Ease of usage"" system that allows users to input very basic layman queries and still get matched with professionals.
6. Automated email/SMS process for quick and easy collaboration.
7. Users can further communicate w"&amp;"ith the Chatbot to further narrow down individuals or gather more information about professions.
8. A voice feature for inputing requirements.
9. A history system that allows the chatbot to remeber details about the user and their preferences.")</f>
        <v>An LLM-powered platform that enables users to discover, connect, and hire skilled professionals across a wide range of industries and specialties, including programming, healthcare, design, and more. This comprehensive solution streamlines the hiring process, allowing individuals and businesses to access a diverse pool of vetted experts to meet their specific needs efficiently.
Key Features:
1. Search up a plethora of niches in any major profession with sufficient details.
2. Users can be extremely specific with thier searches, asking the chatbot for timings, pricing, sub-specialties, interests, reviews and more.
3. Upto date data from a variety of automated web-scrapers from authentic websites entailing user information.
4. Roman Urdu/Multi-Language support for all sorts of users.
5. An "Ease of usage" system that allows users to input very basic layman queries and still get matched with professionals.
6. Automated email/SMS process for quick and easy collaboration.
7. Users can further communicate with the Chatbot to further narrow down individuals or gather more information about professions.
8. A voice feature for inputing requirements.
9. A history system that allows the chatbot to remeber details about the user and their preferences.</v>
      </c>
      <c r="D118" s="15" t="str">
        <f ca="1">IFERROR(__xludf.DUMMYFUNCTION("""COMPUTED_VALUE"""),"Mr. Aqib Rehman")</f>
        <v>Mr. Aqib Rehman</v>
      </c>
      <c r="E118" s="12"/>
      <c r="F118" s="12" t="str">
        <f ca="1">IFERROR(__xludf.DUMMYFUNCTION("""COMPUTED_VALUE"""),"Ahmed Shayan")</f>
        <v>Ahmed Shayan</v>
      </c>
      <c r="G118" s="12" t="str">
        <f ca="1">IFERROR(__xludf.DUMMYFUNCTION("""COMPUTED_VALUE"""),"i211690")</f>
        <v>i211690</v>
      </c>
      <c r="H118" s="12" t="str">
        <f ca="1">IFERROR(__xludf.DUMMYFUNCTION("""COMPUTED_VALUE"""),"Zoaraib Qadir")</f>
        <v>Zoaraib Qadir</v>
      </c>
      <c r="I118" s="12" t="str">
        <f ca="1">IFERROR(__xludf.DUMMYFUNCTION("""COMPUTED_VALUE"""),"i212654")</f>
        <v>i212654</v>
      </c>
      <c r="J118" s="12" t="str">
        <f ca="1">IFERROR(__xludf.DUMMYFUNCTION("""COMPUTED_VALUE"""),"Syed Hamza")</f>
        <v>Syed Hamza</v>
      </c>
      <c r="K118" s="12" t="str">
        <f ca="1">IFERROR(__xludf.DUMMYFUNCTION("""COMPUTED_VALUE"""),"i211735")</f>
        <v>i211735</v>
      </c>
    </row>
    <row r="119" spans="1:11" ht="382.5">
      <c r="A119" s="12" t="str">
        <f ca="1">IFERROR(__xludf.DUMMYFUNCTION("""COMPUTED_VALUE"""),"F24-119-D-ArenaX")</f>
        <v>F24-119-D-ArenaX</v>
      </c>
      <c r="B119" s="13" t="str">
        <f ca="1">IFERROR(__xludf.DUMMYFUNCTION("""COMPUTED_VALUE"""),"ArenaX- A cross-platform semi-professional networking application for gamers.")</f>
        <v>ArenaX- A cross-platform semi-professional networking application for gamers.</v>
      </c>
      <c r="C119" s="14" t="str">
        <f ca="1">IFERROR(__xludf.DUMMYFUNCTION("""COMPUTED_VALUE"""),"ArenaX is a cross-platform semi-professional networking application tailored specifically for the gaming community. With its exclusive features, ArenaX aims to recognize and empower casual gamers by helping them build and maintain their gaming profiles, s"&amp;"imilar to social media profiles and corporate profiles on LinkedIn. Additionally, it serves as a professional platform for esports organizations worldwide. By targeting gaming companies and esports organizations, ArenaX offers valuable features such as a "&amp;"game market, tournament listings, and targeted advertising. Ultimately, ArenaX aspires to become a centralized platform for gamers and esports professionals, fostering connections and enhancing the gaming experience.
Features:
1) User Profile: Profile in"&amp;"cludes games played with analytics such as total hours spent, peak playtime, and average playtime.
2) Game Analytics: Insights like favorite games, genre preferences, and play frequency per game based on user activity.
3) Content Feed: Personalized intere"&amp;"st-based content feed powered by a recommendation system based on games played and user interests.
4) Connection System: A recommendation system that suggests users for connection based on shared interests and geographic region.
5) Threads: Direct messagi"&amp;"ng functionality for users to communicate with each other.
6) Community/Groups: Ability to create and join communities or groups for shared interests and discussions.
7) Organization Profiles: Profiles for esports organizations with tools for recruitment "&amp;"and management, similar to LinkedIn.
8) Tournaments Feature: Display of current and upcoming tournaments, with recommendations based on user region and game preferences.
9) Game Market: A marketplace feature where esports organizations can post job opport"&amp;"unities, such as player recruitment.
10) Targeted Advertisments: Enables organizations/Individuals to run interest-based ads displayed to users based on gaming preferences, boosting engagement and revenue.")</f>
        <v>ArenaX is a cross-platform semi-professional networking application tailored specifically for the gaming community. With its exclusive features, ArenaX aims to recognize and empower casual gamers by helping them build and maintain their gaming profiles, similar to social media profiles and corporate profiles on LinkedIn. Additionally, it serves as a professional platform for esports organizations worldwide. By targeting gaming companies and esports organizations, ArenaX offers valuable features such as a game market, tournament listings, and targeted advertising. Ultimately, ArenaX aspires to become a centralized platform for gamers and esports professionals, fostering connections and enhancing the gaming experience.
Features:
1) User Profile: Profile includes games played with analytics such as total hours spent, peak playtime, and average playtime.
2) Game Analytics: Insights like favorite games, genre preferences, and play frequency per game based on user activity.
3) Content Feed: Personalized interest-based content feed powered by a recommendation system based on games played and user interests.
4) Connection System: A recommendation system that suggests users for connection based on shared interests and geographic region.
5) Threads: Direct messaging functionality for users to communicate with each other.
6) Community/Groups: Ability to create and join communities or groups for shared interests and discussions.
7) Organization Profiles: Profiles for esports organizations with tools for recruitment and management, similar to LinkedIn.
8) Tournaments Feature: Display of current and upcoming tournaments, with recommendations based on user region and game preferences.
9) Game Market: A marketplace feature where esports organizations can post job opportunities, such as player recruitment.
10) Targeted Advertisments: Enables organizations/Individuals to run interest-based ads displayed to users based on gaming preferences, boosting engagement and revenue.</v>
      </c>
      <c r="D119" s="12" t="str">
        <f ca="1">IFERROR(__xludf.DUMMYFUNCTION("""COMPUTED_VALUE"""),"Mr. Hassan Raza")</f>
        <v>Mr. Hassan Raza</v>
      </c>
      <c r="E119" s="12"/>
      <c r="F119" s="12" t="str">
        <f ca="1">IFERROR(__xludf.DUMMYFUNCTION("""COMPUTED_VALUE"""),"Syed Ahmad Mustafa")</f>
        <v>Syed Ahmad Mustafa</v>
      </c>
      <c r="G119" s="12" t="str">
        <f ca="1">IFERROR(__xludf.DUMMYFUNCTION("""COMPUTED_VALUE"""),"i210886")</f>
        <v>i210886</v>
      </c>
      <c r="H119" s="12" t="str">
        <f ca="1">IFERROR(__xludf.DUMMYFUNCTION("""COMPUTED_VALUE"""),"Syed Ata-ul Muhaimen Ahmad")</f>
        <v>Syed Ata-ul Muhaimen Ahmad</v>
      </c>
      <c r="I119" s="12" t="str">
        <f ca="1">IFERROR(__xludf.DUMMYFUNCTION("""COMPUTED_VALUE"""),"i210888")</f>
        <v>i210888</v>
      </c>
      <c r="J119" s="12" t="str">
        <f ca="1">IFERROR(__xludf.DUMMYFUNCTION("""COMPUTED_VALUE"""),"Muhammad Humayun Malik")</f>
        <v>Muhammad Humayun Malik</v>
      </c>
      <c r="K119" s="12" t="str">
        <f ca="1">IFERROR(__xludf.DUMMYFUNCTION("""COMPUTED_VALUE"""),"i212562")</f>
        <v>i212562</v>
      </c>
    </row>
    <row r="120" spans="1:11" ht="216.75">
      <c r="A120" s="12" t="str">
        <f ca="1">IFERROR(__xludf.DUMMYFUNCTION("""COMPUTED_VALUE"""),"F24-120-D-SkillBazaar")</f>
        <v>F24-120-D-SkillBazaar</v>
      </c>
      <c r="B120" s="13" t="str">
        <f ca="1">IFERROR(__xludf.DUMMYFUNCTION("""COMPUTED_VALUE"""),"Community Based Skill Sharing and Blue Collar Jobs Platform")</f>
        <v>Community Based Skill Sharing and Blue Collar Jobs Platform</v>
      </c>
      <c r="C120" s="14" t="str">
        <f ca="1">IFERROR(__xludf.DUMMYFUNCTION("""COMPUTED_VALUE"""),"Target individuals and businesses in urban and rural Pakistan seeking skilled labor or micro-jobs
Web application development, AI-driven Matching Algorithms.
Functional Includes user Profile Creation, Job Posting, Service Booking, Rating System, and Voi"&amp;"ce based Features.
Voice to Text, Image to Text for Ease of Use.
Key Features:
User Profiles &amp; Skill Listings
Service Booking &amp; Management
Service Posting 
Rating &amp; Review System
Gamification
Multilingual Support
Text from Image
Voice Based Jo"&amp;"b Creation &amp; Matching
Rating &amp; Review System")</f>
        <v>Target individuals and businesses in urban and rural Pakistan seeking skilled labor or micro-jobs
Web application development, AI-driven Matching Algorithms.
Functional Includes user Profile Creation, Job Posting, Service Booking, Rating System, and Voice based Features.
Voice to Text, Image to Text for Ease of Use.
Key Features:
User Profiles &amp; Skill Listings
Service Booking &amp; Management
Service Posting 
Rating &amp; Review System
Gamification
Multilingual Support
Text from Image
Voice Based Job Creation &amp; Matching
Rating &amp; Review System</v>
      </c>
      <c r="D120" s="12" t="str">
        <f ca="1">IFERROR(__xludf.DUMMYFUNCTION("""COMPUTED_VALUE"""),"Dr. Usman Habib")</f>
        <v>Dr. Usman Habib</v>
      </c>
      <c r="E120" s="12" t="str">
        <f ca="1">IFERROR(__xludf.DUMMYFUNCTION("""COMPUTED_VALUE"""),"Mr. Saad Salman")</f>
        <v>Mr. Saad Salman</v>
      </c>
      <c r="F120" s="12" t="str">
        <f ca="1">IFERROR(__xludf.DUMMYFUNCTION("""COMPUTED_VALUE"""),"Isma Imtiaz")</f>
        <v>Isma Imtiaz</v>
      </c>
      <c r="G120" s="12" t="str">
        <f ca="1">IFERROR(__xludf.DUMMYFUNCTION("""COMPUTED_VALUE"""),"i210319")</f>
        <v>i210319</v>
      </c>
      <c r="H120" s="12" t="str">
        <f ca="1">IFERROR(__xludf.DUMMYFUNCTION("""COMPUTED_VALUE"""),"Adil Ramzan")</f>
        <v>Adil Ramzan</v>
      </c>
      <c r="I120" s="12" t="str">
        <f ca="1">IFERROR(__xludf.DUMMYFUNCTION("""COMPUTED_VALUE"""),"i200790")</f>
        <v>i200790</v>
      </c>
      <c r="J120" s="12" t="str">
        <f ca="1">IFERROR(__xludf.DUMMYFUNCTION("""COMPUTED_VALUE"""),"Haris Khan")</f>
        <v>Haris Khan</v>
      </c>
      <c r="K120" s="12" t="str">
        <f ca="1">IFERROR(__xludf.DUMMYFUNCTION("""COMPUTED_VALUE"""),"i200676")</f>
        <v>i200676</v>
      </c>
    </row>
    <row r="121" spans="1:11" ht="369.75">
      <c r="A121" s="12" t="str">
        <f ca="1">IFERROR(__xludf.DUMMYFUNCTION("""COMPUTED_VALUE"""),"F24-121-D-GrociDish")</f>
        <v>F24-121-D-GrociDish</v>
      </c>
      <c r="B121" s="13" t="str">
        <f ca="1">IFERROR(__xludf.DUMMYFUNCTION("""COMPUTED_VALUE"""),"GrociDish: Personalized Family Grocery and Meal Planning App with Nutritional Management")</f>
        <v>GrociDish: Personalized Family Grocery and Meal Planning App with Nutritional Management</v>
      </c>
      <c r="C121" s="14" t="str">
        <f ca="1">IFERROR(__xludf.DUMMYFUNCTION("""COMPUTED_VALUE"""),"Project Description:
GrociDish: Personalized Family Grocery and Meal Planning App with Nutritional Management is an innovative mobile application designed to assist Pakistani families in maintaining a balanced and healthy lifestyle. The app generates pers"&amp;"onalized grocery lists and meal plans based on individual  preferences, and budget constraints, with a focus on homemade Pakistani cuisine. GrociDish leverages advanced AI algorithms, including Natural Language Processing (NLP) and machine learning, to pr"&amp;"ovide tailored dietary recommendations, monitor daily calorie intake, and ensure users stay within their budget. The app is aimed at simplifying the meal planning process, promoting healthier eating habits, and supporting the overall well-being of its use"&amp;"rs.
Key Features:
Personalized Grocery List Generation: Automatically create grocery lists tailored to family preferences and budget.
Recipe Management System: Provide a variety of pre-existing recipes with nutritional information.
Nutritional Calculatio"&amp;"ns: Accurately calculate the nutritional content (carbohydrates, proteins, fats, calories) of each food item and recipe.
BMI and IBW Suggestions: Offer food and serving size recommendations based on Body Mass Index (BMI) and Ideal Body Weight (IBW).
Activ"&amp;"ity Level Adjustments: Modify nutritional recommendations according to individual activity levels (sedentary, moderate, high).
Budget Management: Integrate budget constraints into grocery planning to optimize cost-effective shopping.
Calorie and Nutrition"&amp;"al Tracking: Track daily caloric intake for each family member and provide insights into overall consumption.
Recipe Recommendation system: Suggest recipes based on the available ingredients in the grocery list                                             "&amp;"      Special Dietary Support: Include recipes specifically designed for managing conditions like diabetes, hypertension, and obesity.")</f>
        <v>Project Description:
GrociDish: Personalized Family Grocery and Meal Planning App with Nutritional Management is an innovative mobile application designed to assist Pakistani families in maintaining a balanced and healthy lifestyle. The app generates personalized grocery lists and meal plans based on individual  preferences, and budget constraints, with a focus on homemade Pakistani cuisine. GrociDish leverages advanced AI algorithms, including Natural Language Processing (NLP) and machine learning, to provide tailored dietary recommendations, monitor daily calorie intake, and ensure users stay within their budget. The app is aimed at simplifying the meal planning process, promoting healthier eating habits, and supporting the overall well-being of its users.
Key Features:
Personalized Grocery List Generation: Automatically create grocery lists tailored to family preferences and budget.
Recipe Management System: Provide a variety of pre-existing recipes with nutritional information.
Nutritional Calculations: Accurately calculate the nutritional content (carbohydrates, proteins, fats, calories) of each food item and recipe.
BMI and IBW Suggestions: Offer food and serving size recommendations based on Body Mass Index (BMI) and Ideal Body Weight (IBW).
Activity Level Adjustments: Modify nutritional recommendations according to individual activity levels (sedentary, moderate, high).
Budget Management: Integrate budget constraints into grocery planning to optimize cost-effective shopping.
Calorie and Nutritional Tracking: Track daily caloric intake for each family member and provide insights into overall consumption.
Recipe Recommendation system: Suggest recipes based on the available ingredients in the grocery list                                                   Special Dietary Support: Include recipes specifically designed for managing conditions like diabetes, hypertension, and obesity.</v>
      </c>
      <c r="D121" s="12" t="str">
        <f ca="1">IFERROR(__xludf.DUMMYFUNCTION("""COMPUTED_VALUE"""),"Dr. Ahmad Raza Shahid")</f>
        <v>Dr. Ahmad Raza Shahid</v>
      </c>
      <c r="E121" s="12" t="str">
        <f ca="1">IFERROR(__xludf.DUMMYFUNCTION("""COMPUTED_VALUE"""),"Mr. Pir Sami Ullah Shah")</f>
        <v>Mr. Pir Sami Ullah Shah</v>
      </c>
      <c r="F121" s="12" t="str">
        <f ca="1">IFERROR(__xludf.DUMMYFUNCTION("""COMPUTED_VALUE"""),"Ahmed Mujtaba")</f>
        <v>Ahmed Mujtaba</v>
      </c>
      <c r="G121" s="12" t="str">
        <f ca="1">IFERROR(__xludf.DUMMYFUNCTION("""COMPUTED_VALUE"""),"i211361")</f>
        <v>i211361</v>
      </c>
      <c r="H121" s="12" t="str">
        <f ca="1">IFERROR(__xludf.DUMMYFUNCTION("""COMPUTED_VALUE"""),"Filzah Faisal")</f>
        <v>Filzah Faisal</v>
      </c>
      <c r="I121" s="12" t="str">
        <f ca="1">IFERROR(__xludf.DUMMYFUNCTION("""COMPUTED_VALUE"""),"i210498")</f>
        <v>i210498</v>
      </c>
      <c r="J121" s="12" t="str">
        <f ca="1">IFERROR(__xludf.DUMMYFUNCTION("""COMPUTED_VALUE"""),"Aimen Ijaz Abbasi")</f>
        <v>Aimen Ijaz Abbasi</v>
      </c>
      <c r="K121" s="12" t="str">
        <f ca="1">IFERROR(__xludf.DUMMYFUNCTION("""COMPUTED_VALUE"""),"i210480")</f>
        <v>i210480</v>
      </c>
    </row>
    <row r="122" spans="1:11" ht="357">
      <c r="A122" s="12" t="str">
        <f ca="1">IFERROR(__xludf.DUMMYFUNCTION("""COMPUTED_VALUE"""),"F24-122-R-CricMIC")</f>
        <v>F24-122-R-CricMIC</v>
      </c>
      <c r="B122" s="13" t="str">
        <f ca="1">IFERROR(__xludf.DUMMYFUNCTION("""COMPUTED_VALUE"""),"CricMIC : AI-Powered Game Commentary")</f>
        <v>CricMIC : AI-Powered Game Commentary</v>
      </c>
      <c r="C122" s="14" t="str">
        <f ca="1">IFERROR(__xludf.DUMMYFUNCTION("""COMPUTED_VALUE"""),"CricMIC is a product for online games that enhances the gaming experience by providing AI generated commentary. This commentary will be dynamic and context-specific, avoiding the repetitive nature of preset commentaries that many games currently use. We p"&amp;"lan to utilize computer vision to analyze the game's visual data and generate relevant commentary on the fly, making the gameplay more engaging and exciting for the player.
Detailed Scope will be provided later on as well.
Dynamic Commentary: Offers var"&amp;"ied and engaging commentary for different in-game actions, like boundaries, wickets, and strategic plays.
Seamless Integration: Easily integrates with existing game systems without altering core functionality, ensuring a smooth user experience.
Pattern "&amp;"Recognition: Learns from gameplay to improve commentary accuracy and relevance over time.
Custom Voice Selection: Allows users to choose any voice for the commentary, including their own or any other person's, for a personalized gaming experience.
High "&amp;"Customizability: Allows game developers to tailor commentary to suit different game styles or player preferences.
Multilingual Support: Provides commentary in multiple languages, catering to a global audience.
Scalable Infrastructure: Designed to handle"&amp;" commentary for games of any scale, from small matches to large tournaments.
")</f>
        <v xml:space="preserve">CricMIC is a product for online games that enhances the gaming experience by providing AI generated commentary. This commentary will be dynamic and context-specific, avoiding the repetitive nature of preset commentaries that many games currently use. We plan to utilize computer vision to analyze the game's visual data and generate relevant commentary on the fly, making the gameplay more engaging and exciting for the player.
Detailed Scope will be provided later on as well.
Dynamic Commentary: Offers varied and engaging commentary for different in-game actions, like boundaries, wickets, and strategic plays.
Seamless Integration: Easily integrates with existing game systems without altering core functionality, ensuring a smooth user experience.
Pattern Recognition: Learns from gameplay to improve commentary accuracy and relevance over time.
Custom Voice Selection: Allows users to choose any voice for the commentary, including their own or any other person's, for a personalized gaming experience.
High Customizability: Allows game developers to tailor commentary to suit different game styles or player preferences.
Multilingual Support: Provides commentary in multiple languages, catering to a global audience.
Scalable Infrastructure: Designed to handle commentary for games of any scale, from small matches to large tournaments.
</v>
      </c>
      <c r="D122" s="12" t="str">
        <f ca="1">IFERROR(__xludf.DUMMYFUNCTION("""COMPUTED_VALUE"""),"Dr. Akhtar Jamil")</f>
        <v>Dr. Akhtar Jamil</v>
      </c>
      <c r="E122" s="12"/>
      <c r="F122" s="12" t="str">
        <f ca="1">IFERROR(__xludf.DUMMYFUNCTION("""COMPUTED_VALUE"""),"Abdul Rafay")</f>
        <v>Abdul Rafay</v>
      </c>
      <c r="G122" s="12" t="str">
        <f ca="1">IFERROR(__xludf.DUMMYFUNCTION("""COMPUTED_VALUE"""),"i212708")</f>
        <v>i212708</v>
      </c>
      <c r="H122" s="12" t="str">
        <f ca="1">IFERROR(__xludf.DUMMYFUNCTION("""COMPUTED_VALUE"""),"Zaid Bin Zaki")</f>
        <v>Zaid Bin Zaki</v>
      </c>
      <c r="I122" s="12" t="str">
        <f ca="1">IFERROR(__xludf.DUMMYFUNCTION("""COMPUTED_VALUE"""),"i212704")</f>
        <v>i212704</v>
      </c>
      <c r="J122" s="12" t="str">
        <f ca="1">IFERROR(__xludf.DUMMYFUNCTION("""COMPUTED_VALUE"""),"Shahram Ali")</f>
        <v>Shahram Ali</v>
      </c>
      <c r="K122" s="12" t="str">
        <f ca="1">IFERROR(__xludf.DUMMYFUNCTION("""COMPUTED_VALUE"""),"i210253")</f>
        <v>i210253</v>
      </c>
    </row>
    <row r="123" spans="1:11" ht="267.75">
      <c r="A123" s="12" t="str">
        <f ca="1">IFERROR(__xludf.DUMMYFUNCTION("""COMPUTED_VALUE"""),"F24-123-D-SkillSeeker")</f>
        <v>F24-123-D-SkillSeeker</v>
      </c>
      <c r="B123" s="13" t="str">
        <f ca="1">IFERROR(__xludf.DUMMYFUNCTION("""COMPUTED_VALUE"""),"Client-less Internal Network Vulnerability Assessment")</f>
        <v>Client-less Internal Network Vulnerability Assessment</v>
      </c>
      <c r="C123" s="14" t="str">
        <f ca="1">IFERROR(__xludf.DUMMYFUNCTION("""COMPUTED_VALUE"""),"-IntraSec: Client less Internal Network Vulnerability Assessment is an innovative system designed to enhance the security of an organization's internal network without the need for client-side software installations. By leveraging Active Directory for cen"&amp;"tralised data collection and management, along with SSH for remote access, this system efficiently conducts comprehensive assessments across the network. It integrates with the NIST database to identify known vulnerabilities and utilizes Elastic Search fo"&amp;"r swift data indexing and retrieval. The system provides real-time vulnerability detection, and offers detailed reporting. With the potential for machine learning integration, IntraSec aims to deliver advanced threat analysis, ensuring robust and scalable"&amp;" protection for internal networks.
- Key Features of IntraSec
- Active Directory Integration
-Client-less SSH Access
-NIST Vulnerability Database 
-ElasticSearch
-Real-Time Monitoring and Alerts
-Centralized Management Dashboard
-Scalable and Modular Ar"&amp;"chitecture
-Detailed Reporting and Analytics-
-Machine Learning Integration (Optional)
")</f>
        <v xml:space="preserve">-IntraSec: Client less Internal Network Vulnerability Assessment is an innovative system designed to enhance the security of an organization's internal network without the need for client-side software installations. By leveraging Active Directory for centralised data collection and management, along with SSH for remote access, this system efficiently conducts comprehensive assessments across the network. It integrates with the NIST database to identify known vulnerabilities and utilizes Elastic Search for swift data indexing and retrieval. The system provides real-time vulnerability detection, and offers detailed reporting. With the potential for machine learning integration, IntraSec aims to deliver advanced threat analysis, ensuring robust and scalable protection for internal networks.
- Key Features of IntraSec
- Active Directory Integration
-Client-less SSH Access
-NIST Vulnerability Database 
-ElasticSearch
-Real-Time Monitoring and Alerts
-Centralized Management Dashboard
-Scalable and Modular Architecture
-Detailed Reporting and Analytics-
-Machine Learning Integration (Optional)
</v>
      </c>
      <c r="D123" s="15" t="str">
        <f ca="1">IFERROR(__xludf.DUMMYFUNCTION("""COMPUTED_VALUE"""),"Ms. Ayesha Kamran")</f>
        <v>Ms. Ayesha Kamran</v>
      </c>
      <c r="E123" s="12"/>
      <c r="F123" s="12" t="str">
        <f ca="1">IFERROR(__xludf.DUMMYFUNCTION("""COMPUTED_VALUE"""),"Muhammad Ahmad Hanif")</f>
        <v>Muhammad Ahmad Hanif</v>
      </c>
      <c r="G123" s="12" t="str">
        <f ca="1">IFERROR(__xludf.DUMMYFUNCTION("""COMPUTED_VALUE"""),"i211557")</f>
        <v>i211557</v>
      </c>
      <c r="H123" s="12" t="str">
        <f ca="1">IFERROR(__xludf.DUMMYFUNCTION("""COMPUTED_VALUE"""),"Muhammad Arfat")</f>
        <v>Muhammad Arfat</v>
      </c>
      <c r="I123" s="12" t="str">
        <f ca="1">IFERROR(__xludf.DUMMYFUNCTION("""COMPUTED_VALUE"""),"i210554")</f>
        <v>i210554</v>
      </c>
      <c r="J123" s="12"/>
      <c r="K123" s="12"/>
    </row>
    <row r="124" spans="1:11" ht="216.75">
      <c r="A124" s="12" t="str">
        <f ca="1">IFERROR(__xludf.DUMMYFUNCTION("""COMPUTED_VALUE"""),"F24-124-D-CodeNarrator")</f>
        <v>F24-124-D-CodeNarrator</v>
      </c>
      <c r="B124" s="13" t="str">
        <f ca="1">IFERROR(__xludf.DUMMYFUNCTION("""COMPUTED_VALUE"""),"AI-Powered GitHub Repository Evaluation and Test Case Generation")</f>
        <v>AI-Powered GitHub Repository Evaluation and Test Case Generation</v>
      </c>
      <c r="C124" s="14" t="str">
        <f ca="1">IFERROR(__xludf.DUMMYFUNCTION("""COMPUTED_VALUE"""),"The scope of CodeNarrator focuses on automating the generation and maintenance of README files and code comments for software projects. Through the analysis of code, libraries, comments, and commit histories, CodeNarrator ensures that documentation remain"&amp;"s detailed, up-to-date, and aligned with the evolving codebase. Specifically, the system will:
Automatically generate README files by analyzing the code structure, libraries, and dependencies.
Dynamically update README files to ensure accuracy based o"&amp;"n changes in the codebase and commit history.
Automatically insert relevant code comments into the source code to help developers understand functionality and structure.
Provide seamless integration with GitHub for real-time updates and an intuitive int"&amp;"erface to manage documentation and code comments.
The aim is to reduce the manual effort required for maintaining documentation while ensuring that both README files and code comments remain consistent with the latest code changes")</f>
        <v>The scope of CodeNarrator focuses on automating the generation and maintenance of README files and code comments for software projects. Through the analysis of code, libraries, comments, and commit histories, CodeNarrator ensures that documentation remains detailed, up-to-date, and aligned with the evolving codebase. Specifically, the system will:
Automatically generate README files by analyzing the code structure, libraries, and dependencies.
Dynamically update README files to ensure accuracy based on changes in the codebase and commit history.
Automatically insert relevant code comments into the source code to help developers understand functionality and structure.
Provide seamless integration with GitHub for real-time updates and an intuitive interface to manage documentation and code comments.
The aim is to reduce the manual effort required for maintaining documentation while ensuring that both README files and code comments remain consistent with the latest code changes</v>
      </c>
      <c r="D124" s="12" t="str">
        <f ca="1">IFERROR(__xludf.DUMMYFUNCTION("""COMPUTED_VALUE"""),"Dr. Atif Jilani")</f>
        <v>Dr. Atif Jilani</v>
      </c>
      <c r="E124" s="12" t="str">
        <f ca="1">IFERROR(__xludf.DUMMYFUNCTION("""COMPUTED_VALUE"""),"Dr. Muhammad Arshad Islam")</f>
        <v>Dr. Muhammad Arshad Islam</v>
      </c>
      <c r="F124" s="12" t="str">
        <f ca="1">IFERROR(__xludf.DUMMYFUNCTION("""COMPUTED_VALUE"""),"Fatima Khan")</f>
        <v>Fatima Khan</v>
      </c>
      <c r="G124" s="12" t="str">
        <f ca="1">IFERROR(__xludf.DUMMYFUNCTION("""COMPUTED_VALUE"""),"i210725")</f>
        <v>i210725</v>
      </c>
      <c r="H124" s="12" t="str">
        <f ca="1">IFERROR(__xludf.DUMMYFUNCTION("""COMPUTED_VALUE"""),"Fareeah Naseem")</f>
        <v>Fareeah Naseem</v>
      </c>
      <c r="I124" s="12" t="str">
        <f ca="1">IFERROR(__xludf.DUMMYFUNCTION("""COMPUTED_VALUE"""),"i210500")</f>
        <v>i210500</v>
      </c>
      <c r="J124" s="12" t="str">
        <f ca="1">IFERROR(__xludf.DUMMYFUNCTION("""COMPUTED_VALUE"""),"Malaika Hussain")</f>
        <v>Malaika Hussain</v>
      </c>
      <c r="K124" s="12" t="str">
        <f ca="1">IFERROR(__xludf.DUMMYFUNCTION("""COMPUTED_VALUE"""),"i212559")</f>
        <v>i212559</v>
      </c>
    </row>
    <row r="125" spans="1:11" ht="267.75">
      <c r="A125" s="12" t="str">
        <f ca="1">IFERROR(__xludf.DUMMYFUNCTION("""COMPUTED_VALUE"""),"F24-125-D-AdvertEase")</f>
        <v>F24-125-D-AdvertEase</v>
      </c>
      <c r="B125" s="13" t="str">
        <f ca="1">IFERROR(__xludf.DUMMYFUNCTION("""COMPUTED_VALUE"""),"AdvertEase: From Product Page to Powerful Ad in a Single Click")</f>
        <v>AdvertEase: From Product Page to Powerful Ad in a Single Click</v>
      </c>
      <c r="C125" s="14" t="str">
        <f ca="1">IFERROR(__xludf.DUMMYFUNCTION("""COMPUTED_VALUE"""),"Advert-ease aims to be the best solution for websites and companies that need to generate ads for their products, advert-ease allows to generate the image and video ads by simply providing the urls of their ( UpStart commerce, PakWheels ) products.
Key f"&amp;"eatures:
1. URL-Based Ad Generation: Dynamic ads created from provided URLs.
2. Poster Ads: High-resolution digital posters.
   - Editable Ads: Customizable ad templates.
   - High-Quality Image Generation: Visually appealing images for ads.
   - Chatbot"&amp;" Communication: Interactive chatbot for engagement and support.
   - User Control: Features for customizing and managing ad content.
3. Video Ads: Development and integration of video ads.
   - LLM-Based Description Generation: Use large language models t"&amp;"o create descriptive 
     text.
   - Content Management: Manage text and image content.
   - Text-to-Image Generation: Convert text descriptions into images.
   - Avatar Generation: Create human avatars for ads.
   - Human Voiceover: Integrate natural vo"&amp;"iceovers into ads.
4. Web-Based Development: Develop all features on a web platform for accessibility and 
     ease of use.
")</f>
        <v xml:space="preserve">Advert-ease aims to be the best solution for websites and companies that need to generate ads for their products, advert-ease allows to generate the image and video ads by simply providing the urls of their ( UpStart commerce, PakWheels ) products.
Key features:
1. URL-Based Ad Generation: Dynamic ads created from provided URLs.
2. Poster Ads: High-resolution digital posters.
   - Editable Ads: Customizable ad templates.
   - High-Quality Image Generation: Visually appealing images for ads.
   - Chatbot Communication: Interactive chatbot for engagement and support.
   - User Control: Features for customizing and managing ad content.
3. Video Ads: Development and integration of video ads.
   - LLM-Based Description Generation: Use large language models to create descriptive 
     text.
   - Content Management: Manage text and image content.
   - Text-to-Image Generation: Convert text descriptions into images.
   - Avatar Generation: Create human avatars for ads.
   - Human Voiceover: Integrate natural voiceovers into ads.
4. Web-Based Development: Develop all features on a web platform for accessibility and 
     ease of use.
</v>
      </c>
      <c r="D125" s="12" t="str">
        <f ca="1">IFERROR(__xludf.DUMMYFUNCTION("""COMPUTED_VALUE"""),"Dr. Asif Naeem")</f>
        <v>Dr. Asif Naeem</v>
      </c>
      <c r="E125" s="12"/>
      <c r="F125" s="12" t="str">
        <f ca="1">IFERROR(__xludf.DUMMYFUNCTION("""COMPUTED_VALUE"""),"Laiba Nadeem")</f>
        <v>Laiba Nadeem</v>
      </c>
      <c r="G125" s="12" t="str">
        <f ca="1">IFERROR(__xludf.DUMMYFUNCTION("""COMPUTED_VALUE"""),"i210690")</f>
        <v>i210690</v>
      </c>
      <c r="H125" s="12" t="str">
        <f ca="1">IFERROR(__xludf.DUMMYFUNCTION("""COMPUTED_VALUE"""),"Muhammad Ibrahim Sultan")</f>
        <v>Muhammad Ibrahim Sultan</v>
      </c>
      <c r="I125" s="12" t="str">
        <f ca="1">IFERROR(__xludf.DUMMYFUNCTION("""COMPUTED_VALUE"""),"i210582")</f>
        <v>i210582</v>
      </c>
      <c r="J125" s="12" t="str">
        <f ca="1">IFERROR(__xludf.DUMMYFUNCTION("""COMPUTED_VALUE"""),"Muhammad Hamza")</f>
        <v>Muhammad Hamza</v>
      </c>
      <c r="K125" s="12" t="str">
        <f ca="1">IFERROR(__xludf.DUMMYFUNCTION("""COMPUTED_VALUE"""),"i210869")</f>
        <v>i210869</v>
      </c>
    </row>
    <row r="126" spans="1:11" ht="409.5">
      <c r="A126" s="12" t="str">
        <f ca="1">IFERROR(__xludf.DUMMYFUNCTION("""COMPUTED_VALUE"""),"F24-126-D-FinXtract")</f>
        <v>F24-126-D-FinXtract</v>
      </c>
      <c r="B126" s="13" t="str">
        <f ca="1">IFERROR(__xludf.DUMMYFUNCTION("""COMPUTED_VALUE"""),"Financial Analysis Powered through DeepTech")</f>
        <v>Financial Analysis Powered through DeepTech</v>
      </c>
      <c r="C126" s="14" t="str">
        <f ca="1">IFERROR(__xludf.DUMMYFUNCTION("""COMPUTED_VALUE"""),"FinXtract is an innovative software solution designed to streamline the extraction and analysis of financial data from extensive PDF reports. Traditionally, extracting meaningful information from long and complex financial documents has been a time-consum"&amp;"ing and resource-intensive task performed by humans. FinXtract automates this process, allowing companies to quickly and efficiently extract financial data from PDFs, including those that are simple scans or images of printed papers. The software offers a"&amp;" user-friendly interface that simplifies data extraction, making it accessible to financial analysts, investors, and other stakeholders. In addition to financial data extraction, FinXtract provides sentiment analysis of company reports, offering deeper in"&amp;"sights into the content of the documents. The platform also includes a powerful chatbot that interacts with users, answering queries and assisting with data retrieval, while ensuring the accuracy and security of the extracted information. 
1) Automated e"&amp;"xtraction of financial data from PDF reports, including scanned documents and images.
2) User-friendly interface for easy navigation and data retrieval.
3) Advanced sentiment analysis on company reports to gauge overall business health and trends.
4) R"&amp;"eal-time assistance and data querying through an integrated, intelligent chatbot.
5) Secure data storage with a focus on protecting sensitive financial information.
6) Standardization and cleaning of extracted financial data for accurate analysis.
7) C"&amp;"apability to extract and analyze non-financial information from PDFs, enriching the data set.
8) Open API for seamless integration with external tools and systems.
9) Advanced analytics tools to offer deep insights into financial performance.
10) Robus"&amp;"t data accuracy and consistency measures to ensure reliability in reporting and decision-making.")</f>
        <v>FinXtract is an innovative software solution designed to streamline the extraction and analysis of financial data from extensive PDF reports. Traditionally, extracting meaningful information from long and complex financial documents has been a time-consuming and resource-intensive task performed by humans. FinXtract automates this process, allowing companies to quickly and efficiently extract financial data from PDFs, including those that are simple scans or images of printed papers. The software offers a user-friendly interface that simplifies data extraction, making it accessible to financial analysts, investors, and other stakeholders. In addition to financial data extraction, FinXtract provides sentiment analysis of company reports, offering deeper insights into the content of the documents. The platform also includes a powerful chatbot that interacts with users, answering queries and assisting with data retrieval, while ensuring the accuracy and security of the extracted information. 
1) Automated extraction of financial data from PDF reports, including scanned documents and images.
2) User-friendly interface for easy navigation and data retrieval.
3) Advanced sentiment analysis on company reports to gauge overall business health and trends.
4) Real-time assistance and data querying through an integrated, intelligent chatbot.
5) Secure data storage with a focus on protecting sensitive financial information.
6) Standardization and cleaning of extracted financial data for accurate analysis.
7) Capability to extract and analyze non-financial information from PDFs, enriching the data set.
8) Open API for seamless integration with external tools and systems.
9) Advanced analytics tools to offer deep insights into financial performance.
10) Robust data accuracy and consistency measures to ensure reliability in reporting and decision-making.</v>
      </c>
      <c r="D126" s="12" t="str">
        <f ca="1">IFERROR(__xludf.DUMMYFUNCTION("""COMPUTED_VALUE"""),"Dr. Javaria Imtiaz")</f>
        <v>Dr. Javaria Imtiaz</v>
      </c>
      <c r="E126" s="12"/>
      <c r="F126" s="12" t="str">
        <f ca="1">IFERROR(__xludf.DUMMYFUNCTION("""COMPUTED_VALUE"""),"Zalan Wiqar Shah")</f>
        <v>Zalan Wiqar Shah</v>
      </c>
      <c r="G126" s="12" t="str">
        <f ca="1">IFERROR(__xludf.DUMMYFUNCTION("""COMPUTED_VALUE"""),"i210672")</f>
        <v>i210672</v>
      </c>
      <c r="H126" s="12" t="str">
        <f ca="1">IFERROR(__xludf.DUMMYFUNCTION("""COMPUTED_VALUE"""),"Muhammad Hussain")</f>
        <v>Muhammad Hussain</v>
      </c>
      <c r="I126" s="12" t="str">
        <f ca="1">IFERROR(__xludf.DUMMYFUNCTION("""COMPUTED_VALUE"""),"i210501")</f>
        <v>i210501</v>
      </c>
      <c r="J126" s="12" t="str">
        <f ca="1">IFERROR(__xludf.DUMMYFUNCTION("""COMPUTED_VALUE"""),"Abdullah Latif Kiyani")</f>
        <v>Abdullah Latif Kiyani</v>
      </c>
      <c r="K126" s="12" t="str">
        <f ca="1">IFERROR(__xludf.DUMMYFUNCTION("""COMPUTED_VALUE"""),"i212506")</f>
        <v>i212506</v>
      </c>
    </row>
    <row r="127" spans="1:11" ht="204">
      <c r="A127" s="12" t="str">
        <f ca="1">IFERROR(__xludf.DUMMYFUNCTION("""COMPUTED_VALUE"""),"F24-127-D-Decentrum")</f>
        <v>F24-127-D-Decentrum</v>
      </c>
      <c r="B127" s="13" t="str">
        <f ca="1">IFERROR(__xludf.DUMMYFUNCTION("""COMPUTED_VALUE"""),"Blockchain based Social Media Platform")</f>
        <v>Blockchain based Social Media Platform</v>
      </c>
      <c r="C127" s="14" t="str">
        <f ca="1">IFERROR(__xludf.DUMMYFUNCTION("""COMPUTED_VALUE"""),"Decentrum: To create a decentralized social media network that allows users to interact, exchange content, and communicate without the need for centralized servers or third-party control. The platform will use blockchain technology to secure the privacy, "&amp;"security, and transparency of user data and transactions.
Features:
Better Security
Control over data
Information privacy
Create, Read, Delete, Update posts
Add friends
Content creation and sharing
Like and Save posts, send and receive notifications
User"&amp;" Profile Management
Fair Monetization
Chats between users")</f>
        <v>Decentrum: To create a decentralized social media network that allows users to interact, exchange content, and communicate without the need for centralized servers or third-party control. The platform will use blockchain technology to secure the privacy, security, and transparency of user data and transactions.
Features:
Better Security
Control over data
Information privacy
Create, Read, Delete, Update posts
Add friends
Content creation and sharing
Like and Save posts, send and receive notifications
User Profile Management
Fair Monetization
Chats between users</v>
      </c>
      <c r="D127" s="12" t="str">
        <f ca="1">IFERROR(__xludf.DUMMYFUNCTION("""COMPUTED_VALUE"""),"Dr. Syed Qaiser Ali Shah")</f>
        <v>Dr. Syed Qaiser Ali Shah</v>
      </c>
      <c r="E127" s="12"/>
      <c r="F127" s="12" t="str">
        <f ca="1">IFERROR(__xludf.DUMMYFUNCTION("""COMPUTED_VALUE"""),"Muhammad Usman Nazeer")</f>
        <v>Muhammad Usman Nazeer</v>
      </c>
      <c r="G127" s="12" t="str">
        <f ca="1">IFERROR(__xludf.DUMMYFUNCTION("""COMPUTED_VALUE"""),"i210556")</f>
        <v>i210556</v>
      </c>
      <c r="H127" s="12" t="str">
        <f ca="1">IFERROR(__xludf.DUMMYFUNCTION("""COMPUTED_VALUE"""),"Bilal Saleem")</f>
        <v>Bilal Saleem</v>
      </c>
      <c r="I127" s="12" t="str">
        <f ca="1">IFERROR(__xludf.DUMMYFUNCTION("""COMPUTED_VALUE"""),"i210464")</f>
        <v>i210464</v>
      </c>
      <c r="J127" s="12" t="str">
        <f ca="1">IFERROR(__xludf.DUMMYFUNCTION("""COMPUTED_VALUE"""),"Musaddiq Ashfaq")</f>
        <v>Musaddiq Ashfaq</v>
      </c>
      <c r="K127" s="12" t="str">
        <f ca="1">IFERROR(__xludf.DUMMYFUNCTION("""COMPUTED_VALUE"""),"i212558")</f>
        <v>i212558</v>
      </c>
    </row>
    <row r="128" spans="1:11" ht="280.5">
      <c r="A128" s="12" t="str">
        <f ca="1">IFERROR(__xludf.DUMMYFUNCTION("""COMPUTED_VALUE"""),"F24-128-D-Modelosaurus")</f>
        <v>F24-128-D-Modelosaurus</v>
      </c>
      <c r="B128" s="13" t="str">
        <f ca="1">IFERROR(__xludf.DUMMYFUNCTION("""COMPUTED_VALUE"""),"No code ML/DL Model Creator")</f>
        <v>No code ML/DL Model Creator</v>
      </c>
      <c r="C128" s="14" t="str">
        <f ca="1">IFERROR(__xludf.DUMMYFUNCTION("""COMPUTED_VALUE"""),"Project Overview
Modelosaurus, a No-Code ML/DL Model Creator, simplifies and streamlines the process of creating, training, and deploying ML/DL models, with fully customizable architecture. It aims to provide constructive feedback to developers while crea"&amp;"ting the model, based on the model architecture and the required use case &amp; dataset. It helps developers understand the model architecture &amp; its working through visualizations.
Features
1) Customization of model architecture using a component library and"&amp;" a drag &amp; drop interface to generate model code (for specific model types)
2) Finetune pre-built model templates with user provided dataset.
3) Architecture Analyzer to give feedback on the model architecture without running it, given the context of the d"&amp;"ataset being used and the intended use case. 
4) Visualization of the model architecture, its layers, activation functions and input/output formats.
5) Visualization of model inference using heatmaps and XAi techniques.
6) Model training without having to"&amp;" run the model locally.
7) Integrated testing of the trained model on the platform
8) User management to maintain the history of created models.
9) Automatic Deployment of the trained model (Supplementary Feature)
10) Payment module to compensate for reso"&amp;"urces used in training &amp; deployment. (Supplementary Feature dependent on #9)
")</f>
        <v xml:space="preserve">Project Overview
Modelosaurus, a No-Code ML/DL Model Creator, simplifies and streamlines the process of creating, training, and deploying ML/DL models, with fully customizable architecture. It aims to provide constructive feedback to developers while creating the model, based on the model architecture and the required use case &amp; dataset. It helps developers understand the model architecture &amp; its working through visualizations.
Features
1) Customization of model architecture using a component library and a drag &amp; drop interface to generate model code (for specific model types)
2) Finetune pre-built model templates with user provided dataset.
3) Architecture Analyzer to give feedback on the model architecture without running it, given the context of the dataset being used and the intended use case. 
4) Visualization of the model architecture, its layers, activation functions and input/output formats.
5) Visualization of model inference using heatmaps and XAi techniques.
6) Model training without having to run the model locally.
7) Integrated testing of the trained model on the platform
8) User management to maintain the history of created models.
9) Automatic Deployment of the trained model (Supplementary Feature)
10) Payment module to compensate for resources used in training &amp; deployment. (Supplementary Feature dependent on #9)
</v>
      </c>
      <c r="D128" s="12" t="str">
        <f ca="1">IFERROR(__xludf.DUMMYFUNCTION("""COMPUTED_VALUE"""),"Dr. Atif Jilani")</f>
        <v>Dr. Atif Jilani</v>
      </c>
      <c r="E128" s="12"/>
      <c r="F128" s="12" t="str">
        <f ca="1">IFERROR(__xludf.DUMMYFUNCTION("""COMPUTED_VALUE"""),"Fatima Bilal")</f>
        <v>Fatima Bilal</v>
      </c>
      <c r="G128" s="12" t="str">
        <f ca="1">IFERROR(__xludf.DUMMYFUNCTION("""COMPUTED_VALUE"""),"i211191")</f>
        <v>i211191</v>
      </c>
      <c r="H128" s="12" t="str">
        <f ca="1">IFERROR(__xludf.DUMMYFUNCTION("""COMPUTED_VALUE"""),"Haadiya Sajid")</f>
        <v>Haadiya Sajid</v>
      </c>
      <c r="I128" s="12" t="str">
        <f ca="1">IFERROR(__xludf.DUMMYFUNCTION("""COMPUTED_VALUE"""),"i211216")</f>
        <v>i211216</v>
      </c>
      <c r="J128" s="12" t="str">
        <f ca="1">IFERROR(__xludf.DUMMYFUNCTION("""COMPUTED_VALUE"""),"Muhammad Ahmed Raza")</f>
        <v>Muhammad Ahmed Raza</v>
      </c>
      <c r="K128" s="12" t="str">
        <f ca="1">IFERROR(__xludf.DUMMYFUNCTION("""COMPUTED_VALUE"""),"i211152")</f>
        <v>i211152</v>
      </c>
    </row>
    <row r="129" spans="1:11" ht="204">
      <c r="A129" s="12" t="str">
        <f ca="1">IFERROR(__xludf.DUMMYFUNCTION("""COMPUTED_VALUE"""),"F24-129-R-Soccerix")</f>
        <v>F24-129-R-Soccerix</v>
      </c>
      <c r="B129" s="13" t="str">
        <f ca="1">IFERROR(__xludf.DUMMYFUNCTION("""COMPUTED_VALUE"""),"Software-based AI-powered soccer tactical analysis tool.")</f>
        <v>Software-based AI-powered soccer tactical analysis tool.</v>
      </c>
      <c r="C129" s="14" t="str">
        <f ca="1">IFERROR(__xludf.DUMMYFUNCTION("""COMPUTED_VALUE"""),"Soccerix: An AI-driven soccer analysis software that uses advanced data techniques to improve team tactics and performance. The software will deliver a solution capable of processing match data to identify strengths, weaknesses, and opportunities for impr"&amp;"ovement in post-match analysis.
Key features:
1. Team strategy analysis - report generation (winning or losing) 
2. Event detection (goal, foul, corner kicks)
3. Player &amp; ball tracking 
4. Team Classification
5. Bird's eye view of the game
6. Heatmaps an"&amp;"d Visualizations
7. User-friendly dashboards
Optional Features:
8. 3d generation of shots ")</f>
        <v xml:space="preserve">Soccerix: An AI-driven soccer analysis software that uses advanced data techniques to improve team tactics and performance. The software will deliver a solution capable of processing match data to identify strengths, weaknesses, and opportunities for improvement in post-match analysis.
Key features:
1. Team strategy analysis - report generation (winning or losing) 
2. Event detection (goal, foul, corner kicks)
3. Player &amp; ball tracking 
4. Team Classification
5. Bird's eye view of the game
6. Heatmaps and Visualizations
7. User-friendly dashboards
Optional Features:
8. 3d generation of shots </v>
      </c>
      <c r="D129" s="12" t="str">
        <f ca="1">IFERROR(__xludf.DUMMYFUNCTION("""COMPUTED_VALUE"""),"Dr. Akhtar Jamil")</f>
        <v>Dr. Akhtar Jamil</v>
      </c>
      <c r="E129" s="12"/>
      <c r="F129" s="12" t="str">
        <f ca="1">IFERROR(__xludf.DUMMYFUNCTION("""COMPUTED_VALUE"""),"Syeda Areeba Nadeem")</f>
        <v>Syeda Areeba Nadeem</v>
      </c>
      <c r="G129" s="12" t="str">
        <f ca="1">IFERROR(__xludf.DUMMYFUNCTION("""COMPUTED_VALUE"""),"i210307")</f>
        <v>i210307</v>
      </c>
      <c r="H129" s="12" t="str">
        <f ca="1">IFERROR(__xludf.DUMMYFUNCTION("""COMPUTED_VALUE"""),"Moawiz Bin Yamin")</f>
        <v>Moawiz Bin Yamin</v>
      </c>
      <c r="I129" s="12" t="str">
        <f ca="1">IFERROR(__xludf.DUMMYFUNCTION("""COMPUTED_VALUE"""),"i210323")</f>
        <v>i210323</v>
      </c>
      <c r="J129" s="12" t="str">
        <f ca="1">IFERROR(__xludf.DUMMYFUNCTION("""COMPUTED_VALUE"""),"Firdous Zahra")</f>
        <v>Firdous Zahra</v>
      </c>
      <c r="K129" s="12" t="str">
        <f ca="1">IFERROR(__xludf.DUMMYFUNCTION("""COMPUTED_VALUE"""),"i191781")</f>
        <v>i191781</v>
      </c>
    </row>
    <row r="130" spans="1:11" ht="114.75">
      <c r="A130" s="12" t="str">
        <f ca="1">IFERROR(__xludf.DUMMYFUNCTION("""COMPUTED_VALUE"""),"F24-130-D-khudsuno")</f>
        <v>F24-130-D-khudsuno</v>
      </c>
      <c r="B130" s="13" t="str">
        <f ca="1">IFERROR(__xludf.DUMMYFUNCTION("""COMPUTED_VALUE"""),"Sign language generation and recognition system, AI based sign language English translation app with avatar support")</f>
        <v>Sign language generation and recognition system, AI based sign language English translation app with avatar support</v>
      </c>
      <c r="C130" s="14" t="str">
        <f ca="1">IFERROR(__xludf.DUMMYFUNCTION("""COMPUTED_VALUE"""),"We are developing a mobile app that translates Pakistan Sign Language (PSL) into text and audio, and vice versa, to assist deaf individuals. The app features an avatar that converts speech and text into sign language, enabling private and accessible commu"&amp;"nication without needing a human translator or external device. It will improve over time with user feedback and machine learning, and can be used both online and offline. We’re using Unity 3D for the avatar, React Native for the interface, Python for the"&amp;" backend, and SQL with cloud services for secure data storage, all aimed at providing a simple and effective communication tool for the deaf community. There will also be an offline mode that doesn't access the cloud if need be. ")</f>
        <v xml:space="preserve">We are developing a mobile app that translates Pakistan Sign Language (PSL) into text and audio, and vice versa, to assist deaf individuals. The app features an avatar that converts speech and text into sign language, enabling private and accessible communication without needing a human translator or external device. It will improve over time with user feedback and machine learning, and can be used both online and offline. We’re using Unity 3D for the avatar, React Native for the interface, Python for the backend, and SQL with cloud services for secure data storage, all aimed at providing a simple and effective communication tool for the deaf community. There will also be an offline mode that doesn't access the cloud if need be. </v>
      </c>
      <c r="D130" s="12" t="str">
        <f ca="1">IFERROR(__xludf.DUMMYFUNCTION("""COMPUTED_VALUE"""),"Dr. Zeshan Khan")</f>
        <v>Dr. Zeshan Khan</v>
      </c>
      <c r="E130" s="12"/>
      <c r="F130" s="12" t="str">
        <f ca="1">IFERROR(__xludf.DUMMYFUNCTION("""COMPUTED_VALUE"""),"Muhammad Yahya Kamran")</f>
        <v>Muhammad Yahya Kamran</v>
      </c>
      <c r="G130" s="12" t="str">
        <f ca="1">IFERROR(__xludf.DUMMYFUNCTION("""COMPUTED_VALUE"""),"i210701")</f>
        <v>i210701</v>
      </c>
      <c r="H130" s="12" t="str">
        <f ca="1">IFERROR(__xludf.DUMMYFUNCTION("""COMPUTED_VALUE"""),"Hareem Zaigham")</f>
        <v>Hareem Zaigham</v>
      </c>
      <c r="I130" s="12" t="str">
        <f ca="1">IFERROR(__xludf.DUMMYFUNCTION("""COMPUTED_VALUE"""),"i210426")</f>
        <v>i210426</v>
      </c>
      <c r="J130" s="12" t="str">
        <f ca="1">IFERROR(__xludf.DUMMYFUNCTION("""COMPUTED_VALUE"""),"Amna Khan")</f>
        <v>Amna Khan</v>
      </c>
      <c r="K130" s="12" t="str">
        <f ca="1">IFERROR(__xludf.DUMMYFUNCTION("""COMPUTED_VALUE"""),"i210665")</f>
        <v>i210665</v>
      </c>
    </row>
    <row r="131" spans="1:11" ht="409.5">
      <c r="A131" s="12" t="str">
        <f ca="1">IFERROR(__xludf.DUMMYFUNCTION("""COMPUTED_VALUE"""),"F24-131-D-BTCConversa")</f>
        <v>F24-131-D-BTCConversa</v>
      </c>
      <c r="B131" s="13" t="str">
        <f ca="1">IFERROR(__xludf.DUMMYFUNCTION("""COMPUTED_VALUE"""),"BTC Conversa: Your Complete Banking Experience Through Simple Conversations")</f>
        <v>BTC Conversa: Your Complete Banking Experience Through Simple Conversations</v>
      </c>
      <c r="C131" s="14" t="str">
        <f ca="1">IFERROR(__xludf.DUMMYFUNCTION("""COMPUTED_VALUE"""),"The goal of this project is to develop an all-in-one generative AI-powered banking chatbot that can handle a wide variety of banking operations. The system will be capable of providing a comprehensive solution for customer interaction and financial manage"&amp;"ment. The key features include:
1) Personal Information Management: The bot will manage customer personal information, account information, bank details, and product information, ensuring secure and accurate data handling.
2) Financial Actions: Customer"&amp;"s will be able to complete various financial tasks such as bill payments, IBFT (Interbank Fund Transfers), and other fund transfers seamlessly through the bot.
3) Non-Financial Actions: The bot will also assist in card activation/blocking, adding payees,"&amp;" requesting cheques or statements, setting up spending alerts, and handling feedback or complaints.
4) Expenditure and Transaction Analysis: The system will analyze customer expenditure, transactions, and payments to provide insights into spending patter"&amp;"ns.
5) Information and Advisory Bot: The bot will provide tailored financial advice, including tax savings and personal finance management (PFM) recommendations, helping customers optimize their financial strategies.
6) Support Information: The bot will"&amp;" handle customer support, providing information related to various products and assisting with their queries.
7) Enhanced Analytics: The bot will analyze spending patterns, offering personalized suggestions to customers based on their financial behavior."&amp;"
8) GENAI BOT Integration: The project will leverage generative AI to enable advanced conversational interactions, making the chatbot more intuitive and user-friendly.
9) Phased Implementation of Text-to-Speech: In the final phase of the project, we wil"&amp;"l implement a text-to-speech feature, enhancing accessibility by allowing the bot to respond to user queries in audio format. This feature will ensure that customers who prefer auditory assistance can have a more seamless experience.")</f>
        <v>The goal of this project is to develop an all-in-one generative AI-powered banking chatbot that can handle a wide variety of banking operations. The system will be capable of providing a comprehensive solution for customer interaction and financial management. The key features include:
1) Personal Information Management: The bot will manage customer personal information, account information, bank details, and product information, ensuring secure and accurate data handling.
2) Financial Actions: Customers will be able to complete various financial tasks such as bill payments, IBFT (Interbank Fund Transfers), and other fund transfers seamlessly through the bot.
3) Non-Financial Actions: The bot will also assist in card activation/blocking, adding payees, requesting cheques or statements, setting up spending alerts, and handling feedback or complaints.
4) Expenditure and Transaction Analysis: The system will analyze customer expenditure, transactions, and payments to provide insights into spending patterns.
5) Information and Advisory Bot: The bot will provide tailored financial advice, including tax savings and personal finance management (PFM) recommendations, helping customers optimize their financial strategies.
6) Support Information: The bot will handle customer support, providing information related to various products and assisting with their queries.
7) Enhanced Analytics: The bot will analyze spending patterns, offering personalized suggestions to customers based on their financial behavior.
8) GENAI BOT Integration: The project will leverage generative AI to enable advanced conversational interactions, making the chatbot more intuitive and user-friendly.
9) Phased Implementation of Text-to-Speech: In the final phase of the project, we will implement a text-to-speech feature, enhancing accessibility by allowing the bot to respond to user queries in audio format. This feature will ensure that customers who prefer auditory assistance can have a more seamless experience.</v>
      </c>
      <c r="D131" s="12" t="str">
        <f ca="1">IFERROR(__xludf.DUMMYFUNCTION("""COMPUTED_VALUE"""),"Mr. Hassan Raza")</f>
        <v>Mr. Hassan Raza</v>
      </c>
      <c r="E131" s="12" t="str">
        <f ca="1">IFERROR(__xludf.DUMMYFUNCTION("""COMPUTED_VALUE"""),"Mr. Adil Majeed")</f>
        <v>Mr. Adil Majeed</v>
      </c>
      <c r="F131" s="12" t="str">
        <f ca="1">IFERROR(__xludf.DUMMYFUNCTION("""COMPUTED_VALUE"""),"Muneeza Zaki")</f>
        <v>Muneeza Zaki</v>
      </c>
      <c r="G131" s="12" t="str">
        <f ca="1">IFERROR(__xludf.DUMMYFUNCTION("""COMPUTED_VALUE"""),"i210333")</f>
        <v>i210333</v>
      </c>
      <c r="H131" s="12" t="str">
        <f ca="1">IFERROR(__xludf.DUMMYFUNCTION("""COMPUTED_VALUE"""),"Arsalan Ahmed")</f>
        <v>Arsalan Ahmed</v>
      </c>
      <c r="I131" s="12" t="str">
        <f ca="1">IFERROR(__xludf.DUMMYFUNCTION("""COMPUTED_VALUE"""),"i210271")</f>
        <v>i210271</v>
      </c>
      <c r="J131" s="12" t="str">
        <f ca="1">IFERROR(__xludf.DUMMYFUNCTION("""COMPUTED_VALUE"""),"Muhammad Saifullah Amin Shah")</f>
        <v>Muhammad Saifullah Amin Shah</v>
      </c>
      <c r="K131" s="12" t="str">
        <f ca="1">IFERROR(__xludf.DUMMYFUNCTION("""COMPUTED_VALUE"""),"i212717")</f>
        <v>i212717</v>
      </c>
    </row>
    <row r="132" spans="1:11" ht="229.5">
      <c r="A132" s="12" t="str">
        <f ca="1">IFERROR(__xludf.DUMMYFUNCTION("""COMPUTED_VALUE"""),"F24-132-D-DigiTransacFraudDetect")</f>
        <v>F24-132-D-DigiTransacFraudDetect</v>
      </c>
      <c r="B132" s="13" t="str">
        <f ca="1">IFERROR(__xludf.DUMMYFUNCTION("""COMPUTED_VALUE"""),"Neural Network based Online Transaction Fraud Detection")</f>
        <v>Neural Network based Online Transaction Fraud Detection</v>
      </c>
      <c r="C132" s="14" t="str">
        <f ca="1">IFERROR(__xludf.DUMMYFUNCTION("""COMPUTED_VALUE"""),"The project focuses on developing a sophisticated software system for detecting credit card fraud using an encoder-decoder Graph Neural Network (GNN) architecture. The scope of our project includes constructing a graph-based representation of credit card "&amp;"transactions, allowing the system to model and analyze complex relationships within the data. Key features of the project involve incorporating advanced feature engineering techniques, implementing a GNN-based fraud detection module, and optimizing the mo"&amp;"del through batch normalization. The system will also include a user-friendly interface with real-time visualizations, performance metrics dashboards, and integration capabilities with existing banking infrastructure, ensuring scalability and efficiency i"&amp;"n real-world applications.
1.	Synthetic Dataset Generation
2.	Feature Engineering
3.	Graph Representation of Transactions Constructs
4.	Encoder-Decoder Graph Neural Network
5.	Fraud Detection Module
6.	Batch Normalization
7.	Performance Evaluation
8.	Scal"&amp;"ability and Efficiency
9.	User Interface")</f>
        <v>The project focuses on developing a sophisticated software system for detecting credit card fraud using an encoder-decoder Graph Neural Network (GNN) architecture. The scope of our project includes constructing a graph-based representation of credit card transactions, allowing the system to model and analyze complex relationships within the data. Key features of the project involve incorporating advanced feature engineering techniques, implementing a GNN-based fraud detection module, and optimizing the model through batch normalization. The system will also include a user-friendly interface with real-time visualizations, performance metrics dashboards, and integration capabilities with existing banking infrastructure, ensuring scalability and efficiency in real-world applications.
1.	Synthetic Dataset Generation
2.	Feature Engineering
3.	Graph Representation of Transactions Constructs
4.	Encoder-Decoder Graph Neural Network
5.	Fraud Detection Module
6.	Batch Normalization
7.	Performance Evaluation
8.	Scalability and Efficiency
9.	User Interface</v>
      </c>
      <c r="D132" s="12" t="str">
        <f ca="1">IFERROR(__xludf.DUMMYFUNCTION("""COMPUTED_VALUE"""),"Dr. Fehmida Usmani")</f>
        <v>Dr. Fehmida Usmani</v>
      </c>
      <c r="E132" s="12"/>
      <c r="F132" s="12" t="str">
        <f ca="1">IFERROR(__xludf.DUMMYFUNCTION("""COMPUTED_VALUE"""),"Ali Mansoor")</f>
        <v>Ali Mansoor</v>
      </c>
      <c r="G132" s="12" t="str">
        <f ca="1">IFERROR(__xludf.DUMMYFUNCTION("""COMPUTED_VALUE"""),"i210583")</f>
        <v>i210583</v>
      </c>
      <c r="H132" s="12" t="str">
        <f ca="1">IFERROR(__xludf.DUMMYFUNCTION("""COMPUTED_VALUE"""),"Furqan Tariq")</f>
        <v>Furqan Tariq</v>
      </c>
      <c r="I132" s="12" t="str">
        <f ca="1">IFERROR(__xludf.DUMMYFUNCTION("""COMPUTED_VALUE"""),"i210857")</f>
        <v>i210857</v>
      </c>
      <c r="J132" s="12" t="str">
        <f ca="1">IFERROR(__xludf.DUMMYFUNCTION("""COMPUTED_VALUE"""),"Fouad Ikram")</f>
        <v>Fouad Ikram</v>
      </c>
      <c r="K132" s="12" t="str">
        <f ca="1">IFERROR(__xludf.DUMMYFUNCTION("""COMPUTED_VALUE"""),"i210682")</f>
        <v>i210682</v>
      </c>
    </row>
    <row r="133" spans="1:11" ht="165.75">
      <c r="A133" s="12" t="str">
        <f ca="1">IFERROR(__xludf.DUMMYFUNCTION("""COMPUTED_VALUE"""),"F24-133-D-MultilingualAIAssist")</f>
        <v>F24-133-D-MultilingualAIAssist</v>
      </c>
      <c r="B133" s="13" t="str">
        <f ca="1">IFERROR(__xludf.DUMMYFUNCTION("""COMPUTED_VALUE"""),"Multilingual AI application")</f>
        <v>Multilingual AI application</v>
      </c>
      <c r="C133" s="14" t="str">
        <f ca="1">IFERROR(__xludf.DUMMYFUNCTION("""COMPUTED_VALUE"""),"We aim to create a mobile application that would break the communication barrier between deaf people and rest of us. Our mobile application would be a Multilingual device that auto detects the source language and displays on the mobile screen of the user."&amp;" Our focus would be mainly on Pakistani Languages. These are some of the key features of our project:
Speech to text model
Noise Filtering
Customizable on screen text
Saving transcriptions
Live Video Recording
Multilingual 
Keyword Alerts
Noise Detection
"&amp;"Smart Glasses which would be an optional feature ")</f>
        <v xml:space="preserve">We aim to create a mobile application that would break the communication barrier between deaf people and rest of us. Our mobile application would be a Multilingual device that auto detects the source language and displays on the mobile screen of the user. Our focus would be mainly on Pakistani Languages. These are some of the key features of our project:
Speech to text model
Noise Filtering
Customizable on screen text
Saving transcriptions
Live Video Recording
Multilingual 
Keyword Alerts
Noise Detection
Smart Glasses which would be an optional feature </v>
      </c>
      <c r="D133" s="12" t="str">
        <f ca="1">IFERROR(__xludf.DUMMYFUNCTION("""COMPUTED_VALUE"""),"Dr. Usman Habib")</f>
        <v>Dr. Usman Habib</v>
      </c>
      <c r="E133" s="12"/>
      <c r="F133" s="12" t="str">
        <f ca="1">IFERROR(__xludf.DUMMYFUNCTION("""COMPUTED_VALUE"""),"Sherwin Desouza")</f>
        <v>Sherwin Desouza</v>
      </c>
      <c r="G133" s="12" t="str">
        <f ca="1">IFERROR(__xludf.DUMMYFUNCTION("""COMPUTED_VALUE"""),"i210329")</f>
        <v>i210329</v>
      </c>
      <c r="H133" s="12" t="str">
        <f ca="1">IFERROR(__xludf.DUMMYFUNCTION("""COMPUTED_VALUE"""),"Rafay Kiyani")</f>
        <v>Rafay Kiyani</v>
      </c>
      <c r="I133" s="12" t="str">
        <f ca="1">IFERROR(__xludf.DUMMYFUNCTION("""COMPUTED_VALUE"""),"i210317")</f>
        <v>i210317</v>
      </c>
      <c r="J133" s="12" t="str">
        <f ca="1">IFERROR(__xludf.DUMMYFUNCTION("""COMPUTED_VALUE"""),"Ghulam Mujtaba ")</f>
        <v xml:space="preserve">Ghulam Mujtaba </v>
      </c>
      <c r="K133" s="12" t="str">
        <f ca="1">IFERROR(__xludf.DUMMYFUNCTION("""COMPUTED_VALUE"""),"i210714")</f>
        <v>i210714</v>
      </c>
    </row>
    <row r="134" spans="1:11" ht="89.25">
      <c r="A134" s="12" t="str">
        <f ca="1">IFERROR(__xludf.DUMMYFUNCTION("""COMPUTED_VALUE"""),"F24-134-D-TreeVerse")</f>
        <v>F24-134-D-TreeVerse</v>
      </c>
      <c r="B134" s="13" t="str">
        <f ca="1">IFERROR(__xludf.DUMMYFUNCTION("""COMPUTED_VALUE"""),"Global Tree Mapping and Monitoring System")</f>
        <v>Global Tree Mapping and Monitoring System</v>
      </c>
      <c r="C134" s="14" t="str">
        <f ca="1">IFERROR(__xludf.DUMMYFUNCTION("""COMPUTED_VALUE"""),"The Global Tree Mapping and Monitoring System is a project aimed at
leveraging Google Maps data to identify trees and analyze forestation and
deforestation trends worldwide. The system will also classify Plant species,
providing valuable insights for new "&amp;"plantation efforts based on the
environmental habitat of regions. Additionally, it will offer quantitative data on
plant distribution across different areas. This system will significantly contribute
to environmental conservation and sustainable forestry "&amp;"practices.")</f>
        <v>The Global Tree Mapping and Monitoring System is a project aimed at
leveraging Google Maps data to identify trees and analyze forestation and
deforestation trends worldwide. The system will also classify Plant species,
providing valuable insights for new plantation efforts based on the
environmental habitat of regions. Additionally, it will offer quantitative data on
plant distribution across different areas. This system will significantly contribute
to environmental conservation and sustainable forestry practices.</v>
      </c>
      <c r="D134" s="12" t="str">
        <f ca="1">IFERROR(__xludf.DUMMYFUNCTION("""COMPUTED_VALUE"""),"Dr. Zeshan Khan")</f>
        <v>Dr. Zeshan Khan</v>
      </c>
      <c r="E134" s="12"/>
      <c r="F134" s="12" t="str">
        <f ca="1">IFERROR(__xludf.DUMMYFUNCTION("""COMPUTED_VALUE"""),"Muhammad Wissam")</f>
        <v>Muhammad Wissam</v>
      </c>
      <c r="G134" s="12" t="str">
        <f ca="1">IFERROR(__xludf.DUMMYFUNCTION("""COMPUTED_VALUE"""),"i210709")</f>
        <v>i210709</v>
      </c>
      <c r="H134" s="12" t="str">
        <f ca="1">IFERROR(__xludf.DUMMYFUNCTION("""COMPUTED_VALUE"""),"Ali Abbas")</f>
        <v>Ali Abbas</v>
      </c>
      <c r="I134" s="12" t="str">
        <f ca="1">IFERROR(__xludf.DUMMYFUNCTION("""COMPUTED_VALUE"""),"i212503")</f>
        <v>i212503</v>
      </c>
      <c r="J134" s="12" t="str">
        <f ca="1">IFERROR(__xludf.DUMMYFUNCTION("""COMPUTED_VALUE"""),"Ihtisham Ali")</f>
        <v>Ihtisham Ali</v>
      </c>
      <c r="K134" s="12" t="str">
        <f ca="1">IFERROR(__xludf.DUMMYFUNCTION("""COMPUTED_VALUE"""),"i212557")</f>
        <v>i212557</v>
      </c>
    </row>
    <row r="135" spans="1:11" ht="409.5">
      <c r="A135" s="12" t="str">
        <f ca="1">IFERROR(__xludf.DUMMYFUNCTION("""COMPUTED_VALUE"""),"F24-135-R-NewsGuardX")</f>
        <v>F24-135-R-NewsGuardX</v>
      </c>
      <c r="B135" s="13" t="str">
        <f ca="1">IFERROR(__xludf.DUMMYFUNCTION("""COMPUTED_VALUE"""),"Outcome-Oriented News Filtering and Safe Headline Generation Using Advanced NLP and LLMs")</f>
        <v>Outcome-Oriented News Filtering and Safe Headline Generation Using Advanced NLP and LLMs</v>
      </c>
      <c r="C135" s="14" t="str">
        <f ca="1">IFERROR(__xludf.DUMMYFUNCTION("""COMPUTED_VALUE"""),"Project Scope
The NewsGuardX project is designed to enhance the reliability and safety of news dissemination by filtering news that highlights situations and their potential outcomes while generating safe headlines using advanced Natural Language Process"&amp;"ing (NLP) techniques and LLMs. The system identifies and classifies news headlines based on whether they convey the relationship between situations and their potential outcomes, ensuring that only meaningful headlines are presented to users. If a headline"&amp;" lacks a clear connection between a situation and its potential outcomes, the system prompts for additional context. Furthermore, the system detects potentially harmful or dangerous language in news headlines, using intelligent processing to generate safe"&amp;"r alternatives. The ultimate goal of NewsGuardX is to maintain the integrity of news by ensuring that headlines are both accurate and safe, reducing the spread of misinformation and dangerous content.
Key Features:
1. Outcome Classification: Automatical"&amp;"ly identifies and classifies news headlines based on the relationship between situations and their potential outcomes.
2. Interactive Verification: Prompts users to provide additional context or details if a headline lacks a clear connection between a si"&amp;"tuation and its potential outcomes.
3. Dangerous Language Detection: Detects and flags potentially harmful or dangerous language in news headlines.
4. Safe Headline Generation: Generates alternative headlines that are safer and more responsible, especia"&amp;"lly when dangerous language is detected.
5. Advanced Text Analysis: Employs sophisticated text processing techniques to accurately interpret and analyze news content.
6. User-friendly Interface: Offers an intuitive and accessible interface for users to "&amp;"verify, edit, and manage headlines.
7. Ethical Content Management: Focuses on promoting ethical news reporting by reducing the spread of misinformation and harmful content.
8. Reliable Filtering: Implements consistent filtering and content generation ru"&amp;"les to ensure safety and ethical standards are met.")</f>
        <v>Project Scope
The NewsGuardX project is designed to enhance the reliability and safety of news dissemination by filtering news that highlights situations and their potential outcomes while generating safe headlines using advanced Natural Language Processing (NLP) techniques and LLMs. The system identifies and classifies news headlines based on whether they convey the relationship between situations and their potential outcomes, ensuring that only meaningful headlines are presented to users. If a headline lacks a clear connection between a situation and its potential outcomes, the system prompts for additional context. Furthermore, the system detects potentially harmful or dangerous language in news headlines, using intelligent processing to generate safer alternatives. The ultimate goal of NewsGuardX is to maintain the integrity of news by ensuring that headlines are both accurate and safe, reducing the spread of misinformation and dangerous content.
Key Features:
1. Outcome Classification: Automatically identifies and classifies news headlines based on the relationship between situations and their potential outcomes.
2. Interactive Verification: Prompts users to provide additional context or details if a headline lacks a clear connection between a situation and its potential outcomes.
3. Dangerous Language Detection: Detects and flags potentially harmful or dangerous language in news headlines.
4. Safe Headline Generation: Generates alternative headlines that are safer and more responsible, especially when dangerous language is detected.
5. Advanced Text Analysis: Employs sophisticated text processing techniques to accurately interpret and analyze news content.
6. User-friendly Interface: Offers an intuitive and accessible interface for users to verify, edit, and manage headlines.
7. Ethical Content Management: Focuses on promoting ethical news reporting by reducing the spread of misinformation and harmful content.
8. Reliable Filtering: Implements consistent filtering and content generation rules to ensure safety and ethical standards are met.</v>
      </c>
      <c r="D135" s="12" t="str">
        <f ca="1">IFERROR(__xludf.DUMMYFUNCTION("""COMPUTED_VALUE"""),"Dr. Ahmad Din")</f>
        <v>Dr. Ahmad Din</v>
      </c>
      <c r="E135" s="12"/>
      <c r="F135" s="12" t="str">
        <f ca="1">IFERROR(__xludf.DUMMYFUNCTION("""COMPUTED_VALUE"""),"Abdul Haque")</f>
        <v>Abdul Haque</v>
      </c>
      <c r="G135" s="12" t="str">
        <f ca="1">IFERROR(__xludf.DUMMYFUNCTION("""COMPUTED_VALUE"""),"i211769")</f>
        <v>i211769</v>
      </c>
      <c r="H135" s="12" t="str">
        <f ca="1">IFERROR(__xludf.DUMMYFUNCTION("""COMPUTED_VALUE"""),"Umm e Hani")</f>
        <v>Umm e Hani</v>
      </c>
      <c r="I135" s="12" t="str">
        <f ca="1">IFERROR(__xludf.DUMMYFUNCTION("""COMPUTED_VALUE"""),"i211715")</f>
        <v>i211715</v>
      </c>
      <c r="J135" s="12"/>
      <c r="K135" s="12"/>
    </row>
    <row r="136" spans="1:11" ht="409.5">
      <c r="A136" s="12" t="str">
        <f ca="1">IFERROR(__xludf.DUMMYFUNCTION("""COMPUTED_VALUE"""),"F24-136-D-Amauton")</f>
        <v>F24-136-D-Amauton</v>
      </c>
      <c r="B136" s="13" t="str">
        <f ca="1">IFERROR(__xludf.DUMMYFUNCTION("""COMPUTED_VALUE"""),"Streamlining Amazon Seller Operations Through Advanced Automation and AI")</f>
        <v>Streamlining Amazon Seller Operations Through Advanced Automation and AI</v>
      </c>
      <c r="C136" s="14" t="str">
        <f ca="1">IFERROR(__xludf.DUMMYFUNCTION("""COMPUTED_VALUE"""),"Project Description:
The project aims to develop ""Amauton"" an AI-powered automation platform designed to streamline the management of Amazon Seller Accounts. The scope of this project encompasses automating key processes such as product hunting, listing"&amp;", pricing, inventory management, customer service, and order processing. Amauton will utilize advanced algorithms and machine learning techniques to optimize these tasks, enabling sellers to operate more efficiently and focus on scaling their businesses. "&amp;"The platform will also integrate seamlessly with Amazon's API, ensuring compliance with Amazon's policies while providing a user-friendly interface for sellers to monitor and control their operations effortlessly.
Key Features:
1. AI-Driven Product Hunti"&amp;"ng: Automatically identify high-potential products based on market trends, competition analysis, and profitability.
2. Bulk Product Listing: Simplify the listing process by allowing users to upload multiple products simultaneously with customizable templ"&amp;"ates.
3. Dynamic Pricing Engine: Automatically adjust prices based on competitor pricing, demand fluctuations, and inventory levels to maximize profitability.
4. Inventory Management System: Real-time tracking of stock levels with automated reorder aler"&amp;"ts and predictive analytics for restocking.
5. Automated Customer Service: AI-powered chatbots to handle customer inquiries, complaints, and returns efficiently.
6. Order Processing Automation: Seamless integration with Amazon FBA and third-party logist"&amp;"ics providers to automate the order fulfillment process.
7. Sales Analytics Dashboard: Visualize sales data, market trends, and product performance with intuitive charts and graphs.
8. Price Alert Notifications: Real-time alerts for price changes, compe"&amp;"titor actions, and recommendations for pricing strategies.
9. Compliance Monitoring: Ensure adherence to Amazon's policies with automated checks and alerts for potential violations.")</f>
        <v>Project Description:
The project aims to develop "Amauton" an AI-powered automation platform designed to streamline the management of Amazon Seller Accounts. The scope of this project encompasses automating key processes such as product hunting, listing, pricing, inventory management, customer service, and order processing. Amauton will utilize advanced algorithms and machine learning techniques to optimize these tasks, enabling sellers to operate more efficiently and focus on scaling their businesses. The platform will also integrate seamlessly with Amazon's API, ensuring compliance with Amazon's policies while providing a user-friendly interface for sellers to monitor and control their operations effortlessly.
Key Features:
1. AI-Driven Product Hunting: Automatically identify high-potential products based on market trends, competition analysis, and profitability.
2. Bulk Product Listing: Simplify the listing process by allowing users to upload multiple products simultaneously with customizable templates.
3. Dynamic Pricing Engine: Automatically adjust prices based on competitor pricing, demand fluctuations, and inventory levels to maximize profitability.
4. Inventory Management System: Real-time tracking of stock levels with automated reorder alerts and predictive analytics for restocking.
5. Automated Customer Service: AI-powered chatbots to handle customer inquiries, complaints, and returns efficiently.
6. Order Processing Automation: Seamless integration with Amazon FBA and third-party logistics providers to automate the order fulfillment process.
7. Sales Analytics Dashboard: Visualize sales data, market trends, and product performance with intuitive charts and graphs.
8. Price Alert Notifications: Real-time alerts for price changes, competitor actions, and recommendations for pricing strategies.
9. Compliance Monitoring: Ensure adherence to Amazon's policies with automated checks and alerts for potential violations.</v>
      </c>
      <c r="D136" s="12" t="str">
        <f ca="1">IFERROR(__xludf.DUMMYFUNCTION("""COMPUTED_VALUE"""),"Mr. Hassan Raza")</f>
        <v>Mr. Hassan Raza</v>
      </c>
      <c r="E136" s="12" t="str">
        <f ca="1">IFERROR(__xludf.DUMMYFUNCTION("""COMPUTED_VALUE"""),"Mr. Ahmad Raza")</f>
        <v>Mr. Ahmad Raza</v>
      </c>
      <c r="F136" s="12" t="str">
        <f ca="1">IFERROR(__xludf.DUMMYFUNCTION("""COMPUTED_VALUE"""),"Ali Khizar")</f>
        <v>Ali Khizar</v>
      </c>
      <c r="G136" s="12" t="str">
        <f ca="1">IFERROR(__xludf.DUMMYFUNCTION("""COMPUTED_VALUE"""),"i210514")</f>
        <v>i210514</v>
      </c>
      <c r="H136" s="12" t="str">
        <f ca="1">IFERROR(__xludf.DUMMYFUNCTION("""COMPUTED_VALUE"""),"Talha Shahzad Butt")</f>
        <v>Talha Shahzad Butt</v>
      </c>
      <c r="I136" s="12" t="str">
        <f ca="1">IFERROR(__xludf.DUMMYFUNCTION("""COMPUTED_VALUE"""),"i210540")</f>
        <v>i210540</v>
      </c>
      <c r="J136" s="12" t="str">
        <f ca="1">IFERROR(__xludf.DUMMYFUNCTION("""COMPUTED_VALUE"""),"Irtiqa Haider")</f>
        <v>Irtiqa Haider</v>
      </c>
      <c r="K136" s="12" t="str">
        <f ca="1">IFERROR(__xludf.DUMMYFUNCTION("""COMPUTED_VALUE"""),"i210733")</f>
        <v>i210733</v>
      </c>
    </row>
    <row r="137" spans="1:11" ht="204">
      <c r="A137" s="12" t="str">
        <f ca="1">IFERROR(__xludf.DUMMYFUNCTION("""COMPUTED_VALUE"""),"F24-137-D-VIBE")</f>
        <v>F24-137-D-VIBE</v>
      </c>
      <c r="B137" s="13" t="str">
        <f ca="1">IFERROR(__xludf.DUMMYFUNCTION("""COMPUTED_VALUE"""),"Virtual Intelligent Buddy for Everyday Life")</f>
        <v>Virtual Intelligent Buddy for Everyday Life</v>
      </c>
      <c r="C137" s="14" t="str">
        <f ca="1">IFERROR(__xludf.DUMMYFUNCTION("""COMPUTED_VALUE"""),"An indigenous (multilingual) voice-activated AI assistant application designed for students/academic institutions to improve student productivity and improve the academic experience. It allows user to get personalized support for all major academic needs."&amp;" It can maintain user profile, automate common tasks, and provide curated opportunities specific to user profile. Additionally, it handles pdf file interactions and enables at demand content processing.
Indigenous Solution (Urdu)
Multilingual 
Personalis"&amp;"ed AI productivity assistant
Student/Academic Productivity 
Personalised Opportunities recommendation
Mental Health 
Time management 
Study Scheduling and Reminder
Pdf parsing (notes generator)")</f>
        <v>An indigenous (multilingual) voice-activated AI assistant application designed for students/academic institutions to improve student productivity and improve the academic experience. It allows user to get personalized support for all major academic needs. It can maintain user profile, automate common tasks, and provide curated opportunities specific to user profile. Additionally, it handles pdf file interactions and enables at demand content processing.
Indigenous Solution (Urdu)
Multilingual 
Personalised AI productivity assistant
Student/Academic Productivity 
Personalised Opportunities recommendation
Mental Health 
Time management 
Study Scheduling and Reminder
Pdf parsing (notes generator)</v>
      </c>
      <c r="D137" s="12" t="str">
        <f ca="1">IFERROR(__xludf.DUMMYFUNCTION("""COMPUTED_VALUE"""),"Mr. Pir Sami Ullah Shah")</f>
        <v>Mr. Pir Sami Ullah Shah</v>
      </c>
      <c r="E137" s="12"/>
      <c r="F137" s="12" t="str">
        <f ca="1">IFERROR(__xludf.DUMMYFUNCTION("""COMPUTED_VALUE"""),"Ahmed hassan ")</f>
        <v xml:space="preserve">Ahmed hassan </v>
      </c>
      <c r="G137" s="12" t="str">
        <f ca="1">IFERROR(__xludf.DUMMYFUNCTION("""COMPUTED_VALUE"""),"i211758")</f>
        <v>i211758</v>
      </c>
      <c r="H137" s="12" t="str">
        <f ca="1">IFERROR(__xludf.DUMMYFUNCTION("""COMPUTED_VALUE"""),"Eeman Ijaz ")</f>
        <v xml:space="preserve">Eeman Ijaz </v>
      </c>
      <c r="I137" s="12" t="str">
        <f ca="1">IFERROR(__xludf.DUMMYFUNCTION("""COMPUTED_VALUE"""),"i211381")</f>
        <v>i211381</v>
      </c>
      <c r="J137" s="12"/>
      <c r="K137" s="12"/>
    </row>
    <row r="138" spans="1:11" ht="191.25">
      <c r="A138" s="12" t="str">
        <f ca="1">IFERROR(__xludf.DUMMYFUNCTION("""COMPUTED_VALUE"""),"F24-138-R-DiabeticRetinopathyDetect")</f>
        <v>F24-138-R-DiabeticRetinopathyDetect</v>
      </c>
      <c r="B138" s="13" t="str">
        <f ca="1">IFERROR(__xludf.DUMMYFUNCTION("""COMPUTED_VALUE"""),"Detection of Diabetic Retinopathy Using Image Processing And Deep Learning")</f>
        <v>Detection of Diabetic Retinopathy Using Image Processing And Deep Learning</v>
      </c>
      <c r="C138" s="14" t="str">
        <f ca="1">IFERROR(__xludf.DUMMYFUNCTION("""COMPUTED_VALUE"""),"Scope:
This project focuses on developing an application for Diabetic Retinopathy Detection using image processing and deep learning techniques. The aim is to create a robust, accurate, and scalable model capable of analyzing fundus images to identify dia"&amp;"betic retinopathy and classify its severity.
Key Features:
1.Fundus Image Input
2.Image Preprocessing
3.Feature Extraction (Microaneurysms, Hemorrhages, Exudates)
4.Retinal Structure Segmentation
5.Automated Lesion Detection
6.Deep Learning Architecture
"&amp;"7.Severity Classification (No DR, Mild, Moderate, Severe, Proliferative DR)
8.Model Evaluation Metrics (Accuracy, Sensitivity, Specificity)")</f>
        <v>Scope:
This project focuses on developing an application for Diabetic Retinopathy Detection using image processing and deep learning techniques. The aim is to create a robust, accurate, and scalable model capable of analyzing fundus images to identify diabetic retinopathy and classify its severity.
Key Features:
1.Fundus Image Input
2.Image Preprocessing
3.Feature Extraction (Microaneurysms, Hemorrhages, Exudates)
4.Retinal Structure Segmentation
5.Automated Lesion Detection
6.Deep Learning Architecture
7.Severity Classification (No DR, Mild, Moderate, Severe, Proliferative DR)
8.Model Evaluation Metrics (Accuracy, Sensitivity, Specificity)</v>
      </c>
      <c r="D138" s="12" t="str">
        <f ca="1">IFERROR(__xludf.DUMMYFUNCTION("""COMPUTED_VALUE"""),"Dr. Labiba Fahad")</f>
        <v>Dr. Labiba Fahad</v>
      </c>
      <c r="E138" s="12"/>
      <c r="F138" s="12" t="str">
        <f ca="1">IFERROR(__xludf.DUMMYFUNCTION("""COMPUTED_VALUE"""),"Muhammad Ibrahim")</f>
        <v>Muhammad Ibrahim</v>
      </c>
      <c r="G138" s="12" t="str">
        <f ca="1">IFERROR(__xludf.DUMMYFUNCTION("""COMPUTED_VALUE"""),"i210797")</f>
        <v>i210797</v>
      </c>
      <c r="H138" s="12" t="str">
        <f ca="1">IFERROR(__xludf.DUMMYFUNCTION("""COMPUTED_VALUE"""),"Faisal")</f>
        <v>Faisal</v>
      </c>
      <c r="I138" s="12" t="str">
        <f ca="1">IFERROR(__xludf.DUMMYFUNCTION("""COMPUTED_VALUE"""),"i212578")</f>
        <v>i212578</v>
      </c>
      <c r="J138" s="12" t="str">
        <f ca="1">IFERROR(__xludf.DUMMYFUNCTION("""COMPUTED_VALUE"""),"Sachal Mustafa")</f>
        <v>Sachal Mustafa</v>
      </c>
      <c r="K138" s="12" t="str">
        <f ca="1">IFERROR(__xludf.DUMMYFUNCTION("""COMPUTED_VALUE"""),"i210417")</f>
        <v>i210417</v>
      </c>
    </row>
    <row r="139" spans="1:11" ht="242.25">
      <c r="A139" s="12" t="str">
        <f ca="1">IFERROR(__xludf.DUMMYFUNCTION("""COMPUTED_VALUE"""),"F24-139-D-Archeon")</f>
        <v>F24-139-D-Archeon</v>
      </c>
      <c r="B139" s="13" t="str">
        <f ca="1">IFERROR(__xludf.DUMMYFUNCTION("""COMPUTED_VALUE"""),"Archeon:High Fidelity 3D Neural Environment Reconstruction")</f>
        <v>Archeon:High Fidelity 3D Neural Environment Reconstruction</v>
      </c>
      <c r="C139" s="14" t="str">
        <f ca="1">IFERROR(__xludf.DUMMYFUNCTION("""COMPUTED_VALUE"""),"Archeon is a framework for high fidelity 3D environment reconstruction using scans from mobile devices. This application will enable users to create digital models of interior-space and object-centric real-world scenes with highly detailed 3D geometry. 
"&amp;"Users will also be able to view and experience these environments through immersive AR/VR integrations. This application will primarily be focused on generating interior environments of buildings.
Key features:
1. Scan-to-3D Environment Reconstruction: C"&amp;"onvert scans into detailed 3D interior environments.
2. Scan-to-3D Object Generation: Convert object-centric scans into exportable 3D models. 
3. Generative AI Enhancement: Use Generative AI to improve Geometry and Texture Detail.
4. Object and Scene Segm"&amp;"entation: Segment specific Objects within the Environment for Generative AI Enhancement. 
5. 3D-Model Export and Storage .
6. Augmented Reality (AR) Visualization.
7. Virtual Reality (VR) Experience.
8. Integrated 360° Model View.")</f>
        <v>Archeon is a framework for high fidelity 3D environment reconstruction using scans from mobile devices. This application will enable users to create digital models of interior-space and object-centric real-world scenes with highly detailed 3D geometry. 
Users will also be able to view and experience these environments through immersive AR/VR integrations. This application will primarily be focused on generating interior environments of buildings.
Key features:
1. Scan-to-3D Environment Reconstruction: Convert scans into detailed 3D interior environments.
2. Scan-to-3D Object Generation: Convert object-centric scans into exportable 3D models. 
3. Generative AI Enhancement: Use Generative AI to improve Geometry and Texture Detail.
4. Object and Scene Segmentation: Segment specific Objects within the Environment for Generative AI Enhancement. 
5. 3D-Model Export and Storage .
6. Augmented Reality (AR) Visualization.
7. Virtual Reality (VR) Experience.
8. Integrated 360° Model View.</v>
      </c>
      <c r="D139" s="12" t="str">
        <f ca="1">IFERROR(__xludf.DUMMYFUNCTION("""COMPUTED_VALUE"""),"Dr. Adnan Tariq")</f>
        <v>Dr. Adnan Tariq</v>
      </c>
      <c r="E139" s="12"/>
      <c r="F139" s="12" t="str">
        <f ca="1">IFERROR(__xludf.DUMMYFUNCTION("""COMPUTED_VALUE"""),"Ahmad Farhan")</f>
        <v>Ahmad Farhan</v>
      </c>
      <c r="G139" s="12" t="str">
        <f ca="1">IFERROR(__xludf.DUMMYFUNCTION("""COMPUTED_VALUE"""),"i211366")</f>
        <v>i211366</v>
      </c>
      <c r="H139" s="12" t="str">
        <f ca="1">IFERROR(__xludf.DUMMYFUNCTION("""COMPUTED_VALUE"""),"Hamza Aamer")</f>
        <v>Hamza Aamer</v>
      </c>
      <c r="I139" s="12" t="str">
        <f ca="1">IFERROR(__xludf.DUMMYFUNCTION("""COMPUTED_VALUE"""),"i210415")</f>
        <v>i210415</v>
      </c>
      <c r="J139" s="12" t="str">
        <f ca="1">IFERROR(__xludf.DUMMYFUNCTION("""COMPUTED_VALUE"""),"Hassan Naseer")</f>
        <v>Hassan Naseer</v>
      </c>
      <c r="K139" s="12" t="str">
        <f ca="1">IFERROR(__xludf.DUMMYFUNCTION("""COMPUTED_VALUE"""),"i210663")</f>
        <v>i210663</v>
      </c>
    </row>
    <row r="140" spans="1:11" ht="229.5">
      <c r="A140" s="12" t="str">
        <f ca="1">IFERROR(__xludf.DUMMYFUNCTION("""COMPUTED_VALUE"""),"F24-140-D-GenResume")</f>
        <v>F24-140-D-GenResume</v>
      </c>
      <c r="B140" s="13" t="str">
        <f ca="1">IFERROR(__xludf.DUMMYFUNCTION("""COMPUTED_VALUE"""),"AI-Driven Resume Generation and Job Matching Platform")</f>
        <v>AI-Driven Resume Generation and Job Matching Platform</v>
      </c>
      <c r="C140" s="14" t="str">
        <f ca="1">IFERROR(__xludf.DUMMYFUNCTION("""COMPUTED_VALUE"""),"GenResume is a web-based platform designed to help users build, manage, and optimize their professional profiles, enabling them to create tailored resumes, CVs, and cover letters that meet specific job requirements and are compliant with Applicant Trackin"&amp;"g Systems (ATS). The platform integrates AI-driven job recommendations, skill gap analysis, and profile optimization tools, allowing users to enhance their chances of securing desired roles. Additionally, GenResume offers career planning insights by analy"&amp;"zing job descriptions and providing guidance on necessary skills and qualifications, making it a comprehensive solution for career development and job search management. Some top features are given
Comprehensive Profile Management
Automated Resume Genera"&amp;"tion
AI-Powered Job Recommendations
Job Description Analysis
Skill Matching and Gap Analysis
Profile Data Import
Customizable Resume Templates
Career Planning Tools")</f>
        <v>GenResume is a web-based platform designed to help users build, manage, and optimize their professional profiles, enabling them to create tailored resumes, CVs, and cover letters that meet specific job requirements and are compliant with Applicant Tracking Systems (ATS). The platform integrates AI-driven job recommendations, skill gap analysis, and profile optimization tools, allowing users to enhance their chances of securing desired roles. Additionally, GenResume offers career planning insights by analyzing job descriptions and providing guidance on necessary skills and qualifications, making it a comprehensive solution for career development and job search management. Some top features are given
Comprehensive Profile Management
Automated Resume Generation
AI-Powered Job Recommendations
Job Description Analysis
Skill Matching and Gap Analysis
Profile Data Import
Customizable Resume Templates
Career Planning Tools</v>
      </c>
      <c r="D140" s="12" t="str">
        <f ca="1">IFERROR(__xludf.DUMMYFUNCTION("""COMPUTED_VALUE"""),"Dr. Danish Shehzad")</f>
        <v>Dr. Danish Shehzad</v>
      </c>
      <c r="E140" s="12" t="str">
        <f ca="1">IFERROR(__xludf.DUMMYFUNCTION("""COMPUTED_VALUE"""),"Mr. Aqib Rehman")</f>
        <v>Mr. Aqib Rehman</v>
      </c>
      <c r="F140" s="12" t="str">
        <f ca="1">IFERROR(__xludf.DUMMYFUNCTION("""COMPUTED_VALUE"""),"Umar Asghar")</f>
        <v>Umar Asghar</v>
      </c>
      <c r="G140" s="12" t="str">
        <f ca="1">IFERROR(__xludf.DUMMYFUNCTION("""COMPUTED_VALUE"""),"i210409")</f>
        <v>i210409</v>
      </c>
      <c r="H140" s="12" t="str">
        <f ca="1">IFERROR(__xludf.DUMMYFUNCTION("""COMPUTED_VALUE"""),"Samama Taimoor")</f>
        <v>Samama Taimoor</v>
      </c>
      <c r="I140" s="12" t="str">
        <f ca="1">IFERROR(__xludf.DUMMYFUNCTION("""COMPUTED_VALUE"""),"i210388")</f>
        <v>i210388</v>
      </c>
      <c r="J140" s="12" t="str">
        <f ca="1">IFERROR(__xludf.DUMMYFUNCTION("""COMPUTED_VALUE"""),"Mir Mujtaba Habib")</f>
        <v>Mir Mujtaba Habib</v>
      </c>
      <c r="K140" s="12" t="str">
        <f ca="1">IFERROR(__xludf.DUMMYFUNCTION("""COMPUTED_VALUE"""),"i210661")</f>
        <v>i210661</v>
      </c>
    </row>
    <row r="141" spans="1:11" ht="229.5">
      <c r="A141" s="12" t="str">
        <f ca="1">IFERROR(__xludf.DUMMYFUNCTION("""COMPUTED_VALUE"""),"F24-141-D-DermaScan")</f>
        <v>F24-141-D-DermaScan</v>
      </c>
      <c r="B141" s="13" t="str">
        <f ca="1">IFERROR(__xludf.DUMMYFUNCTION("""COMPUTED_VALUE"""),"DermaScan: A Mobile Application for Real-Time Skin Disease Detection")</f>
        <v>DermaScan: A Mobile Application for Real-Time Skin Disease Detection</v>
      </c>
      <c r="C141" s="14" t="str">
        <f ca="1">IFERROR(__xludf.DUMMYFUNCTION("""COMPUTED_VALUE"""),"This project focuses on developing a mobile application for the real-time detection and monitoring of skin diseases. The app provides users with an accessible, efficient, and accurate way to identify skin conditions without needing immediate in-person con"&amp;"sultations with dermatologists. An advanced skincare recommendation system that utilizes real-time facial imaging to analyze a user’s skin condition ensuring optimal skin health and user satisfaction.
Key Features:
Real-Time Skin Disease Detection
Diseas"&amp;"e Classification and Information
User-Friendly Interface
Monitoring and Progress Tracking
Multi-Platform Support
Offline Functionality
Secure Data Handling
Skincare Routine Personalization
Integration with External Devices
Continuous Model Updates and Lea"&amp;"rning")</f>
        <v>This project focuses on developing a mobile application for the real-time detection and monitoring of skin diseases. The app provides users with an accessible, efficient, and accurate way to identify skin conditions without needing immediate in-person consultations with dermatologists. An advanced skincare recommendation system that utilizes real-time facial imaging to analyze a user’s skin condition ensuring optimal skin health and user satisfaction.
Key Features:
Real-Time Skin Disease Detection
Disease Classification and Information
User-Friendly Interface
Monitoring and Progress Tracking
Multi-Platform Support
Offline Functionality
Secure Data Handling
Skincare Routine Personalization
Integration with External Devices
Continuous Model Updates and Learning</v>
      </c>
      <c r="D141" s="12" t="str">
        <f ca="1">IFERROR(__xludf.DUMMYFUNCTION("""COMPUTED_VALUE"""),"Dr. Zeshan Khan")</f>
        <v>Dr. Zeshan Khan</v>
      </c>
      <c r="E141" s="12"/>
      <c r="F141" s="12" t="str">
        <f ca="1">IFERROR(__xludf.DUMMYFUNCTION("""COMPUTED_VALUE"""),"Muhammad Zian Ahmed")</f>
        <v>Muhammad Zian Ahmed</v>
      </c>
      <c r="G141" s="12" t="str">
        <f ca="1">IFERROR(__xludf.DUMMYFUNCTION("""COMPUTED_VALUE"""),"i210503")</f>
        <v>i210503</v>
      </c>
      <c r="H141" s="12" t="str">
        <f ca="1">IFERROR(__xludf.DUMMYFUNCTION("""COMPUTED_VALUE"""),"Muhammad Sheraz Sadiq")</f>
        <v>Muhammad Sheraz Sadiq</v>
      </c>
      <c r="I141" s="12" t="str">
        <f ca="1">IFERROR(__xludf.DUMMYFUNCTION("""COMPUTED_VALUE"""),"i210523")</f>
        <v>i210523</v>
      </c>
      <c r="J141" s="12" t="str">
        <f ca="1">IFERROR(__xludf.DUMMYFUNCTION("""COMPUTED_VALUE"""),"Huzaifa Tahir Rathore")</f>
        <v>Huzaifa Tahir Rathore</v>
      </c>
      <c r="K141" s="12" t="str">
        <f ca="1">IFERROR(__xludf.DUMMYFUNCTION("""COMPUTED_VALUE"""),"i210586")</f>
        <v>i210586</v>
      </c>
    </row>
    <row r="142" spans="1:11" ht="409.5">
      <c r="A142" s="12" t="str">
        <f ca="1">IFERROR(__xludf.DUMMYFUNCTION("""COMPUTED_VALUE"""),"F24-142-R-GasFreeTransaction")</f>
        <v>F24-142-R-GasFreeTransaction</v>
      </c>
      <c r="B142" s="13" t="str">
        <f ca="1">IFERROR(__xludf.DUMMYFUNCTION("""COMPUTED_VALUE"""),"Gas free transactions in public blockchain")</f>
        <v>Gas free transactions in public blockchain</v>
      </c>
      <c r="C142" s="14" t="str">
        <f ca="1">IFERROR(__xludf.DUMMYFUNCTION("""COMPUTED_VALUE"""),"Our blockchain-based platform aims to revolutionize transaction accessibility by eliminating gas fees, making decentralized finance more inclusive. The project introduces a unique mechanism where users can earn tokens by participating in transaction inqui"&amp;"ries, fostering a community-driven validation process. These earned tokens can then be used as gas fees for their own transactions, creating a self-sustaining ecosystem. By enabling gas-free transactions, we aim to lower the entry barrier for blockchain a"&amp;"doption and promote active user participation in maintaining the network's security and integrity.
Key Features:
Gas-Free Transactions: Users can execute transactions without paying traditional gas fees by utilizing earned tokens.
Token Earning Mechani"&amp;"sm: Users earn tokens by validating and inquiring into other users' transactions, encouraging active participation.
Decentralized Validation: A community-driven approach to transaction validation ensures transparency and security.
User-Friendly Interfac"&amp;"e: An intuitive platform design that simplifies blockchain transactions, even for beginners.
Smart Contract Integration: Seamless integration with smart contracts to automate transaction processes and token distribution.
Incentive System: A well-structu"&amp;"red reward system that motivates users to actively participate in transaction inquiries.
Secure Wallet Integration: Users can securely store, manage, and utilize their earned tokens within integrated wallets.
Scalability: The platform is designed to han"&amp;"dle a growing number of users and transactions without compromising performance.
Multi-Chain Support: Compatibility with multiple blockchain networks, allowing users to operate across different ecosystems.
Penalty: If the user do a wrong transaction inq"&amp;"uiry than he/she has to face the penalty for it.")</f>
        <v>Our blockchain-based platform aims to revolutionize transaction accessibility by eliminating gas fees, making decentralized finance more inclusive. The project introduces a unique mechanism where users can earn tokens by participating in transaction inquiries, fostering a community-driven validation process. These earned tokens can then be used as gas fees for their own transactions, creating a self-sustaining ecosystem. By enabling gas-free transactions, we aim to lower the entry barrier for blockchain adoption and promote active user participation in maintaining the network's security and integrity.
Key Features:
Gas-Free Transactions: Users can execute transactions without paying traditional gas fees by utilizing earned tokens.
Token Earning Mechanism: Users earn tokens by validating and inquiring into other users' transactions, encouraging active participation.
Decentralized Validation: A community-driven approach to transaction validation ensures transparency and security.
User-Friendly Interface: An intuitive platform design that simplifies blockchain transactions, even for beginners.
Smart Contract Integration: Seamless integration with smart contracts to automate transaction processes and token distribution.
Incentive System: A well-structured reward system that motivates users to actively participate in transaction inquiries.
Secure Wallet Integration: Users can securely store, manage, and utilize their earned tokens within integrated wallets.
Scalability: The platform is designed to handle a growing number of users and transactions without compromising performance.
Multi-Chain Support: Compatibility with multiple blockchain networks, allowing users to operate across different ecosystems.
Penalty: If the user do a wrong transaction inquiry than he/she has to face the penalty for it.</v>
      </c>
      <c r="D142" s="12" t="str">
        <f ca="1">IFERROR(__xludf.DUMMYFUNCTION("""COMPUTED_VALUE"""),"Dr. Syed Qaiser Ali Shah")</f>
        <v>Dr. Syed Qaiser Ali Shah</v>
      </c>
      <c r="E142" s="12"/>
      <c r="F142" s="12" t="str">
        <f ca="1">IFERROR(__xludf.DUMMYFUNCTION("""COMPUTED_VALUE"""),"Muhammad Saad")</f>
        <v>Muhammad Saad</v>
      </c>
      <c r="G142" s="12" t="str">
        <f ca="1">IFERROR(__xludf.DUMMYFUNCTION("""COMPUTED_VALUE"""),"i202610")</f>
        <v>i202610</v>
      </c>
      <c r="H142" s="12" t="str">
        <f ca="1">IFERROR(__xludf.DUMMYFUNCTION("""COMPUTED_VALUE"""),"Muhammad Ahsan")</f>
        <v>Muhammad Ahsan</v>
      </c>
      <c r="I142" s="12" t="str">
        <f ca="1">IFERROR(__xludf.DUMMYFUNCTION("""COMPUTED_VALUE"""),"i210786")</f>
        <v>i210786</v>
      </c>
      <c r="J142" s="12" t="str">
        <f ca="1">IFERROR(__xludf.DUMMYFUNCTION("""COMPUTED_VALUE"""),"Ali Hassan")</f>
        <v>Ali Hassan</v>
      </c>
      <c r="K142" s="12" t="str">
        <f ca="1">IFERROR(__xludf.DUMMYFUNCTION("""COMPUTED_VALUE"""),"i210737")</f>
        <v>i210737</v>
      </c>
    </row>
    <row r="143" spans="1:11" ht="114.75">
      <c r="A143" s="12" t="str">
        <f ca="1">IFERROR(__xludf.DUMMYFUNCTION("""COMPUTED_VALUE"""),"F24-143-D-HealthBridge")</f>
        <v>F24-143-D-HealthBridge</v>
      </c>
      <c r="B143" s="13" t="str">
        <f ca="1">IFERROR(__xludf.DUMMYFUNCTION("""COMPUTED_VALUE"""),"HealthBridge")</f>
        <v>HealthBridge</v>
      </c>
      <c r="C143" s="14" t="str">
        <f ca="1">IFERROR(__xludf.DUMMYFUNCTION("""COMPUTED_VALUE"""),"HealthBridge provides a unified platform where users can book appointments with doctors. HealthBridge not only allows users to book appointments with doctors nationwide, whether for physical visits or online consultations, but it also integrates AI powere"&amp;"d diagnostics for liver-related medical scans (MRIs, CT scans, and X-rays). This unified platform ensures that users have a seamless experience, from scheduling appointments to receiving comprehensive diagnostic reports and treatment recommendations, all "&amp;"while maintaining the highest standards of data security and accuracy. HealthBridge simplifies the patient journey by consolidating multiple healthcare services into one accessible platform, streamlining the process for both patients and healthcare provid"&amp;"ers.")</f>
        <v>HealthBridge provides a unified platform where users can book appointments with doctors. HealthBridge not only allows users to book appointments with doctors nationwide, whether for physical visits or online consultations, but it also integrates AI powered diagnostics for liver-related medical scans (MRIs, CT scans, and X-rays). This unified platform ensures that users have a seamless experience, from scheduling appointments to receiving comprehensive diagnostic reports and treatment recommendations, all while maintaining the highest standards of data security and accuracy. HealthBridge simplifies the patient journey by consolidating multiple healthcare services into one accessible platform, streamlining the process for both patients and healthcare providers.</v>
      </c>
      <c r="D143" s="12" t="str">
        <f ca="1">IFERROR(__xludf.DUMMYFUNCTION("""COMPUTED_VALUE"""),"Mr. M. Aadil Ur Rehman")</f>
        <v>Mr. M. Aadil Ur Rehman</v>
      </c>
      <c r="E143" s="12" t="str">
        <f ca="1">IFERROR(__xludf.DUMMYFUNCTION("""COMPUTED_VALUE"""),"Mr. Zeshan Khan")</f>
        <v>Mr. Zeshan Khan</v>
      </c>
      <c r="F143" s="12" t="str">
        <f ca="1">IFERROR(__xludf.DUMMYFUNCTION("""COMPUTED_VALUE"""),"Muneel Haider")</f>
        <v>Muneel Haider</v>
      </c>
      <c r="G143" s="12" t="str">
        <f ca="1">IFERROR(__xludf.DUMMYFUNCTION("""COMPUTED_VALUE"""),"i210640")</f>
        <v>i210640</v>
      </c>
      <c r="H143" s="12" t="str">
        <f ca="1">IFERROR(__xludf.DUMMYFUNCTION("""COMPUTED_VALUE"""),"Muhammad Abdullah")</f>
        <v>Muhammad Abdullah</v>
      </c>
      <c r="I143" s="12" t="str">
        <f ca="1">IFERROR(__xludf.DUMMYFUNCTION("""COMPUTED_VALUE"""),"i210643")</f>
        <v>i210643</v>
      </c>
      <c r="J143" s="12" t="str">
        <f ca="1">IFERROR(__xludf.DUMMYFUNCTION("""COMPUTED_VALUE"""),"Abdullah Zahoor")</f>
        <v>Abdullah Zahoor</v>
      </c>
      <c r="K143" s="12" t="str">
        <f ca="1">IFERROR(__xludf.DUMMYFUNCTION("""COMPUTED_VALUE"""),"i212481")</f>
        <v>i212481</v>
      </c>
    </row>
    <row r="144" spans="1:11" ht="280.5">
      <c r="A144" s="12" t="str">
        <f ca="1">IFERROR(__xludf.DUMMYFUNCTION("""COMPUTED_VALUE"""),"F24-144-D-Personix")</f>
        <v>F24-144-D-Personix</v>
      </c>
      <c r="B144" s="13" t="str">
        <f ca="1">IFERROR(__xludf.DUMMYFUNCTION("""COMPUTED_VALUE""")," Personalized 3D Avatars for Digital Experiences")</f>
        <v xml:space="preserve"> Personalized 3D Avatars for Digital Experiences</v>
      </c>
      <c r="C144" s="14" t="str">
        <f ca="1">IFERROR(__xludf.DUMMYFUNCTION("""COMPUTED_VALUE"""),"Project Scope
The project aims to develop a comprehensive avatar creation, customization, and sharing platform that allows users to create realistic 3D models of themselves using pictures, customize their facial features, and animate these avatars with na"&amp;"tural facial movements and expressions. The platform will integrate text-to-speech capabilities, enabling the avatars to speak and display appropriate emotional expressions based on sentiment analysis of the text. Users will be able to create stickers, GI"&amp;"Fs, and other media assets using their avatars, which they can then share on various social media platforms. The platform will also support the creation of multiple avatars, allowing users to switch between them, as well as the ability to use the avatars "&amp;"as face filters for video recording. Additionally, the platform will implement a system for posing and animating the avatars and provide cloud storage to save and sync user avatars across devices.
Key Features:
Create 3D models of users using facial pict"&amp;"ures
Enable 3D model face customization and facial feature adjustments
Implement live facial movement and expressions for avatars
Integrate text-to-speech with sentiment analysis for expressive avatar voices
Create stickers and GIFs using avatars
Allow us"&amp;"ers to create and switch between multiple avatars
Integrate avatars as face filters for video recording
Provide cloud storage to save and sync user avatars across devices")</f>
        <v>Project Scope
The project aims to develop a comprehensive avatar creation, customization, and sharing platform that allows users to create realistic 3D models of themselves using pictures, customize their facial features, and animate these avatars with natural facial movements and expressions. The platform will integrate text-to-speech capabilities, enabling the avatars to speak and display appropriate emotional expressions based on sentiment analysis of the text. Users will be able to create stickers, GIFs, and other media assets using their avatars, which they can then share on various social media platforms. The platform will also support the creation of multiple avatars, allowing users to switch between them, as well as the ability to use the avatars as face filters for video recording. Additionally, the platform will implement a system for posing and animating the avatars and provide cloud storage to save and sync user avatars across devices.
Key Features:
Create 3D models of users using facial pictures
Enable 3D model face customization and facial feature adjustments
Implement live facial movement and expressions for avatars
Integrate text-to-speech with sentiment analysis for expressive avatar voices
Create stickers and GIFs using avatars
Allow users to create and switch between multiple avatars
Integrate avatars as face filters for video recording
Provide cloud storage to save and sync user avatars across devices</v>
      </c>
      <c r="D144" s="12" t="str">
        <f ca="1">IFERROR(__xludf.DUMMYFUNCTION("""COMPUTED_VALUE"""),"Dr. Asif Naeem")</f>
        <v>Dr. Asif Naeem</v>
      </c>
      <c r="E144" s="12"/>
      <c r="F144" s="12" t="str">
        <f ca="1">IFERROR(__xludf.DUMMYFUNCTION("""COMPUTED_VALUE"""),"Tauseef Razaq")</f>
        <v>Tauseef Razaq</v>
      </c>
      <c r="G144" s="12" t="str">
        <f ca="1">IFERROR(__xludf.DUMMYFUNCTION("""COMPUTED_VALUE"""),"i211236")</f>
        <v>i211236</v>
      </c>
      <c r="H144" s="12" t="str">
        <f ca="1">IFERROR(__xludf.DUMMYFUNCTION("""COMPUTED_VALUE"""),"Bilal Akbar")</f>
        <v>Bilal Akbar</v>
      </c>
      <c r="I144" s="12" t="str">
        <f ca="1">IFERROR(__xludf.DUMMYFUNCTION("""COMPUTED_VALUE"""),"i211174")</f>
        <v>i211174</v>
      </c>
      <c r="J144" s="12" t="str">
        <f ca="1">IFERROR(__xludf.DUMMYFUNCTION("""COMPUTED_VALUE"""),"Ibraheem Rehman")</f>
        <v>Ibraheem Rehman</v>
      </c>
      <c r="K144" s="12" t="str">
        <f ca="1">IFERROR(__xludf.DUMMYFUNCTION("""COMPUTED_VALUE"""),"i211102")</f>
        <v>i211102</v>
      </c>
    </row>
    <row r="145" spans="1:11" ht="369.75">
      <c r="A145" s="12" t="str">
        <f ca="1">IFERROR(__xludf.DUMMYFUNCTION("""COMPUTED_VALUE"""),"F24-145-D-VR-OR")</f>
        <v>F24-145-D-VR-OR</v>
      </c>
      <c r="B145" s="13" t="str">
        <f ca="1">IFERROR(__xludf.DUMMYFUNCTION("""COMPUTED_VALUE"""),"Virtual Reality-Based Surgical Training Simulator")</f>
        <v>Virtual Reality-Based Surgical Training Simulator</v>
      </c>
      <c r="C145" s="14" t="str">
        <f ca="1">IFERROR(__xludf.DUMMYFUNCTION("""COMPUTED_VALUE"""),"In our V-OR (Virtual Operating Room) project, we aim to create an immersive and interactive platform that allows medical professionals and students to simulate surgical procedures, such as open-heart surgery, in a virtual environment. The platform will gu"&amp;"ide users through each step of the procedure and offer real-time feedback on any errors made. By replicating a realistic surgical experience with detailed 3D anatomical models and tools, we aim to enhance medical education, improve surgical accuracy, and "&amp;"minimize real-world risks. Additionally, the system will evaluate user performance, helping them to refine their skills over time.
Features:
1- Real-time Surgical Simulation: Users can perform surgeries in a virtual environment with detailed anatomical m"&amp;"odels, simulating real-life procedures.
2- Step-by-Step Guidance: The system guides users through the correct surgical steps, ensuring proper technique and procedure.
3-Error Detection and Feedback: Mistakes are detected in real-time, with immediate corre"&amp;"ctive feedback provided to enhance learning.
4-Interactive 3D Models: High-quality, interactive 3D models of organs, tissues, and surgical tools are integrated into the simulation.
5- Multi-Surgery Support: The platform supports the simulation of various "&amp;"surgeries, including complex procedures like open-heart surgery.
6- Performance Evaluation: User performance is tracked throughout the procedure, with detailed post-surgery analysis to help refine skills.
7- User-Friendly Interface: The platform features "&amp;"an intuitive user interface for easy selection of tools and navigation within the simulation.
8- Virtual Training Mode: A dedicated training mode allows medical students and professionals to safely enhance their surgical skills.
9- Detailed Reporting &amp; An"&amp;"alytics: Provide comprehensive reports and analytics on user performance, including metrics like completion time, error rates, and precision, which can be used for further improvement or academic assessment.")</f>
        <v>In our V-OR (Virtual Operating Room) project, we aim to create an immersive and interactive platform that allows medical professionals and students to simulate surgical procedures, such as open-heart surgery, in a virtual environment. The platform will guide users through each step of the procedure and offer real-time feedback on any errors made. By replicating a realistic surgical experience with detailed 3D anatomical models and tools, we aim to enhance medical education, improve surgical accuracy, and minimize real-world risks. Additionally, the system will evaluate user performance, helping them to refine their skills over time.
Features:
1- Real-time Surgical Simulation: Users can perform surgeries in a virtual environment with detailed anatomical models, simulating real-life procedures.
2- Step-by-Step Guidance: The system guides users through the correct surgical steps, ensuring proper technique and procedure.
3-Error Detection and Feedback: Mistakes are detected in real-time, with immediate corrective feedback provided to enhance learning.
4-Interactive 3D Models: High-quality, interactive 3D models of organs, tissues, and surgical tools are integrated into the simulation.
5- Multi-Surgery Support: The platform supports the simulation of various surgeries, including complex procedures like open-heart surgery.
6- Performance Evaluation: User performance is tracked throughout the procedure, with detailed post-surgery analysis to help refine skills.
7- User-Friendly Interface: The platform features an intuitive user interface for easy selection of tools and navigation within the simulation.
8- Virtual Training Mode: A dedicated training mode allows medical students and professionals to safely enhance their surgical skills.
9- Detailed Reporting &amp; Analytics: Provide comprehensive reports and analytics on user performance, including metrics like completion time, error rates, and precision, which can be used for further improvement or academic assessment.</v>
      </c>
      <c r="D145" s="12" t="str">
        <f ca="1">IFERROR(__xludf.DUMMYFUNCTION("""COMPUTED_VALUE"""),"Ms. Noor ul Ain")</f>
        <v>Ms. Noor ul Ain</v>
      </c>
      <c r="E145" s="12" t="str">
        <f ca="1">IFERROR(__xludf.DUMMYFUNCTION("""COMPUTED_VALUE"""),"Mr. Usama Bin Imran")</f>
        <v>Mr. Usama Bin Imran</v>
      </c>
      <c r="F145" s="12" t="str">
        <f ca="1">IFERROR(__xludf.DUMMYFUNCTION("""COMPUTED_VALUE"""),"Maham Khurram")</f>
        <v>Maham Khurram</v>
      </c>
      <c r="G145" s="12" t="str">
        <f ca="1">IFERROR(__xludf.DUMMYFUNCTION("""COMPUTED_VALUE"""),"i210681")</f>
        <v>i210681</v>
      </c>
      <c r="H145" s="12" t="str">
        <f ca="1">IFERROR(__xludf.DUMMYFUNCTION("""COMPUTED_VALUE"""),"Syeda Laraib Fatima")</f>
        <v>Syeda Laraib Fatima</v>
      </c>
      <c r="I145" s="12" t="str">
        <f ca="1">IFERROR(__xludf.DUMMYFUNCTION("""COMPUTED_VALUE"""),"i210865")</f>
        <v>i210865</v>
      </c>
      <c r="J145" s="12" t="str">
        <f ca="1">IFERROR(__xludf.DUMMYFUNCTION("""COMPUTED_VALUE"""),"Waiz Hassan Zubairi")</f>
        <v>Waiz Hassan Zubairi</v>
      </c>
      <c r="K145" s="12" t="str">
        <f ca="1">IFERROR(__xludf.DUMMYFUNCTION("""COMPUTED_VALUE"""),"i210751")</f>
        <v>i210751</v>
      </c>
    </row>
    <row r="146" spans="1:11" ht="357">
      <c r="A146" s="12" t="str">
        <f ca="1">IFERROR(__xludf.DUMMYFUNCTION("""COMPUTED_VALUE"""),"F24-146-D-Mal-Assf")</f>
        <v>F24-146-D-Mal-Assf</v>
      </c>
      <c r="B146" s="13" t="str">
        <f ca="1">IFERROR(__xludf.DUMMYFUNCTION("""COMPUTED_VALUE"""),"Desktop Application for Malware analysis and Detection using API Sequence")</f>
        <v>Desktop Application for Malware analysis and Detection using API Sequence</v>
      </c>
      <c r="C146" s="14" t="str">
        <f ca="1">IFERROR(__xludf.DUMMYFUNCTION("""COMPUTED_VALUE"""),"The proposed project aims to develop an application designed to analyze and detect malicious binary executables. The primary objective of this project is to create a robust and efficient tool for malware detection that can be used by security professional"&amp;"s and organizations to safeguard their systems. The application will utilize the Mal-ASSF framework, which integrates sequence feature extraction, semantic analysis, and machine learning to accurately classify executable files as either benign or maliciou"&amp;"s.
Key Features:
1. Dynamic Analysis of Executables: The application will run executable files in a secure sandbox environment to capture detailed API call sequences and operational behaviors.
2. API Sequence Processing: Extracted API sequences will be p"&amp;"rocessed using techniques like API2Vec, which converts API calls into vector representations while preserving semantic relationships.
3. Semantic Feature Extraction:Analyzes the semantic relationships within API sequences using techniques like API2Vec, en"&amp;"hancing the detection accuracy.
4. BiLSTM-based Feature Extraction: The application will use BiLSTM (Bidirectional Long Short-Term Memory) networks to analyze API sequences, capturing complex calling relationships and sequence features that are indicative"&amp;" of malicious behavior.
5. Attention Mechanism: The application will incorporate an attention mechanism to focus on critical segments of API sequences, enhancing the detection accuracy by emphasizing key behaviors associated with malware.
6. Machine Learn"&amp;"ing Classification: A Multi-Layer Perceptron (MLP) classifier will be used to classify the analyzed executables, employing dropout techniques to prevent overfitting and ensure reliable performance.
7. Comprehensive Report Generation:Provides detailed anal"&amp;"ysis reports outlining the behaviors and potential threats identified in the analyzed executables.
8. User Interface: The desktop application will feature a user-friendly interface that allows users to easily upload and analyze executable files. 
")</f>
        <v xml:space="preserve">The proposed project aims to develop an application designed to analyze and detect malicious binary executables. The primary objective of this project is to create a robust and efficient tool for malware detection that can be used by security professionals and organizations to safeguard their systems. The application will utilize the Mal-ASSF framework, which integrates sequence feature extraction, semantic analysis, and machine learning to accurately classify executable files as either benign or malicious.
Key Features:
1. Dynamic Analysis of Executables: The application will run executable files in a secure sandbox environment to capture detailed API call sequences and operational behaviors.
2. API Sequence Processing: Extracted API sequences will be processed using techniques like API2Vec, which converts API calls into vector representations while preserving semantic relationships.
3. Semantic Feature Extraction:Analyzes the semantic relationships within API sequences using techniques like API2Vec, enhancing the detection accuracy.
4. BiLSTM-based Feature Extraction: The application will use BiLSTM (Bidirectional Long Short-Term Memory) networks to analyze API sequences, capturing complex calling relationships and sequence features that are indicative of malicious behavior.
5. Attention Mechanism: The application will incorporate an attention mechanism to focus on critical segments of API sequences, enhancing the detection accuracy by emphasizing key behaviors associated with malware.
6. Machine Learning Classification: A Multi-Layer Perceptron (MLP) classifier will be used to classify the analyzed executables, employing dropout techniques to prevent overfitting and ensure reliable performance.
7. Comprehensive Report Generation:Provides detailed analysis reports outlining the behaviors and potential threats identified in the analyzed executables.
8. User Interface: The desktop application will feature a user-friendly interface that allows users to easily upload and analyze executable files. 
</v>
      </c>
      <c r="D146" s="12" t="str">
        <f ca="1">IFERROR(__xludf.DUMMYFUNCTION("""COMPUTED_VALUE"""),"Mr. Jawad Hassan")</f>
        <v>Mr. Jawad Hassan</v>
      </c>
      <c r="E146" s="12"/>
      <c r="F146" s="12" t="str">
        <f ca="1">IFERROR(__xludf.DUMMYFUNCTION("""COMPUTED_VALUE"""),"Anas Iqbal")</f>
        <v>Anas Iqbal</v>
      </c>
      <c r="G146" s="12" t="str">
        <f ca="1">IFERROR(__xludf.DUMMYFUNCTION("""COMPUTED_VALUE"""),"i191789")</f>
        <v>i191789</v>
      </c>
      <c r="H146" s="12" t="str">
        <f ca="1">IFERROR(__xludf.DUMMYFUNCTION("""COMPUTED_VALUE"""),"Muhammad Awais")</f>
        <v>Muhammad Awais</v>
      </c>
      <c r="I146" s="12" t="str">
        <f ca="1">IFERROR(__xludf.DUMMYFUNCTION("""COMPUTED_VALUE"""),"i191767")</f>
        <v>i191767</v>
      </c>
      <c r="J146" s="12" t="str">
        <f ca="1">IFERROR(__xludf.DUMMYFUNCTION("""COMPUTED_VALUE"""),"Muhammad subhan")</f>
        <v>Muhammad subhan</v>
      </c>
      <c r="K146" s="12" t="str">
        <f ca="1">IFERROR(__xludf.DUMMYFUNCTION("""COMPUTED_VALUE"""),"i170315")</f>
        <v>i170315</v>
      </c>
    </row>
    <row r="147" spans="1:11" ht="382.5">
      <c r="A147" s="12" t="str">
        <f ca="1">IFERROR(__xludf.DUMMYFUNCTION("""COMPUTED_VALUE"""),"F24-147-D-IoTAnomalyDetect")</f>
        <v>F24-147-D-IoTAnomalyDetect</v>
      </c>
      <c r="B147" s="13" t="str">
        <f ca="1">IFERROR(__xludf.DUMMYFUNCTION("""COMPUTED_VALUE"""),"Predictive Maintenance based on Anomaly Detection in Sensor Data obtained through the use of IoT Devices ")</f>
        <v xml:space="preserve">Predictive Maintenance based on Anomaly Detection in Sensor Data obtained through the use of IoT Devices </v>
      </c>
      <c r="C147" s="14" t="str">
        <f ca="1">IFERROR(__xludf.DUMMYFUNCTION("""COMPUTED_VALUE"""),"Our project involves creating a Predictive Maintenance system that leverages IoT devices and Machine Learning approaches to detect and handle anomalies in sensor data for CARE Pvt. Ltd.
Our system will monitor and analyze almost near real-time data from t"&amp;"he company’s industrial IoT device to predict potential failures before they occur.
We will be building an IoT device for the Company.
Expected Outcomes:
1. A system for collection of relevant data using IoT devices, such as machine's temperature, vibrati"&amp;"on, and current.
2. A functional predictive maintenance system that detects anomalies in sensor data
3. Reduced equipment downtime and increased overall efficiency by earlier prediction of potential machine failure.
Key Features:
1. Real-time Data Colle"&amp;"ction
2. Data Preprocessing
3. Cloud Computing 
4. Anomaly Detection Machine Learning Models
5. Predictive Maintenance Alerts
6. Dashboard for Visualization
7. Performance Evaluation
8. Building an IoT device
")</f>
        <v xml:space="preserve">Our project involves creating a Predictive Maintenance system that leverages IoT devices and Machine Learning approaches to detect and handle anomalies in sensor data for CARE Pvt. Ltd.
Our system will monitor and analyze almost near real-time data from the company’s industrial IoT device to predict potential failures before they occur.
We will be building an IoT device for the Company.
Expected Outcomes:
1. A system for collection of relevant data using IoT devices, such as machine's temperature, vibration, and current.
2. A functional predictive maintenance system that detects anomalies in sensor data
3. Reduced equipment downtime and increased overall efficiency by earlier prediction of potential machine failure.
Key Features:
1. Real-time Data Collection
2. Data Preprocessing
3. Cloud Computing 
4. Anomaly Detection Machine Learning Models
5. Predictive Maintenance Alerts
6. Dashboard for Visualization
7. Performance Evaluation
8. Building an IoT device
</v>
      </c>
      <c r="D147" s="12" t="str">
        <f ca="1">IFERROR(__xludf.DUMMYFUNCTION("""COMPUTED_VALUE"""),"Dr. Fehmida Usmani")</f>
        <v>Dr. Fehmida Usmani</v>
      </c>
      <c r="E147" s="12" t="str">
        <f ca="1">IFERROR(__xludf.DUMMYFUNCTION("""COMPUTED_VALUE"""),"Dr. Imran Ashraf")</f>
        <v>Dr. Imran Ashraf</v>
      </c>
      <c r="F147" s="12" t="str">
        <f ca="1">IFERROR(__xludf.DUMMYFUNCTION("""COMPUTED_VALUE"""),"Imra Tariq")</f>
        <v>Imra Tariq</v>
      </c>
      <c r="G147" s="12" t="str">
        <f ca="1">IFERROR(__xludf.DUMMYFUNCTION("""COMPUTED_VALUE"""),"i211521")</f>
        <v>i211521</v>
      </c>
      <c r="H147" s="12" t="str">
        <f ca="1">IFERROR(__xludf.DUMMYFUNCTION("""COMPUTED_VALUE"""),"Laiba Zulfiqar")</f>
        <v>Laiba Zulfiqar</v>
      </c>
      <c r="I147" s="12" t="str">
        <f ca="1">IFERROR(__xludf.DUMMYFUNCTION("""COMPUTED_VALUE"""),"i211501")</f>
        <v>i211501</v>
      </c>
      <c r="J147" s="12"/>
      <c r="K147" s="12"/>
    </row>
    <row r="148" spans="1:11" ht="306">
      <c r="A148" s="12" t="str">
        <f ca="1">IFERROR(__xludf.DUMMYFUNCTION("""COMPUTED_VALUE"""),"F24-148-D-PromoHive")</f>
        <v>F24-148-D-PromoHive</v>
      </c>
      <c r="B148" s="13" t="str">
        <f ca="1">IFERROR(__xludf.DUMMYFUNCTION("""COMPUTED_VALUE"""),"PromoHive: AI Powered Promotion")</f>
        <v>PromoHive: AI Powered Promotion</v>
      </c>
      <c r="C148" s="14" t="str">
        <f ca="1">IFERROR(__xludf.DUMMYFUNCTION("""COMPUTED_VALUE"""),"The project aims to develop a comprehensive promotional management system for retailers to enhance the optimization and tracking of marketing campaigns across diverse channels. This system will facilitate the planning, execution, and analysis of promotion"&amp;"s, integrating advanced features such as customizable discount rules, loyalty rewards, and targeted offers. With seamless integration into existing retail infrastructures, including POS and inventory management systems, the platform will provide a central"&amp;"ized promotional calendar, real-time analytics, and robust tools for customer segmentation and A/B testing. By leveraging a scalable technology stack, this system will empower retailers to execute personalized marketing strategies effectively.
Key Featur"&amp;"es:
1.	Promotional Calendar: A centralized tool for scheduling and coordinating marketing promotions.
2.	Advanced Discounting Rules: A flexible engine for creating and managing complex promotional offers.
3.	Real-Time Monitoring: An analytics dashboard fo"&amp;"r tracking promotion performance and return on investment (ROI).
4.	Customer Segmentation: Tools to enable personalized marketing efforts based on customer data analysis.
5.	A/B Testing: Features to compare the effectiveness of different promotional strat"&amp;"egies.
6.	Inventory Management Integration: Automated stock level adjustments during promotions to ensure accurate inventory tracking.
7.	Analytics Dashboard: Real-time insights using Elasticsearch and Kibana for data visualization.
")</f>
        <v xml:space="preserve">The project aims to develop a comprehensive promotional management system for retailers to enhance the optimization and tracking of marketing campaigns across diverse channels. This system will facilitate the planning, execution, and analysis of promotions, integrating advanced features such as customizable discount rules, loyalty rewards, and targeted offers. With seamless integration into existing retail infrastructures, including POS and inventory management systems, the platform will provide a centralized promotional calendar, real-time analytics, and robust tools for customer segmentation and A/B testing. By leveraging a scalable technology stack, this system will empower retailers to execute personalized marketing strategies effectively.
Key Features:
1.	Promotional Calendar: A centralized tool for scheduling and coordinating marketing promotions.
2.	Advanced Discounting Rules: A flexible engine for creating and managing complex promotional offers.
3.	Real-Time Monitoring: An analytics dashboard for tracking promotion performance and return on investment (ROI).
4.	Customer Segmentation: Tools to enable personalized marketing efforts based on customer data analysis.
5.	A/B Testing: Features to compare the effectiveness of different promotional strategies.
6.	Inventory Management Integration: Automated stock level adjustments during promotions to ensure accurate inventory tracking.
7.	Analytics Dashboard: Real-time insights using Elasticsearch and Kibana for data visualization.
</v>
      </c>
      <c r="D148" s="12" t="str">
        <f ca="1">IFERROR(__xludf.DUMMYFUNCTION("""COMPUTED_VALUE"""),"Dr. Faisal Cheema")</f>
        <v>Dr. Faisal Cheema</v>
      </c>
      <c r="E148" s="12"/>
      <c r="F148" s="12" t="str">
        <f ca="1">IFERROR(__xludf.DUMMYFUNCTION("""COMPUTED_VALUE"""),"Moiez Asif")</f>
        <v>Moiez Asif</v>
      </c>
      <c r="G148" s="12" t="str">
        <f ca="1">IFERROR(__xludf.DUMMYFUNCTION("""COMPUTED_VALUE"""),"i212483")</f>
        <v>i212483</v>
      </c>
      <c r="H148" s="12" t="str">
        <f ca="1">IFERROR(__xludf.DUMMYFUNCTION("""COMPUTED_VALUE"""),"Syed Muhammad Hassan Raza")</f>
        <v>Syed Muhammad Hassan Raza</v>
      </c>
      <c r="I148" s="12" t="str">
        <f ca="1">IFERROR(__xludf.DUMMYFUNCTION("""COMPUTED_VALUE"""),"i210465")</f>
        <v>i210465</v>
      </c>
      <c r="J148" s="12" t="str">
        <f ca="1">IFERROR(__xludf.DUMMYFUNCTION("""COMPUTED_VALUE"""),"Aasir Farrukh")</f>
        <v>Aasir Farrukh</v>
      </c>
      <c r="K148" s="12" t="str">
        <f ca="1">IFERROR(__xludf.DUMMYFUNCTION("""COMPUTED_VALUE"""),"i210375")</f>
        <v>i210375</v>
      </c>
    </row>
    <row r="149" spans="1:11" ht="331.5">
      <c r="A149" s="12" t="str">
        <f ca="1">IFERROR(__xludf.DUMMYFUNCTION("""COMPUTED_VALUE"""),"F24-149-D-AutoEngage")</f>
        <v>F24-149-D-AutoEngage</v>
      </c>
      <c r="B149" s="13" t="str">
        <f ca="1">IFERROR(__xludf.DUMMYFUNCTION("""COMPUTED_VALUE"""),"AutoEngage: AI Sales and Service Assistant")</f>
        <v>AutoEngage: AI Sales and Service Assistant</v>
      </c>
      <c r="C149" s="14" t="str">
        <f ca="1">IFERROR(__xludf.DUMMYFUNCTION("""COMPUTED_VALUE"""),"The goal of the ""AutoEngage"" project is to create an AI-powered bot that can interact with customers on the phone on its own for different sales campaigns. The bot will take the place of human call center representatives, engaging customers in real-time"&amp;", tailored conversations to market and close deals on goods and services. ""AutoEngage"" will handle client inquiries, manage objections, and drive conversions by utilizing cutting-edge speech synthesis and natural language processing technologies. Additi"&amp;"onally, data analysis will yield insightful information. The system's objectives are to increase sales effectiveness, lower operating expenses, and offer a scalable solution to companies trying to maximize their customer engagement tactics.
1.	Advanced "&amp;"Natural Language Processing (NLP): Enables the bot to understand and respond to client queries with high accuracy through Large Language Models (LLM).
2.    Natural Language Understanding (NLU): Enables more human like understanding for the bot
3.    Devi"&amp;"ation Handling: Irrelevant information from the customer will be handled thoroughly and the AI will be redirect back to the original script
4.    RAG: Queries not in the models knowledge base will be addressed through RAG.
5.    Real-Time Speech Transcrip"&amp;"tion: Transcription of Customer's infomation in real time high accuracy for processing
6.	Real-Time Speech Synthesis: Generates natural and persuasive speech, enhancing the client experience.
7.	Personalized Interaction: Tailors conversations based on ind"&amp;"ividual client profiles and previous interactions.
8.	Dynamic Sales Pitches: Adapts sales strategies on the fly in response to client feedback and objections.
")</f>
        <v xml:space="preserve">The goal of the "AutoEngage" project is to create an AI-powered bot that can interact with customers on the phone on its own for different sales campaigns. The bot will take the place of human call center representatives, engaging customers in real-time, tailored conversations to market and close deals on goods and services. "AutoEngage" will handle client inquiries, manage objections, and drive conversions by utilizing cutting-edge speech synthesis and natural language processing technologies. Additionally, data analysis will yield insightful information. The system's objectives are to increase sales effectiveness, lower operating expenses, and offer a scalable solution to companies trying to maximize their customer engagement tactics.
1.	Advanced Natural Language Processing (NLP): Enables the bot to understand and respond to client queries with high accuracy through Large Language Models (LLM).
2.    Natural Language Understanding (NLU): Enables more human like understanding for the bot
3.    Deviation Handling: Irrelevant information from the customer will be handled thoroughly and the AI will be redirect back to the original script
4.    RAG: Queries not in the models knowledge base will be addressed through RAG.
5.    Real-Time Speech Transcription: Transcription of Customer's infomation in real time high accuracy for processing
6.	Real-Time Speech Synthesis: Generates natural and persuasive speech, enhancing the client experience.
7.	Personalized Interaction: Tailors conversations based on individual client profiles and previous interactions.
8.	Dynamic Sales Pitches: Adapts sales strategies on the fly in response to client feedback and objections.
</v>
      </c>
      <c r="D149" s="12" t="str">
        <f ca="1">IFERROR(__xludf.DUMMYFUNCTION("""COMPUTED_VALUE"""),"Mr. M Aamir Gulzar")</f>
        <v>Mr. M Aamir Gulzar</v>
      </c>
      <c r="E149" s="12" t="str">
        <f ca="1">IFERROR(__xludf.DUMMYFUNCTION("""COMPUTED_VALUE"""),"Dr. Asif Naeem")</f>
        <v>Dr. Asif Naeem</v>
      </c>
      <c r="F149" s="12" t="str">
        <f ca="1">IFERROR(__xludf.DUMMYFUNCTION("""COMPUTED_VALUE"""),"Salman Ahmad")</f>
        <v>Salman Ahmad</v>
      </c>
      <c r="G149" s="12" t="str">
        <f ca="1">IFERROR(__xludf.DUMMYFUNCTION("""COMPUTED_VALUE"""),"i210469")</f>
        <v>i210469</v>
      </c>
      <c r="H149" s="12" t="str">
        <f ca="1">IFERROR(__xludf.DUMMYFUNCTION("""COMPUTED_VALUE"""),"Muhammad Ibrahim Basit")</f>
        <v>Muhammad Ibrahim Basit</v>
      </c>
      <c r="I149" s="12" t="str">
        <f ca="1">IFERROR(__xludf.DUMMYFUNCTION("""COMPUTED_VALUE"""),"i210669")</f>
        <v>i210669</v>
      </c>
      <c r="J149" s="12"/>
      <c r="K149" s="12"/>
    </row>
    <row r="150" spans="1:11" ht="293.25">
      <c r="A150" s="12" t="str">
        <f ca="1">IFERROR(__xludf.DUMMYFUNCTION("""COMPUTED_VALUE"""),"F24-150-D-Structify")</f>
        <v>F24-150-D-Structify</v>
      </c>
      <c r="B150" s="13" t="str">
        <f ca="1">IFERROR(__xludf.DUMMYFUNCTION("""COMPUTED_VALUE"""),"Gamified Intelligent Tutoring System (ITS) for teaching Data Structures.")</f>
        <v>Gamified Intelligent Tutoring System (ITS) for teaching Data Structures.</v>
      </c>
      <c r="C150" s="14" t="str">
        <f ca="1">IFERROR(__xludf.DUMMYFUNCTION("""COMPUTED_VALUE"""),"This project aims to develop an intelligent tutoring system designed to teach data structures through an engaging, gamified experience. The system will assess users' existing knowledge and provide a personalized learning plan tailored to their needs. As u"&amp;"sers progress, their knowledge will be continuously evaluated through assessments, allowing the system to adapt and present the next set of lessons accordingly. The ultimate goal is to create a dynamic learning environment that motivates users and enhance"&amp;"s their understanding of complex concepts in a fun and interactive way.
Features:
1) Personalized Learning Plan: Tailors the curriculum based on the user's initial knowledge.
2) Gamified Learning Modules: Incorporates gamified elements to make learning m"&amp;"ore engaging and enjoyable.
3) Knowledge Assessment: Regular tests to evaluate the user's understanding and adjust the learning plan.
4) Progress Tracking: Monitors user progress and provides instant feedback on assessments and exercises to aid in learnin"&amp;"g.
5) Adaptive Lesson Sequencing: Automatically adjusts the order and difficulty of lessons based on user performance.
6) Interactive Exercises: Hands-on coding challenges and exercises to reinforce learning.
7) Achievement Badges: Rewards users with badg"&amp;"es and points for completing milestones and challenges.
8) Performance analytics dashboard: Detailed insights into the user's progress giving an overview of the user’s activity.")</f>
        <v>This project aims to develop an intelligent tutoring system designed to teach data structures through an engaging, gamified experience. The system will assess users' existing knowledge and provide a personalized learning plan tailored to their needs. As users progress, their knowledge will be continuously evaluated through assessments, allowing the system to adapt and present the next set of lessons accordingly. The ultimate goal is to create a dynamic learning environment that motivates users and enhances their understanding of complex concepts in a fun and interactive way.
Features:
1) Personalized Learning Plan: Tailors the curriculum based on the user's initial knowledge.
2) Gamified Learning Modules: Incorporates gamified elements to make learning more engaging and enjoyable.
3) Knowledge Assessment: Regular tests to evaluate the user's understanding and adjust the learning plan.
4) Progress Tracking: Monitors user progress and provides instant feedback on assessments and exercises to aid in learning.
5) Adaptive Lesson Sequencing: Automatically adjusts the order and difficulty of lessons based on user performance.
6) Interactive Exercises: Hands-on coding challenges and exercises to reinforce learning.
7) Achievement Badges: Rewards users with badges and points for completing milestones and challenges.
8) Performance analytics dashboard: Detailed insights into the user's progress giving an overview of the user’s activity.</v>
      </c>
      <c r="D150" s="12" t="str">
        <f ca="1">IFERROR(__xludf.DUMMYFUNCTION("""COMPUTED_VALUE"""),"Mr. Bilal Khalid Dar")</f>
        <v>Mr. Bilal Khalid Dar</v>
      </c>
      <c r="E150" s="12" t="str">
        <f ca="1">IFERROR(__xludf.DUMMYFUNCTION("""COMPUTED_VALUE"""),"Mr.Wasif Ali Wasif")</f>
        <v>Mr.Wasif Ali Wasif</v>
      </c>
      <c r="F150" s="12" t="str">
        <f ca="1">IFERROR(__xludf.DUMMYFUNCTION("""COMPUTED_VALUE"""),"Afnan Naseem")</f>
        <v>Afnan Naseem</v>
      </c>
      <c r="G150" s="12" t="str">
        <f ca="1">IFERROR(__xludf.DUMMYFUNCTION("""COMPUTED_VALUE"""),"i211124")</f>
        <v>i211124</v>
      </c>
      <c r="H150" s="12" t="str">
        <f ca="1">IFERROR(__xludf.DUMMYFUNCTION("""COMPUTED_VALUE"""),"Agha Muhammad Ali Durrani")</f>
        <v>Agha Muhammad Ali Durrani</v>
      </c>
      <c r="I150" s="12" t="str">
        <f ca="1">IFERROR(__xludf.DUMMYFUNCTION("""COMPUTED_VALUE"""),"i211129")</f>
        <v>i211129</v>
      </c>
      <c r="J150" s="12" t="str">
        <f ca="1">IFERROR(__xludf.DUMMYFUNCTION("""COMPUTED_VALUE"""),"M Mati Ur Rehman")</f>
        <v>M Mati Ur Rehman</v>
      </c>
      <c r="K150" s="12" t="str">
        <f ca="1">IFERROR(__xludf.DUMMYFUNCTION("""COMPUTED_VALUE"""),"i211222")</f>
        <v>i211222</v>
      </c>
    </row>
    <row r="151" spans="1:11" ht="216.75">
      <c r="A151" s="12" t="str">
        <f ca="1">IFERROR(__xludf.DUMMYFUNCTION("""COMPUTED_VALUE"""),"F24-151-D-Bot-Nist")</f>
        <v>F24-151-D-Bot-Nist</v>
      </c>
      <c r="B151" s="13" t="str">
        <f ca="1">IFERROR(__xludf.DUMMYFUNCTION("""COMPUTED_VALUE"""),"Bot-Nist AI: Transforming Web data into Intelligent Support ")</f>
        <v xml:space="preserve">Bot-Nist AI: Transforming Web data into Intelligent Support </v>
      </c>
      <c r="C151" s="14" t="str">
        <f ca="1">IFERROR(__xludf.DUMMYFUNCTION("""COMPUTED_VALUE"""),"Introducing Bot-Nist, a web application designed to transform website interaction and customer support. By simply providing a URL, users can leverage Bot-Nist advanced capabilities to scan and analyze websites, extract key data using Natural Language Proc"&amp;"essing (NLP), and provide intelligent responses. The app also generates a customizable API for seamless integration into the user's website, enhancing customer service and data accessibility.
Following are the key points: 
1. Website Scanning
2. NLP-Base"&amp;"d Keypoint Extraction
3. AI-Powered Q&amp;A
4. Custom API Generation
5. Interactive Dashboard
6. Real-Time Updates
7. Analytics and Reporting
8. Integration with Existing Systems
9. Data Privacy and Security")</f>
        <v>Introducing Bot-Nist, a web application designed to transform website interaction and customer support. By simply providing a URL, users can leverage Bot-Nist advanced capabilities to scan and analyze websites, extract key data using Natural Language Processing (NLP), and provide intelligent responses. The app also generates a customizable API for seamless integration into the user's website, enhancing customer service and data accessibility.
Following are the key points: 
1. Website Scanning
2. NLP-Based Keypoint Extraction
3. AI-Powered Q&amp;A
4. Custom API Generation
5. Interactive Dashboard
6. Real-Time Updates
7. Analytics and Reporting
8. Integration with Existing Systems
9. Data Privacy and Security</v>
      </c>
      <c r="D151" s="12" t="str">
        <f ca="1">IFERROR(__xludf.DUMMYFUNCTION("""COMPUTED_VALUE"""),"Ms. Marium Hida")</f>
        <v>Ms. Marium Hida</v>
      </c>
      <c r="E151" s="12"/>
      <c r="F151" s="12" t="str">
        <f ca="1">IFERROR(__xludf.DUMMYFUNCTION("""COMPUTED_VALUE"""),"Furqan Sharjeel")</f>
        <v>Furqan Sharjeel</v>
      </c>
      <c r="G151" s="12" t="str">
        <f ca="1">IFERROR(__xludf.DUMMYFUNCTION("""COMPUTED_VALUE"""),"i210479")</f>
        <v>i210479</v>
      </c>
      <c r="H151" s="12" t="str">
        <f ca="1">IFERROR(__xludf.DUMMYFUNCTION("""COMPUTED_VALUE"""),"Haani Khan")</f>
        <v>Haani Khan</v>
      </c>
      <c r="I151" s="12" t="str">
        <f ca="1">IFERROR(__xludf.DUMMYFUNCTION("""COMPUTED_VALUE"""),"i210876")</f>
        <v>i210876</v>
      </c>
      <c r="J151" s="12" t="str">
        <f ca="1">IFERROR(__xludf.DUMMYFUNCTION("""COMPUTED_VALUE"""),"Humaiyon Abdullah")</f>
        <v>Humaiyon Abdullah</v>
      </c>
      <c r="K151" s="12" t="str">
        <f ca="1">IFERROR(__xludf.DUMMYFUNCTION("""COMPUTED_VALUE"""),"i210662")</f>
        <v>i210662</v>
      </c>
    </row>
    <row r="152" spans="1:11" ht="344.25">
      <c r="A152" s="12" t="str">
        <f ca="1">IFERROR(__xludf.DUMMYFUNCTION("""COMPUTED_VALUE"""),"F24-152-D-DataKaleidos")</f>
        <v>F24-152-D-DataKaleidos</v>
      </c>
      <c r="B152" s="13" t="str">
        <f ca="1">IFERROR(__xludf.DUMMYFUNCTION("""COMPUTED_VALUE"""),"Intelligent Consumer Data Analytics and Visualizations")</f>
        <v>Intelligent Consumer Data Analytics and Visualizations</v>
      </c>
      <c r="C152" s="14" t="str">
        <f ca="1">IFERROR(__xludf.DUMMYFUNCTION("""COMPUTED_VALUE"""),"Scope:
The problem businesses face today is the lack of real-time, accessible data to make informed decisions in a fast-changing market.
Our project aims to build a cloud-based data platform that provides real-time, keyword-driven insights into market t"&amp;"rends, consumer behavior, and competitor activities for businesses in Pakistan. The platform will utilize web scraping, public APIs, machine learning, and natural language processing (NLP) to gather, process, and analyze data. It will offer customizable v"&amp;"isualizations, including trend graphs, demographic breakdowns, and sentiment analysis, with support from an AI-driven chatbot that helps users create personalized reports.
Platform Features:
1. Chatbot to facilitate User-Driven Queries
2. Data Availabil"&amp;"ity Check to utilize existing database
3. On-Demand Data Gathering by scraping web data to update database
4. Real-Time and Historical Analysis to predict consumer trends
5. Consumer Insights by applying sentiment analysis to scraped data
6. Custom Visual"&amp;"izations by generating reports and dashboards
7. Notifications and Delayed Reports
8. Data Storage and Scaling with cloud infrastructure
What makes our idea unique?
Real-time insights, AI-powered reports and visualizations, combined with diverse data sou"&amp;"rces, make our platform stand out compared to existing solutions.
")</f>
        <v xml:space="preserve">Scope:
The problem businesses face today is the lack of real-time, accessible data to make informed decisions in a fast-changing market.
Our project aims to build a cloud-based data platform that provides real-time, keyword-driven insights into market trends, consumer behavior, and competitor activities for businesses in Pakistan. The platform will utilize web scraping, public APIs, machine learning, and natural language processing (NLP) to gather, process, and analyze data. It will offer customizable visualizations, including trend graphs, demographic breakdowns, and sentiment analysis, with support from an AI-driven chatbot that helps users create personalized reports.
Platform Features:
1. Chatbot to facilitate User-Driven Queries
2. Data Availability Check to utilize existing database
3. On-Demand Data Gathering by scraping web data to update database
4. Real-Time and Historical Analysis to predict consumer trends
5. Consumer Insights by applying sentiment analysis to scraped data
6. Custom Visualizations by generating reports and dashboards
7. Notifications and Delayed Reports
8. Data Storage and Scaling with cloud infrastructure
What makes our idea unique?
Real-time insights, AI-powered reports and visualizations, combined with diverse data sources, make our platform stand out compared to existing solutions.
</v>
      </c>
      <c r="D152" s="12" t="str">
        <f ca="1">IFERROR(__xludf.DUMMYFUNCTION("""COMPUTED_VALUE"""),"Dr. Naveed Ahmad")</f>
        <v>Dr. Naveed Ahmad</v>
      </c>
      <c r="E152" s="12"/>
      <c r="F152" s="12" t="str">
        <f ca="1">IFERROR(__xludf.DUMMYFUNCTION("""COMPUTED_VALUE"""),"Nabiha Rajani")</f>
        <v>Nabiha Rajani</v>
      </c>
      <c r="G152" s="12" t="str">
        <f ca="1">IFERROR(__xludf.DUMMYFUNCTION("""COMPUTED_VALUE"""),"k214523")</f>
        <v>k214523</v>
      </c>
      <c r="H152" s="12" t="str">
        <f ca="1">IFERROR(__xludf.DUMMYFUNCTION("""COMPUTED_VALUE"""),"Waqas Khan")</f>
        <v>Waqas Khan</v>
      </c>
      <c r="I152" s="12" t="str">
        <f ca="1">IFERROR(__xludf.DUMMYFUNCTION("""COMPUTED_VALUE"""),"k214842")</f>
        <v>k214842</v>
      </c>
      <c r="J152" s="12" t="str">
        <f ca="1">IFERROR(__xludf.DUMMYFUNCTION("""COMPUTED_VALUE"""),"Rai Tabish")</f>
        <v>Rai Tabish</v>
      </c>
      <c r="K152" s="12" t="str">
        <f ca="1">IFERROR(__xludf.DUMMYFUNCTION("""COMPUTED_VALUE"""),"i212541")</f>
        <v>i212541</v>
      </c>
    </row>
    <row r="153" spans="1:11" ht="76.5">
      <c r="A153" s="12" t="str">
        <f ca="1">IFERROR(__xludf.DUMMYFUNCTION("""COMPUTED_VALUE"""),"F24-153-D-BeAWarden")</f>
        <v>F24-153-D-BeAWarden</v>
      </c>
      <c r="B153" s="13" t="str">
        <f ca="1">IFERROR(__xludf.DUMMYFUNCTION("""COMPUTED_VALUE"""),"Be A Warden")</f>
        <v>Be A Warden</v>
      </c>
      <c r="C153" s="14" t="str">
        <f ca="1">IFERROR(__xludf.DUMMYFUNCTION("""COMPUTED_VALUE"""),"In this project we are making an AI violation detection system. Through our mobile app our
specified and approved users will be able to upload videos of specific violations on the road
and then our system will go through the videos and images and detect"&amp;" images through our AI
model. We will detect specific type of violations on the road as all the violations can’t be
detected by wardens or static cameras on the road.")</f>
        <v>In this project we are making an AI violation detection system. Through our mobile app our
specified and approved users will be able to upload videos of specific violations on the road
and then our system will go through the videos and images and detect images through our AI
model. We will detect specific type of violations on the road as all the violations can’t be
detected by wardens or static cameras on the road.</v>
      </c>
      <c r="D153" s="12" t="str">
        <f ca="1">IFERROR(__xludf.DUMMYFUNCTION("""COMPUTED_VALUE"""),"Mr. Shams Farooq")</f>
        <v>Mr. Shams Farooq</v>
      </c>
      <c r="E153" s="12" t="str">
        <f ca="1">IFERROR(__xludf.DUMMYFUNCTION("""COMPUTED_VALUE"""),"Dr. Muhammad Asim")</f>
        <v>Dr. Muhammad Asim</v>
      </c>
      <c r="F153" s="12" t="str">
        <f ca="1">IFERROR(__xludf.DUMMYFUNCTION("""COMPUTED_VALUE"""),"Mahad Saleem")</f>
        <v>Mahad Saleem</v>
      </c>
      <c r="G153" s="12" t="str">
        <f ca="1">IFERROR(__xludf.DUMMYFUNCTION("""COMPUTED_VALUE"""),"i210475")</f>
        <v>i210475</v>
      </c>
      <c r="H153" s="12" t="str">
        <f ca="1">IFERROR(__xludf.DUMMYFUNCTION("""COMPUTED_VALUE"""),"Bilal-ur-Rehman")</f>
        <v>Bilal-ur-Rehman</v>
      </c>
      <c r="I153" s="12" t="str">
        <f ca="1">IFERROR(__xludf.DUMMYFUNCTION("""COMPUTED_VALUE"""),"i210472")</f>
        <v>i210472</v>
      </c>
      <c r="J153" s="12" t="str">
        <f ca="1">IFERROR(__xludf.DUMMYFUNCTION("""COMPUTED_VALUE"""),"Talha Zahoor")</f>
        <v>Talha Zahoor</v>
      </c>
      <c r="K153" s="12" t="str">
        <f ca="1">IFERROR(__xludf.DUMMYFUNCTION("""COMPUTED_VALUE"""),"i210867")</f>
        <v>i210867</v>
      </c>
    </row>
    <row r="154" spans="1:11" ht="318.75">
      <c r="A154" s="12" t="str">
        <f ca="1">IFERROR(__xludf.DUMMYFUNCTION("""COMPUTED_VALUE"""),"F24-154-D-CommuneX")</f>
        <v>F24-154-D-CommuneX</v>
      </c>
      <c r="B154" s="13" t="str">
        <f ca="1">IFERROR(__xludf.DUMMYFUNCTION("""COMPUTED_VALUE"""),"Neighborhood and Community Automation System")</f>
        <v>Neighborhood and Community Automation System</v>
      </c>
      <c r="C154" s="14" t="str">
        <f ca="1">IFERROR(__xludf.DUMMYFUNCTION("""COMPUTED_VALUE"""),"CommunBridge is an innovative Neighborhood and Community Automation System aimed at streamlining community operations and enhancing resident engagement. By integrating cutting-edge technologies like blockchain and AI, the platform ensures secure transacti"&amp;"ons, transparent decision-making, and efficient management of community resources and activities.
Key Features:
User Authentication and Role Management: Secure registration, login, and role-based access control.
Communication and Announcements: Com"&amp;"munity announcements, private messaging, and discussion forums.
Property Management: Blockchain-secured property transactions, document storage, and AI-driven price predictions.
Maintenance and Incident Reporting: Easy submission and tracking of mainten"&amp;"ance requests and incident reports.
Event and Resource Management: Scheduling, managing community events, resource booking, and AI-powered event recommendations.
Decentralized Voting: Secure and transparent voting for community decisions using blockchai"&amp;"n.
Notifications and Alerts: Real-time push notifications, SMS, and email alerts.
Admin Dashboard: Centralized management of users, events, resources, and maintenance tasks.
Share resources and Services: It allows neighbors to share resources and offer"&amp;" or request services.")</f>
        <v>CommunBridge is an innovative Neighborhood and Community Automation System aimed at streamlining community operations and enhancing resident engagement. By integrating cutting-edge technologies like blockchain and AI, the platform ensures secure transactions, transparent decision-making, and efficient management of community resources and activities.
Key Features:
User Authentication and Role Management: Secure registration, login, and role-based access control.
Communication and Announcements: Community announcements, private messaging, and discussion forums.
Property Management: Blockchain-secured property transactions, document storage, and AI-driven price predictions.
Maintenance and Incident Reporting: Easy submission and tracking of maintenance requests and incident reports.
Event and Resource Management: Scheduling, managing community events, resource booking, and AI-powered event recommendations.
Decentralized Voting: Secure and transparent voting for community decisions using blockchain.
Notifications and Alerts: Real-time push notifications, SMS, and email alerts.
Admin Dashboard: Centralized management of users, events, resources, and maintenance tasks.
Share resources and Services: It allows neighbors to share resources and offer or request services.</v>
      </c>
      <c r="D154" s="12" t="str">
        <f ca="1">IFERROR(__xludf.DUMMYFUNCTION("""COMPUTED_VALUE"""),"Dr. Isma ul Hassan")</f>
        <v>Dr. Isma ul Hassan</v>
      </c>
      <c r="E154" s="12"/>
      <c r="F154" s="12" t="str">
        <f ca="1">IFERROR(__xludf.DUMMYFUNCTION("""COMPUTED_VALUE"""),"Sheraz Tariq")</f>
        <v>Sheraz Tariq</v>
      </c>
      <c r="G154" s="12" t="str">
        <f ca="1">IFERROR(__xludf.DUMMYFUNCTION("""COMPUTED_VALUE"""),"i211188")</f>
        <v>i211188</v>
      </c>
      <c r="H154" s="12" t="str">
        <f ca="1">IFERROR(__xludf.DUMMYFUNCTION("""COMPUTED_VALUE"""),"Umair Ahmed")</f>
        <v>Umair Ahmed</v>
      </c>
      <c r="I154" s="12" t="str">
        <f ca="1">IFERROR(__xludf.DUMMYFUNCTION("""COMPUTED_VALUE"""),"i211182")</f>
        <v>i211182</v>
      </c>
      <c r="J154" s="12" t="str">
        <f ca="1">IFERROR(__xludf.DUMMYFUNCTION("""COMPUTED_VALUE"""),"Aneeb Ur Rehman")</f>
        <v>Aneeb Ur Rehman</v>
      </c>
      <c r="K154" s="12" t="str">
        <f ca="1">IFERROR(__xludf.DUMMYFUNCTION("""COMPUTED_VALUE"""),"i201886")</f>
        <v>i201886</v>
      </c>
    </row>
    <row r="155" spans="1:11" ht="255">
      <c r="A155" s="12" t="str">
        <f ca="1">IFERROR(__xludf.DUMMYFUNCTION("""COMPUTED_VALUE"""),"F24-155-D-Syntra")</f>
        <v>F24-155-D-Syntra</v>
      </c>
      <c r="B155" s="13" t="str">
        <f ca="1">IFERROR(__xludf.DUMMYFUNCTION("""COMPUTED_VALUE"""),"Syntra: Intelligent Compliance Optimization. Streamlining and optimizing compliance processes with AI-driven insights.")</f>
        <v>Syntra: Intelligent Compliance Optimization. Streamlining and optimizing compliance processes with AI-driven insights.</v>
      </c>
      <c r="C155" s="14" t="str">
        <f ca="1">IFERROR(__xludf.DUMMYFUNCTION("""COMPUTED_VALUE"""),"Syntra is a cutting-edge compliance automation platform that harnesses the power of Large Language Models (LLM), Natural Language Processing (NLP), and Machine Learning (ML) to redefine how organizations approach compliance management. By weaving together"&amp;" advanced AI technologies, Syntra offers a sophisticated solution that adapts to various compliance needs and intricacies. It facilitates a deeper understanding of regulatory requirements through intelligent control definitions and document verification, "&amp;"while offering real-time insights and updates. Syntra’s unique ability to integrate with existing enterprise systems and tailor compliance frameworks ensures that organizations not only meet regulatory standards but also stay ahead of evolving compliance "&amp;"landscapes. With a focus on proactive support, Syntra helps organizations navigate compliance challenges with agility and foresight.
Features:
1. AI- Driven Compliance Management
2. Organizational Structure Input
3. Proactive Compliance Assistance
4. Real"&amp;"-Time Compliance Dashboard
5. Document Verification
6. Compliance reporting and auditing
7. Customizable Compliance Frameworks
8. Data Privacy and security compliance")</f>
        <v>Syntra is a cutting-edge compliance automation platform that harnesses the power of Large Language Models (LLM), Natural Language Processing (NLP), and Machine Learning (ML) to redefine how organizations approach compliance management. By weaving together advanced AI technologies, Syntra offers a sophisticated solution that adapts to various compliance needs and intricacies. It facilitates a deeper understanding of regulatory requirements through intelligent control definitions and document verification, while offering real-time insights and updates. Syntra’s unique ability to integrate with existing enterprise systems and tailor compliance frameworks ensures that organizations not only meet regulatory standards but also stay ahead of evolving compliance landscapes. With a focus on proactive support, Syntra helps organizations navigate compliance challenges with agility and foresight.
Features:
1. AI- Driven Compliance Management
2. Organizational Structure Input
3. Proactive Compliance Assistance
4. Real-Time Compliance Dashboard
5. Document Verification
6. Compliance reporting and auditing
7. Customizable Compliance Frameworks
8. Data Privacy and security compliance</v>
      </c>
      <c r="D155" s="12" t="str">
        <f ca="1">IFERROR(__xludf.DUMMYFUNCTION("""COMPUTED_VALUE"""),"Dr. Muhammad Asim")</f>
        <v>Dr. Muhammad Asim</v>
      </c>
      <c r="E155" s="12"/>
      <c r="F155" s="12" t="str">
        <f ca="1">IFERROR(__xludf.DUMMYFUNCTION("""COMPUTED_VALUE"""),"Laiba Shahid ")</f>
        <v xml:space="preserve">Laiba Shahid </v>
      </c>
      <c r="G155" s="12" t="str">
        <f ca="1">IFERROR(__xludf.DUMMYFUNCTION("""COMPUTED_VALUE"""),"i211552")</f>
        <v>i211552</v>
      </c>
      <c r="H155" s="12" t="str">
        <f ca="1">IFERROR(__xludf.DUMMYFUNCTION("""COMPUTED_VALUE"""),"Arsh Malik")</f>
        <v>Arsh Malik</v>
      </c>
      <c r="I155" s="12" t="str">
        <f ca="1">IFERROR(__xludf.DUMMYFUNCTION("""COMPUTED_VALUE"""),"i212752")</f>
        <v>i212752</v>
      </c>
      <c r="J155" s="12" t="str">
        <f ca="1">IFERROR(__xludf.DUMMYFUNCTION("""COMPUTED_VALUE"""),"Maheen Mansha ")</f>
        <v xml:space="preserve">Maheen Mansha </v>
      </c>
      <c r="K155" s="12" t="str">
        <f ca="1">IFERROR(__xludf.DUMMYFUNCTION("""COMPUTED_VALUE"""),"i211920")</f>
        <v>i211920</v>
      </c>
    </row>
    <row r="156" spans="1:11" ht="408">
      <c r="A156" s="12" t="str">
        <f ca="1">IFERROR(__xludf.DUMMYFUNCTION("""COMPUTED_VALUE"""),"F24-156-D-Empowered-AI")</f>
        <v>F24-156-D-Empowered-AI</v>
      </c>
      <c r="B156" s="13" t="str">
        <f ca="1">IFERROR(__xludf.DUMMYFUNCTION("""COMPUTED_VALUE"""),"Empowered-AI: Sense Beyond Limits")</f>
        <v>Empowered-AI: Sense Beyond Limits</v>
      </c>
      <c r="C156" s="14" t="str">
        <f ca="1">IFERROR(__xludf.DUMMYFUNCTION("""COMPUTED_VALUE"""),"Project Description:
The ""Empowered-AI"" project is a comprehensive accessibility application designed to enhance the independence and quality of life for individuals with visual impairments. The app utilizes advanced AI technologies to provide real-time"&amp;" assistance and communication support across a wide range of daily activities. By integrating features like computer vision, natural language processing, and haptic feedback, ""Empowered-AI"" aims to bridge communication barriers and make everyday tasks m"&amp;"ore accessible. The app's scope includes providing essential tools for users to navigate their surroundings, communicate effectively, and perform routine tasks with greater ease and confidence.
 Key Features:
1. Computer Vision for Object and Text Recogn"&amp;"ition: Identifies objects and reads text aloud to visually impaired users.
2. Scene Label to Text Generation: Identifies the scene labels from the environment and generates the text description for the user
3. Facial and Emotion Recognition: Helps users i"&amp;"dentify people and understand their emotional expressions.
4. Text-to-Speech (TTS) : Converts generated text to speech for blind users.
5. Voice Command and Control: Allows hands-free operation through voice commands, enhancing accessibility.
6. Remote As"&amp;"sistance: Provides real-time support from interpreters or trusted contacts.
7. Haptic Feedback: Uses vibrations or tactile patterns to convey information and alerts to users.
8. Emergency Assistance Features: Automatically notifies emergency contacts and "&amp;"shares the user's location in critical situations.
9. Customizable User Interface: Allows users to tailor the app's settings and functionalities to meet their specific needs and preferences.
Optional Features:
10. Sign Language Recognition &amp; Text-to-Spee"&amp;"ch (TTS) : Translates sign language gestures into spoken or written language for hearing-impaired users and Speech to Text (STT) for hearing and speaking impaired people.")</f>
        <v>Project Description:
The "Empowered-AI" project is a comprehensive accessibility application designed to enhance the independence and quality of life for individuals with visual impairments. The app utilizes advanced AI technologies to provide real-time assistance and communication support across a wide range of daily activities. By integrating features like computer vision, natural language processing, and haptic feedback, "Empowered-AI" aims to bridge communication barriers and make everyday tasks more accessible. The app's scope includes providing essential tools for users to navigate their surroundings, communicate effectively, and perform routine tasks with greater ease and confidence.
 Key Features:
1. Computer Vision for Object and Text Recognition: Identifies objects and reads text aloud to visually impaired users.
2. Scene Label to Text Generation: Identifies the scene labels from the environment and generates the text description for the user
3. Facial and Emotion Recognition: Helps users identify people and understand their emotional expressions.
4. Text-to-Speech (TTS) : Converts generated text to speech for blind users.
5. Voice Command and Control: Allows hands-free operation through voice commands, enhancing accessibility.
6. Remote Assistance: Provides real-time support from interpreters or trusted contacts.
7. Haptic Feedback: Uses vibrations or tactile patterns to convey information and alerts to users.
8. Emergency Assistance Features: Automatically notifies emergency contacts and shares the user's location in critical situations.
9. Customizable User Interface: Allows users to tailor the app's settings and functionalities to meet their specific needs and preferences.
Optional Features:
10. Sign Language Recognition &amp; Text-to-Speech (TTS) : Translates sign language gestures into spoken or written language for hearing-impaired users and Speech to Text (STT) for hearing and speaking impaired people.</v>
      </c>
      <c r="D156" s="12" t="str">
        <f ca="1">IFERROR(__xludf.DUMMYFUNCTION("""COMPUTED_VALUE"""),"Dr. Usman Habib")</f>
        <v>Dr. Usman Habib</v>
      </c>
      <c r="E156" s="12" t="str">
        <f ca="1">IFERROR(__xludf.DUMMYFUNCTION("""COMPUTED_VALUE"""),"Dr. Usman Haider")</f>
        <v>Dr. Usman Haider</v>
      </c>
      <c r="F156" s="12" t="str">
        <f ca="1">IFERROR(__xludf.DUMMYFUNCTION("""COMPUTED_VALUE"""),"Muhammad Abdul Wasay")</f>
        <v>Muhammad Abdul Wasay</v>
      </c>
      <c r="G156" s="12" t="str">
        <f ca="1">IFERROR(__xludf.DUMMYFUNCTION("""COMPUTED_VALUE"""),"i210834")</f>
        <v>i210834</v>
      </c>
      <c r="H156" s="12" t="str">
        <f ca="1">IFERROR(__xludf.DUMMYFUNCTION("""COMPUTED_VALUE"""),"Hamza Tariq")</f>
        <v>Hamza Tariq</v>
      </c>
      <c r="I156" s="12" t="str">
        <f ca="1">IFERROR(__xludf.DUMMYFUNCTION("""COMPUTED_VALUE"""),"i210707")</f>
        <v>i210707</v>
      </c>
      <c r="J156" s="12" t="str">
        <f ca="1">IFERROR(__xludf.DUMMYFUNCTION("""COMPUTED_VALUE"""),"Hassan Abbas")</f>
        <v>Hassan Abbas</v>
      </c>
      <c r="K156" s="12" t="str">
        <f ca="1">IFERROR(__xludf.DUMMYFUNCTION("""COMPUTED_VALUE"""),"i210507")</f>
        <v>i210507</v>
      </c>
    </row>
    <row r="157" spans="1:11" ht="408">
      <c r="A157" s="12" t="str">
        <f ca="1">IFERROR(__xludf.DUMMYFUNCTION("""COMPUTED_VALUE"""),"F24-157-R-FontFusion")</f>
        <v>F24-157-R-FontFusion</v>
      </c>
      <c r="B157" s="13" t="str">
        <f ca="1">IFERROR(__xludf.DUMMYFUNCTION("""COMPUTED_VALUE"""),"Comparison of Raster Fonts and OTF/TTF")</f>
        <v>Comparison of Raster Fonts and OTF/TTF</v>
      </c>
      <c r="C157" s="14" t="str">
        <f ca="1">IFERROR(__xludf.DUMMYFUNCTION("""COMPUTED_VALUE"""),"FontFusion is a R&amp;D project that uses AI and machine learning to change the way we work with digital fonts. This web application will let users compare and analyze both raster (bitmap) and vector-based (OTF/TTF) fonts. It will provide detailed metrics, ad"&amp;"vanced vectorization, and interactive visual previews. By offering accurate comparisons and insights into font structure, scalability, and quality, it aims to set new standards in font technology and offer useful tools for designers, typographers, and tec"&amp;"h professionals.
Features:
Bitmap Analysis: Examine raster fonts to understand their structure and limitations by analyzing and extracting key metrics.
Vectorization for Comparison: Convert raster fonts into vector formats to compare them with OTF/TTF fo"&amp;"nts easily.
Metrics Extraction: Extract and compare font metrics, including kerning, baseline, and glyph shapes, for both raster and vector fonts.
Preview Functionality: Provide side-by-side previews of raster and vector fonts so users can visually compar"&amp;"e quality and scalability.
Images as Input: Allow users to upload images with text (raster), analyze the text within those images, and then compare it with selected fonts.
Research-Oriented Features:
Advanced Font Classification: Use AI to classify and c"&amp;"ategorize fonts based on their structure and appearance for more accurate comparisons.
Font Performance Analysis: Evaluate how different fonts perform in different digital settings, focusing on factors like rendering speed, memory usage, and readability.
"&amp;"Historical Font Study: Explore how fonts have evolved over time, tracing and recording the development of both raster and vector fonts and their influence on digital typography.
Data Preparation:
Image Data Preprocessing: Develop a robust preprocessing p"&amp;"ipeline to handle the image data provided by the collaborating company. This will involve cleaning up noise, separating text from backgrounds, and standardizing resolution, ensuring the images are optimized for accurate analysis and comparison within the "&amp;"application.")</f>
        <v>FontFusion is a R&amp;D project that uses AI and machine learning to change the way we work with digital fonts. This web application will let users compare and analyze both raster (bitmap) and vector-based (OTF/TTF) fonts. It will provide detailed metrics, advanced vectorization, and interactive visual previews. By offering accurate comparisons and insights into font structure, scalability, and quality, it aims to set new standards in font technology and offer useful tools for designers, typographers, and tech professionals.
Features:
Bitmap Analysis: Examine raster fonts to understand their structure and limitations by analyzing and extracting key metrics.
Vectorization for Comparison: Convert raster fonts into vector formats to compare them with OTF/TTF fonts easily.
Metrics Extraction: Extract and compare font metrics, including kerning, baseline, and glyph shapes, for both raster and vector fonts.
Preview Functionality: Provide side-by-side previews of raster and vector fonts so users can visually compare quality and scalability.
Images as Input: Allow users to upload images with text (raster), analyze the text within those images, and then compare it with selected fonts.
Research-Oriented Features:
Advanced Font Classification: Use AI to classify and categorize fonts based on their structure and appearance for more accurate comparisons.
Font Performance Analysis: Evaluate how different fonts perform in different digital settings, focusing on factors like rendering speed, memory usage, and readability.
Historical Font Study: Explore how fonts have evolved over time, tracing and recording the development of both raster and vector fonts and their influence on digital typography.
Data Preparation:
Image Data Preprocessing: Develop a robust preprocessing pipeline to handle the image data provided by the collaborating company. This will involve cleaning up noise, separating text from backgrounds, and standardizing resolution, ensuring the images are optimized for accurate analysis and comparison within the application.</v>
      </c>
      <c r="D157" s="12" t="str">
        <f ca="1">IFERROR(__xludf.DUMMYFUNCTION("""COMPUTED_VALUE"""),"Dr. Hasan Mujtaba")</f>
        <v>Dr. Hasan Mujtaba</v>
      </c>
      <c r="E157" s="12" t="str">
        <f ca="1">IFERROR(__xludf.DUMMYFUNCTION("""COMPUTED_VALUE"""),"Ms. Zonera Anjum")</f>
        <v>Ms. Zonera Anjum</v>
      </c>
      <c r="F157" s="12" t="str">
        <f ca="1">IFERROR(__xludf.DUMMYFUNCTION("""COMPUTED_VALUE"""),"Alishba Nadeem")</f>
        <v>Alishba Nadeem</v>
      </c>
      <c r="G157" s="12" t="str">
        <f ca="1">IFERROR(__xludf.DUMMYFUNCTION("""COMPUTED_VALUE"""),"i210879")</f>
        <v>i210879</v>
      </c>
      <c r="H157" s="12" t="str">
        <f ca="1">IFERROR(__xludf.DUMMYFUNCTION("""COMPUTED_VALUE"""),"Hareem Sherjeel")</f>
        <v>Hareem Sherjeel</v>
      </c>
      <c r="I157" s="12" t="str">
        <f ca="1">IFERROR(__xludf.DUMMYFUNCTION("""COMPUTED_VALUE"""),"i210783")</f>
        <v>i210783</v>
      </c>
      <c r="J157" s="12" t="str">
        <f ca="1">IFERROR(__xludf.DUMMYFUNCTION("""COMPUTED_VALUE"""),"Amna Aiman")</f>
        <v>Amna Aiman</v>
      </c>
      <c r="K157" s="12" t="str">
        <f ca="1">IFERROR(__xludf.DUMMYFUNCTION("""COMPUTED_VALUE"""),"i212743")</f>
        <v>i212743</v>
      </c>
    </row>
    <row r="158" spans="1:11" ht="216.75">
      <c r="A158" s="12" t="str">
        <f ca="1">IFERROR(__xludf.DUMMYFUNCTION("""COMPUTED_VALUE"""),"F24-158-R-CryptoTradeBot")</f>
        <v>F24-158-R-CryptoTradeBot</v>
      </c>
      <c r="B158" s="13" t="str">
        <f ca="1">IFERROR(__xludf.DUMMYFUNCTION("""COMPUTED_VALUE"""),"Crypto Currency price prediction using sentimental and technical analysis")</f>
        <v>Crypto Currency price prediction using sentimental and technical analysis</v>
      </c>
      <c r="C158" s="14" t="str">
        <f ca="1">IFERROR(__xludf.DUMMYFUNCTION("""COMPUTED_VALUE"""),"Project Description
The AI Trading Bot for Crypto is an advanced automated trading system that utilizes real-time sentiment analysis from social media and technical analysis from market data to execute trades. Integrating with brokers like Binance or OKX,"&amp;" the bot aims for rapid and precise trading decisions by avoiding lagging indicators. The project focuses on developing algorithms for analysis, integrating APIs for live data, and creating a seamless trading interface.
Features
1. Real-time Sentiment Ana"&amp;"lysis: Analyzes sentiment from social media like Twitter.
2. Technical Analysis: Assesses market data including price, volume, and open interest.
3. API Integration: Connects with broker platforms such as Binance or OKX.
4. Automated Trade Execution: Exec"&amp;"utes trades automatically based on analysis.
5. Customizable Strategies: Enables users to adjust trading strategies.
6. Risk Management: Includes stop-loss and take-profit features.
7. User Profile and Dashboard: Displays live charts and sentiment analysi"&amp;"s results.
8. Trading Journal Bot: Tracks trade details including total trades, profits, losses, cancellations, win rate, and Return of Investment.
")</f>
        <v xml:space="preserve">Project Description
The AI Trading Bot for Crypto is an advanced automated trading system that utilizes real-time sentiment analysis from social media and technical analysis from market data to execute trades. Integrating with brokers like Binance or OKX, the bot aims for rapid and precise trading decisions by avoiding lagging indicators. The project focuses on developing algorithms for analysis, integrating APIs for live data, and creating a seamless trading interface.
Features
1. Real-time Sentiment Analysis: Analyzes sentiment from social media like Twitter.
2. Technical Analysis: Assesses market data including price, volume, and open interest.
3. API Integration: Connects with broker platforms such as Binance or OKX.
4. Automated Trade Execution: Executes trades automatically based on analysis.
5. Customizable Strategies: Enables users to adjust trading strategies.
6. Risk Management: Includes stop-loss and take-profit features.
7. User Profile and Dashboard: Displays live charts and sentiment analysis results.
8. Trading Journal Bot: Tracks trade details including total trades, profits, losses, cancellations, win rate, and Return of Investment.
</v>
      </c>
      <c r="D158" s="12" t="str">
        <f ca="1">IFERROR(__xludf.DUMMYFUNCTION("""COMPUTED_VALUE"""),"Dr. Syed Qaiser Ali Shah")</f>
        <v>Dr. Syed Qaiser Ali Shah</v>
      </c>
      <c r="E158" s="12" t="str">
        <f ca="1">IFERROR(__xludf.DUMMYFUNCTION("""COMPUTED_VALUE"""),"Mr. Pir Sami Ullah Shah")</f>
        <v>Mr. Pir Sami Ullah Shah</v>
      </c>
      <c r="F158" s="12" t="str">
        <f ca="1">IFERROR(__xludf.DUMMYFUNCTION("""COMPUTED_VALUE"""),"Ghulam Mohiuddin")</f>
        <v>Ghulam Mohiuddin</v>
      </c>
      <c r="G158" s="12" t="str">
        <f ca="1">IFERROR(__xludf.DUMMYFUNCTION("""COMPUTED_VALUE"""),"i211130")</f>
        <v>i211130</v>
      </c>
      <c r="H158" s="12" t="str">
        <f ca="1">IFERROR(__xludf.DUMMYFUNCTION("""COMPUTED_VALUE"""),"Taimoor Anwar")</f>
        <v>Taimoor Anwar</v>
      </c>
      <c r="I158" s="12" t="str">
        <f ca="1">IFERROR(__xludf.DUMMYFUNCTION("""COMPUTED_VALUE"""),"i211232")</f>
        <v>i211232</v>
      </c>
      <c r="J158" s="12" t="str">
        <f ca="1">IFERROR(__xludf.DUMMYFUNCTION("""COMPUTED_VALUE"""),"Abdul Rehman Azam")</f>
        <v>Abdul Rehman Azam</v>
      </c>
      <c r="K158" s="12" t="str">
        <f ca="1">IFERROR(__xludf.DUMMYFUNCTION("""COMPUTED_VALUE"""),"i211133")</f>
        <v>i211133</v>
      </c>
    </row>
    <row r="159" spans="1:11" ht="318.75">
      <c r="A159" s="12" t="str">
        <f ca="1">IFERROR(__xludf.DUMMYFUNCTION("""COMPUTED_VALUE"""),"F24-159-D-HumRahi")</f>
        <v>F24-159-D-HumRahi</v>
      </c>
      <c r="B159" s="13" t="str">
        <f ca="1">IFERROR(__xludf.DUMMYFUNCTION("""COMPUTED_VALUE"""),"HumRahi - A smart carpooling app designed to connect users for shared rides, promoting cost savings and environmental benefits.")</f>
        <v>HumRahi - A smart carpooling app designed to connect users for shared rides, promoting cost savings and environmental benefits.</v>
      </c>
      <c r="C159" s="14" t="str">
        <f ca="1">IFERROR(__xludf.DUMMYFUNCTION("""COMPUTED_VALUE"""),"HumRahi is a Carpooling App designed to connect users for shared rides, promoting cost savings and environmental benefits. It features user registration, trip creation and matching, real-time tracking, in-app communication, and secure payment options. Thi"&amp;"s app also includes a behavior score system for moderating users and a rating system to ensure a safe and reliable carpooling experience. With intuitive notifications and alerts, users stay informed about trip updates and matches.  
Key features:
User Re"&amp;"gistration &amp; Profiles: Secure sign-up/login, user profiles with personal details and vehicle information.
Trip Creation &amp; Matching: Allow users to create and view carpooling trips, match with nearby users based on routes and schedules.
Real-Time Trackin"&amp;"g: Provide live tracking of vehicles and estimated arrival times.
In-App Communication: Enable messaging between riders and drivers for coordination.
Payment Integration: Support for fare splitting and secure payments through the app.
Ratings &amp; Reviews: "&amp;"Allow users to rate and review drivers and passengers to ensure safety and reliability.
Notifications &amp; Alerts: Notify users about trip updates, new matches, and reminders.
Behavior Score:  Moderate users and provide security and accountability by assig"&amp;"ning scores to users based on their usage and actions.")</f>
        <v>HumRahi is a Carpooling App designed to connect users for shared rides, promoting cost savings and environmental benefits. It features user registration, trip creation and matching, real-time tracking, in-app communication, and secure payment options. This app also includes a behavior score system for moderating users and a rating system to ensure a safe and reliable carpooling experience. With intuitive notifications and alerts, users stay informed about trip updates and matches.  
Key features:
User Registration &amp; Profiles: Secure sign-up/login, user profiles with personal details and vehicle information.
Trip Creation &amp; Matching: Allow users to create and view carpooling trips, match with nearby users based on routes and schedules.
Real-Time Tracking: Provide live tracking of vehicles and estimated arrival times.
In-App Communication: Enable messaging between riders and drivers for coordination.
Payment Integration: Support for fare splitting and secure payments through the app.
Ratings &amp; Reviews: Allow users to rate and review drivers and passengers to ensure safety and reliability.
Notifications &amp; Alerts: Notify users about trip updates, new matches, and reminders.
Behavior Score:  Moderate users and provide security and accountability by assigning scores to users based on their usage and actions.</v>
      </c>
      <c r="D159" s="12" t="str">
        <f ca="1">IFERROR(__xludf.DUMMYFUNCTION("""COMPUTED_VALUE"""),"Mr. M. Aadil Ur Rehman")</f>
        <v>Mr. M. Aadil Ur Rehman</v>
      </c>
      <c r="E159" s="12"/>
      <c r="F159" s="12" t="str">
        <f ca="1">IFERROR(__xludf.DUMMYFUNCTION("""COMPUTED_VALUE"""),"Muaz Elahi")</f>
        <v>Muaz Elahi</v>
      </c>
      <c r="G159" s="12" t="str">
        <f ca="1">IFERROR(__xludf.DUMMYFUNCTION("""COMPUTED_VALUE"""),"i210718")</f>
        <v>i210718</v>
      </c>
      <c r="H159" s="12" t="str">
        <f ca="1">IFERROR(__xludf.DUMMYFUNCTION("""COMPUTED_VALUE"""),"Talha Hassan")</f>
        <v>Talha Hassan</v>
      </c>
      <c r="I159" s="12" t="str">
        <f ca="1">IFERROR(__xludf.DUMMYFUNCTION("""COMPUTED_VALUE"""),"i210532")</f>
        <v>i210532</v>
      </c>
      <c r="J159" s="12" t="str">
        <f ca="1">IFERROR(__xludf.DUMMYFUNCTION("""COMPUTED_VALUE"""),"Hassan Siddique")</f>
        <v>Hassan Siddique</v>
      </c>
      <c r="K159" s="12" t="str">
        <f ca="1">IFERROR(__xludf.DUMMYFUNCTION("""COMPUTED_VALUE"""),"i212967")</f>
        <v>i212967</v>
      </c>
    </row>
    <row r="160" spans="1:11" ht="153">
      <c r="A160" s="12" t="str">
        <f ca="1">IFERROR(__xludf.DUMMYFUNCTION("""COMPUTED_VALUE"""),"F24-160-D-SentinelAI")</f>
        <v>F24-160-D-SentinelAI</v>
      </c>
      <c r="B160" s="13" t="str">
        <f ca="1">IFERROR(__xludf.DUMMYFUNCTION("""COMPUTED_VALUE"""),"Sentinel AI :AI-Driven Surveillance with Smart Notifications and Automated Emergency Calls")</f>
        <v>Sentinel AI :AI-Driven Surveillance with Smart Notifications and Automated Emergency Calls</v>
      </c>
      <c r="C160" s="14" t="str">
        <f ca="1">IFERROR(__xludf.DUMMYFUNCTION("""COMPUTED_VALUE"""),"An AI system that can be deployed as SAAS product on already in use CCTV camera network to provide the users with smart notifications along with an AI caller to contact emergency services on their behalf taking a step towards a cost efficient security. 
"&amp;"1.Intrusion Detection
2.Firearm Detection
3.Fire Detection
4.Behavirol Anomaly Detection
5.Fall Detection
6.Banned Personnel Detection
7.AI caller/informer
8.Number Plate Recognition")</f>
        <v>An AI system that can be deployed as SAAS product on already in use CCTV camera network to provide the users with smart notifications along with an AI caller to contact emergency services on their behalf taking a step towards a cost efficient security. 
1.Intrusion Detection
2.Firearm Detection
3.Fire Detection
4.Behavirol Anomaly Detection
5.Fall Detection
6.Banned Personnel Detection
7.AI caller/informer
8.Number Plate Recognition</v>
      </c>
      <c r="D160" s="12" t="str">
        <f ca="1">IFERROR(__xludf.DUMMYFUNCTION("""COMPUTED_VALUE"""),"Mr. Ahmad Raza")</f>
        <v>Mr. Ahmad Raza</v>
      </c>
      <c r="E160" s="12" t="str">
        <f ca="1">IFERROR(__xludf.DUMMYFUNCTION("""COMPUTED_VALUE"""),"Ms. Ayesha Marriyam")</f>
        <v>Ms. Ayesha Marriyam</v>
      </c>
      <c r="F160" s="12" t="str">
        <f ca="1">IFERROR(__xludf.DUMMYFUNCTION("""COMPUTED_VALUE"""),"Sarib Ali")</f>
        <v>Sarib Ali</v>
      </c>
      <c r="G160" s="12" t="str">
        <f ca="1">IFERROR(__xludf.DUMMYFUNCTION("""COMPUTED_VALUE"""),"i210283")</f>
        <v>i210283</v>
      </c>
      <c r="H160" s="12" t="str">
        <f ca="1">IFERROR(__xludf.DUMMYFUNCTION("""COMPUTED_VALUE"""),"Abdullah Shahid")</f>
        <v>Abdullah Shahid</v>
      </c>
      <c r="I160" s="12" t="str">
        <f ca="1">IFERROR(__xludf.DUMMYFUNCTION("""COMPUTED_VALUE"""),"i210326")</f>
        <v>i210326</v>
      </c>
      <c r="J160" s="12" t="str">
        <f ca="1">IFERROR(__xludf.DUMMYFUNCTION("""COMPUTED_VALUE"""),"Ibrahim Abid")</f>
        <v>Ibrahim Abid</v>
      </c>
      <c r="K160" s="12" t="str">
        <f ca="1">IFERROR(__xludf.DUMMYFUNCTION("""COMPUTED_VALUE"""),"i210298")</f>
        <v>i210298</v>
      </c>
    </row>
    <row r="161" spans="1:11" ht="306">
      <c r="A161" s="12" t="str">
        <f ca="1">IFERROR(__xludf.DUMMYFUNCTION("""COMPUTED_VALUE"""),"F24-161-D-VirtuLectra")</f>
        <v>F24-161-D-VirtuLectra</v>
      </c>
      <c r="B161" s="13" t="str">
        <f ca="1">IFERROR(__xludf.DUMMYFUNCTION("""COMPUTED_VALUE"""),"VirtuLectra")</f>
        <v>VirtuLectra</v>
      </c>
      <c r="C161" s="14" t="str">
        <f ca="1">IFERROR(__xludf.DUMMYFUNCTION("""COMPUTED_VALUE"""),"Overview:
In today's educational landscape, the challenge for teachers to cater to the individual needs of every student is growing alongside their workload of creating and managing learning materials. Students, on the other hand, increasingly require a p"&amp;"ersonalized learning experience that addresses their unique weaknesses, strengths, learning pace, and prior knowledge. 
To address these challenges, our project, VirtuLectra, is designed to empower teachers by significantly reducing their workload through"&amp;" automation and enhancing their teaching capabilities with advanced tools. VirtuLectra allows teachers to create a dynamic and interactive learning environment that adapts to each student's needs, something that would be nearly impossible for a single tea"&amp;"cher to accomplish manually. By integrating AI-driven live lectures, content generation, real-time analytics, and a user-friendly interface, the platform ensures a seamless and natural learning experience for both educators and students.
Main Features:
R"&amp;"eal-time teacher’s avatar generation for a more engaging and interactive experience.
Natural, conversational voice exchanges for realistic lecture experience.
Pre-emptive Q&amp;A sessions to address student queries efficiently.
Monitoring tools to track stude"&amp;"nt engagement and attention levels.
Automatic generation of lecture slides for live presentation.
Tailored assignments and quizzes that align with the course material.
Adaptive learning paths that adjust based on student performance and engagement.
Web po"&amp;"rtal for teachers and students to access all functionalities in one place.
")</f>
        <v xml:space="preserve">Overview:
In today's educational landscape, the challenge for teachers to cater to the individual needs of every student is growing alongside their workload of creating and managing learning materials. Students, on the other hand, increasingly require a personalized learning experience that addresses their unique weaknesses, strengths, learning pace, and prior knowledge. 
To address these challenges, our project, VirtuLectra, is designed to empower teachers by significantly reducing their workload through automation and enhancing their teaching capabilities with advanced tools. VirtuLectra allows teachers to create a dynamic and interactive learning environment that adapts to each student's needs, something that would be nearly impossible for a single teacher to accomplish manually. By integrating AI-driven live lectures, content generation, real-time analytics, and a user-friendly interface, the platform ensures a seamless and natural learning experience for both educators and students.
Main Features:
Real-time teacher’s avatar generation for a more engaging and interactive experience.
Natural, conversational voice exchanges for realistic lecture experience.
Pre-emptive Q&amp;A sessions to address student queries efficiently.
Monitoring tools to track student engagement and attention levels.
Automatic generation of lecture slides for live presentation.
Tailored assignments and quizzes that align with the course material.
Adaptive learning paths that adjust based on student performance and engagement.
Web portal for teachers and students to access all functionalities in one place.
</v>
      </c>
      <c r="D161" s="12" t="str">
        <f ca="1">IFERROR(__xludf.DUMMYFUNCTION("""COMPUTED_VALUE"""),"Dr. Shahela Saif")</f>
        <v>Dr. Shahela Saif</v>
      </c>
      <c r="E161" s="12"/>
      <c r="F161" s="12" t="str">
        <f ca="1">IFERROR(__xludf.DUMMYFUNCTION("""COMPUTED_VALUE"""),"Moiz Akhtar")</f>
        <v>Moiz Akhtar</v>
      </c>
      <c r="G161" s="12" t="str">
        <f ca="1">IFERROR(__xludf.DUMMYFUNCTION("""COMPUTED_VALUE"""),"i211104")</f>
        <v>i211104</v>
      </c>
      <c r="H161" s="12" t="str">
        <f ca="1">IFERROR(__xludf.DUMMYFUNCTION("""COMPUTED_VALUE"""),"Muhammad Abdullah")</f>
        <v>Muhammad Abdullah</v>
      </c>
      <c r="I161" s="12" t="str">
        <f ca="1">IFERROR(__xludf.DUMMYFUNCTION("""COMPUTED_VALUE"""),"i211215")</f>
        <v>i211215</v>
      </c>
      <c r="J161" s="12" t="str">
        <f ca="1">IFERROR(__xludf.DUMMYFUNCTION("""COMPUTED_VALUE"""),"Musa Haroon Satti")</f>
        <v>Musa Haroon Satti</v>
      </c>
      <c r="K161" s="12" t="str">
        <f ca="1">IFERROR(__xludf.DUMMYFUNCTION("""COMPUTED_VALUE"""),"i211206")</f>
        <v>i211206</v>
      </c>
    </row>
    <row r="162" spans="1:11" ht="216.75">
      <c r="A162" s="12" t="str">
        <f ca="1">IFERROR(__xludf.DUMMYFUNCTION("""COMPUTED_VALUE"""),"F24-162-R-ResQ")</f>
        <v>F24-162-R-ResQ</v>
      </c>
      <c r="B162" s="13" t="str">
        <f ca="1">IFERROR(__xludf.DUMMYFUNCTION("""COMPUTED_VALUE"""),"A robot designed to save lives")</f>
        <v>A robot designed to save lives</v>
      </c>
      <c r="C162" s="14" t="str">
        <f ca="1">IFERROR(__xludf.DUMMYFUNCTION("""COMPUTED_VALUE"""),"Our project is focused on transforming search and rescue operations by deploying a sophisticated swarm of autonomous robots. These robots utilize cutting-edge generative AI and deep learning technologies to significantly improve the speed and accuracy of "&amp;"locating survivors in disaster scenarios. The system leverages swarm intelligence to ensure thorough area coverage, real-time object detection, and effective obstacle avoidance. Through advanced communication protocols and adaptable designs, the project a"&amp;"ims to reduce the risks faced by human rescuers and enhance overall rescue effectiveness. This initiative marks a pioneering advancement in robotics and emergency response, with the potential to save lives and redefine rescue operations on a global scale."&amp;"
1.Swarm Intelligence
2.Generative AI Integration
3.Real-Time Object Detection
4.Deep Learning Algorithms
5.Obstacle Avoidance
6.Autonomous Operation
7.Comprehensive Area Coverage
8.Risk Reduction
")</f>
        <v xml:space="preserve">Our project is focused on transforming search and rescue operations by deploying a sophisticated swarm of autonomous robots. These robots utilize cutting-edge generative AI and deep learning technologies to significantly improve the speed and accuracy of locating survivors in disaster scenarios. The system leverages swarm intelligence to ensure thorough area coverage, real-time object detection, and effective obstacle avoidance. Through advanced communication protocols and adaptable designs, the project aims to reduce the risks faced by human rescuers and enhance overall rescue effectiveness. This initiative marks a pioneering advancement in robotics and emergency response, with the potential to save lives and redefine rescue operations on a global scale.
1.Swarm Intelligence
2.Generative AI Integration
3.Real-Time Object Detection
4.Deep Learning Algorithms
5.Obstacle Avoidance
6.Autonomous Operation
7.Comprehensive Area Coverage
8.Risk Reduction
</v>
      </c>
      <c r="D162" s="12" t="str">
        <f ca="1">IFERROR(__xludf.DUMMYFUNCTION("""COMPUTED_VALUE"""),"Dr. Ahmad Din")</f>
        <v>Dr. Ahmad Din</v>
      </c>
      <c r="E162" s="12"/>
      <c r="F162" s="12" t="str">
        <f ca="1">IFERROR(__xludf.DUMMYFUNCTION("""COMPUTED_VALUE"""),"Hadiya faisal")</f>
        <v>Hadiya faisal</v>
      </c>
      <c r="G162" s="12" t="str">
        <f ca="1">IFERROR(__xludf.DUMMYFUNCTION("""COMPUTED_VALUE"""),"i211502")</f>
        <v>i211502</v>
      </c>
      <c r="H162" s="12" t="str">
        <f ca="1">IFERROR(__xludf.DUMMYFUNCTION("""COMPUTED_VALUE"""),"Aimen Asad")</f>
        <v>Aimen Asad</v>
      </c>
      <c r="I162" s="12" t="str">
        <f ca="1">IFERROR(__xludf.DUMMYFUNCTION("""COMPUTED_VALUE"""),"i211505")</f>
        <v>i211505</v>
      </c>
      <c r="J162" s="12" t="str">
        <f ca="1">IFERROR(__xludf.DUMMYFUNCTION("""COMPUTED_VALUE"""),"Bareera Fatima")</f>
        <v>Bareera Fatima</v>
      </c>
      <c r="K162" s="12" t="str">
        <f ca="1">IFERROR(__xludf.DUMMYFUNCTION("""COMPUTED_VALUE"""),"i211530")</f>
        <v>i211530</v>
      </c>
    </row>
    <row r="163" spans="1:11" ht="395.25">
      <c r="A163" s="12" t="str">
        <f ca="1">IFERROR(__xludf.DUMMYFUNCTION("""COMPUTED_VALUE"""),"F24-163-R-AutoMorph")</f>
        <v>F24-163-R-AutoMorph</v>
      </c>
      <c r="B163" s="13" t="str">
        <f ca="1">IFERROR(__xludf.DUMMYFUNCTION("""COMPUTED_VALUE"""),"AutoMorph: AI-Driven Synthetic Driver Data Enrichment for Enhanced Detection Systems")</f>
        <v>AutoMorph: AI-Driven Synthetic Driver Data Enrichment for Enhanced Detection Systems</v>
      </c>
      <c r="C163" s="14" t="str">
        <f ca="1">IFERROR(__xludf.DUMMYFUNCTION("""COMPUTED_VALUE"""),"Objective: Leverage diffusion models to modify existing driver images for better detection of safety violations in Driver Management Systems.
Focus Areas:
1) Realistic Data Modification: Enhance training robustness using diffusion models by incorporating"&amp;" long tail classes.
2) Behavioral Augmentation: Simulate scenarios like yawning, eating, and smoking.
3) Advanced Image Manipulation: Employ diffusion-based inpainting and text-to-image guidance.
Key Features:
1) Behavior-Specific Image Modification: Tar"&amp;"get drowsiness and distracted driving behaviors.
2) Inpainting Solutions: Integrate new behaviors into existing images seamlessly.
3) Text-to-Image Generation: Increase dataset versatility with natural language prompts.
4) Interactive Functionality: Enabl"&amp;"e precise modifications with visual feedback.
Applications:
1) Enhanced Safety Violation Detection: Improve systems for detecting safety violations.
2) Real-World Applicability: Validate model performance against actual driving scenarios.
Research and D"&amp;"ata Sources:
1) Public Driver Dataset: Utilize the Vicomtech Driver Monitoring Dataset.
2) Relevant Research: Incorporate diffusion model findings and synthetic data applications.
Front-End Application:
1) Visualization and Interaction: Develop a UI to s"&amp;"how impact on detection systems.
Expected Outcomes:
1) Scalable and Realistic Data Modification: Minimize new data collection needs.
2) Industry Impact: Enhance driver monitoring technology for commercial and personal vehicles.
")</f>
        <v xml:space="preserve">Objective: Leverage diffusion models to modify existing driver images for better detection of safety violations in Driver Management Systems.
Focus Areas:
1) Realistic Data Modification: Enhance training robustness using diffusion models by incorporating long tail classes.
2) Behavioral Augmentation: Simulate scenarios like yawning, eating, and smoking.
3) Advanced Image Manipulation: Employ diffusion-based inpainting and text-to-image guidance.
Key Features:
1) Behavior-Specific Image Modification: Target drowsiness and distracted driving behaviors.
2) Inpainting Solutions: Integrate new behaviors into existing images seamlessly.
3) Text-to-Image Generation: Increase dataset versatility with natural language prompts.
4) Interactive Functionality: Enable precise modifications with visual feedback.
Applications:
1) Enhanced Safety Violation Detection: Improve systems for detecting safety violations.
2) Real-World Applicability: Validate model performance against actual driving scenarios.
Research and Data Sources:
1) Public Driver Dataset: Utilize the Vicomtech Driver Monitoring Dataset.
2) Relevant Research: Incorporate diffusion model findings and synthetic data applications.
Front-End Application:
1) Visualization and Interaction: Develop a UI to show impact on detection systems.
Expected Outcomes:
1) Scalable and Realistic Data Modification: Minimize new data collection needs.
2) Industry Impact: Enhance driver monitoring technology for commercial and personal vehicles.
</v>
      </c>
      <c r="D163" s="12" t="str">
        <f ca="1">IFERROR(__xludf.DUMMYFUNCTION("""COMPUTED_VALUE"""),"Dr. Asif Naeem")</f>
        <v>Dr. Asif Naeem</v>
      </c>
      <c r="E163" s="12" t="str">
        <f ca="1">IFERROR(__xludf.DUMMYFUNCTION("""COMPUTED_VALUE"""),"Mr. Muhammad Aamir Gulzar")</f>
        <v>Mr. Muhammad Aamir Gulzar</v>
      </c>
      <c r="F163" s="12" t="str">
        <f ca="1">IFERROR(__xludf.DUMMYFUNCTION("""COMPUTED_VALUE"""),"Syed Haider Naqvi")</f>
        <v>Syed Haider Naqvi</v>
      </c>
      <c r="G163" s="12" t="str">
        <f ca="1">IFERROR(__xludf.DUMMYFUNCTION("""COMPUTED_VALUE"""),"i200816")</f>
        <v>i200816</v>
      </c>
      <c r="H163" s="12" t="str">
        <f ca="1">IFERROR(__xludf.DUMMYFUNCTION("""COMPUTED_VALUE"""),"Sarim Aeyzaz")</f>
        <v>Sarim Aeyzaz</v>
      </c>
      <c r="I163" s="12" t="str">
        <f ca="1">IFERROR(__xludf.DUMMYFUNCTION("""COMPUTED_VALUE"""),"i210328")</f>
        <v>i210328</v>
      </c>
      <c r="J163" s="12"/>
      <c r="K163" s="12"/>
    </row>
    <row r="164" spans="1:11" ht="229.5">
      <c r="A164" s="12" t="str">
        <f ca="1">IFERROR(__xludf.DUMMYFUNCTION("""COMPUTED_VALUE"""),"F24-164-D-Salon360")</f>
        <v>F24-164-D-Salon360</v>
      </c>
      <c r="B164" s="13" t="str">
        <f ca="1">IFERROR(__xludf.DUMMYFUNCTION("""COMPUTED_VALUE"""),"Salon360 -All-in-One Unified Salon Management and Virtual Hair Try-On System")</f>
        <v>Salon360 -All-in-One Unified Salon Management and Virtual Hair Try-On System</v>
      </c>
      <c r="C164" s="14" t="str">
        <f ca="1">IFERROR(__xludf.DUMMYFUNCTION("""COMPUTED_VALUE"""),"Scope:
A unified Salon Management web app with AI driven virtual hair try-on for ideal hairstyles. The  application will manage various aspects of salon operations including,  managing employees, services, and maintaining a customer database with POS inte"&amp;"gration. It gives the clients an opportunity to try-on the hairstyles, considering their current hair length and type to show how new styles would look. Users can experiment with different cuts, colors, and styles in real-time.
Features:
1. Hair detection"&amp;" and segmentation
2. Personalized recommendations based on hair type and texture
3. Assess whether a hairstyle is feasible based on current hair
4. Virtual try-on of hairstyles
5. Hair color try-on
6. POS system
7. Maintaining customer contact book and se"&amp;"rvices database
8. Bookings with email reminders
9. Automated deal generation based on monthly profit target
10. Interactive user interface")</f>
        <v>Scope:
A unified Salon Management web app with AI driven virtual hair try-on for ideal hairstyles. The  application will manage various aspects of salon operations including,  managing employees, services, and maintaining a customer database with POS integration. It gives the clients an opportunity to try-on the hairstyles, considering their current hair length and type to show how new styles would look. Users can experiment with different cuts, colors, and styles in real-time.
Features:
1. Hair detection and segmentation
2. Personalized recommendations based on hair type and texture
3. Assess whether a hairstyle is feasible based on current hair
4. Virtual try-on of hairstyles
5. Hair color try-on
6. POS system
7. Maintaining customer contact book and services database
8. Bookings with email reminders
9. Automated deal generation based on monthly profit target
10. Interactive user interface</v>
      </c>
      <c r="D164" s="12" t="str">
        <f ca="1">IFERROR(__xludf.DUMMYFUNCTION("""COMPUTED_VALUE"""),"Mr. Adil Majeed")</f>
        <v>Mr. Adil Majeed</v>
      </c>
      <c r="E164" s="12" t="str">
        <f ca="1">IFERROR(__xludf.DUMMYFUNCTION("""COMPUTED_VALUE"""),"Dr. Usman Haider")</f>
        <v>Dr. Usman Haider</v>
      </c>
      <c r="F164" s="12" t="str">
        <f ca="1">IFERROR(__xludf.DUMMYFUNCTION("""COMPUTED_VALUE"""),"Mahnoor Mehmood")</f>
        <v>Mahnoor Mehmood</v>
      </c>
      <c r="G164" s="12" t="str">
        <f ca="1">IFERROR(__xludf.DUMMYFUNCTION("""COMPUTED_VALUE"""),"i210263")</f>
        <v>i210263</v>
      </c>
      <c r="H164" s="12" t="str">
        <f ca="1">IFERROR(__xludf.DUMMYFUNCTION("""COMPUTED_VALUE"""),"Sabah Nawab")</f>
        <v>Sabah Nawab</v>
      </c>
      <c r="I164" s="12" t="str">
        <f ca="1">IFERROR(__xludf.DUMMYFUNCTION("""COMPUTED_VALUE"""),"i210280")</f>
        <v>i210280</v>
      </c>
      <c r="J164" s="12" t="str">
        <f ca="1">IFERROR(__xludf.DUMMYFUNCTION("""COMPUTED_VALUE"""),"Zarmeen Tauseef")</f>
        <v>Zarmeen Tauseef</v>
      </c>
      <c r="K164" s="12" t="str">
        <f ca="1">IFERROR(__xludf.DUMMYFUNCTION("""COMPUTED_VALUE"""),"i210312")</f>
        <v>i210312</v>
      </c>
    </row>
    <row r="165" spans="1:11" ht="331.5">
      <c r="A165" s="12" t="str">
        <f ca="1">IFERROR(__xludf.DUMMYFUNCTION("""COMPUTED_VALUE"""),"F24-165-D-RTSLConverter")</f>
        <v>F24-165-D-RTSLConverter</v>
      </c>
      <c r="B165" s="13" t="str">
        <f ca="1">IFERROR(__xludf.DUMMYFUNCTION("""COMPUTED_VALUE"""),"Real-Time Conversion of Speech and Text to Animated Sign Language for Enhanced Accessibility in Multimedia Content")</f>
        <v>Real-Time Conversion of Speech and Text to Animated Sign Language for Enhanced Accessibility in Multimedia Content</v>
      </c>
      <c r="C165" s="14" t="str">
        <f ca="1">IFERROR(__xludf.DUMMYFUNCTION("""COMPUTED_VALUE"""),"The primary objective of this project is to develop an innovative software solution designed to empower the deaf and individuals with hearing impairments by providing real-time translation of speech into animated sign language. This software will seamless"&amp;"ly convert audio-visual content into sign language, displayed as sleek, transparent animations overlaid on the screen. The focus is on delivering low-latency and high-accuracy performance, utilizing advanced machine learning algorithms for speech recognit"&amp;"ion to ensure an uninterrupted and intuitive user experience. With an emphasis on adaptability, this project aims to create a versatile solution that can be easily integrated across various platforms or tailored to specific use cases, meeting the diverse "&amp;"needs of its users.
Key Features:
1. Real-Time Speech-to-Text Conversion: Efficient and accurate transcription of audio from videos.
2. Text-to-Sign Language Mapping: Automated translation of transcribed text into corresponding sign language gestures.
3."&amp;" Animated Sign Language Display: High-quality, real-time rendering of sign language animations.
4. Translucent Overlay Box: A non-intrusive, customizable overlay that displays sign language on the video screen.
5. Low Latency Processing: Optimized to ensu"&amp;"re minimal delay between audio input and sign language output.
6. Platform Compatibility: Designed to work seamlessly on multimedia platform.
7. User Customization Options: Ability to adjust the size, position, and transparency of the sign language overla"&amp;"y.
8. Speech and Text Synchronization: Ensures that sign language animations are synchronized with the corresponding speech or text in the video.")</f>
        <v>The primary objective of this project is to develop an innovative software solution designed to empower the deaf and individuals with hearing impairments by providing real-time translation of speech into animated sign language. This software will seamlessly convert audio-visual content into sign language, displayed as sleek, transparent animations overlaid on the screen. The focus is on delivering low-latency and high-accuracy performance, utilizing advanced machine learning algorithms for speech recognition to ensure an uninterrupted and intuitive user experience. With an emphasis on adaptability, this project aims to create a versatile solution that can be easily integrated across various platforms or tailored to specific use cases, meeting the diverse needs of its users.
Key Features:
1. Real-Time Speech-to-Text Conversion: Efficient and accurate transcription of audio from videos.
2. Text-to-Sign Language Mapping: Automated translation of transcribed text into corresponding sign language gestures.
3. Animated Sign Language Display: High-quality, real-time rendering of sign language animations.
4. Translucent Overlay Box: A non-intrusive, customizable overlay that displays sign language on the video screen.
5. Low Latency Processing: Optimized to ensure minimal delay between audio input and sign language output.
6. Platform Compatibility: Designed to work seamlessly on multimedia platform.
7. User Customization Options: Ability to adjust the size, position, and transparency of the sign language overlay.
8. Speech and Text Synchronization: Ensures that sign language animations are synchronized with the corresponding speech or text in the video.</v>
      </c>
      <c r="D165" s="12" t="str">
        <f ca="1">IFERROR(__xludf.DUMMYFUNCTION("""COMPUTED_VALUE"""),"Mr. Hassan Raza")</f>
        <v>Mr. Hassan Raza</v>
      </c>
      <c r="E165" s="12"/>
      <c r="F165" s="12" t="str">
        <f ca="1">IFERROR(__xludf.DUMMYFUNCTION("""COMPUTED_VALUE"""),"Muhammad Malik")</f>
        <v>Muhammad Malik</v>
      </c>
      <c r="G165" s="12" t="str">
        <f ca="1">IFERROR(__xludf.DUMMYFUNCTION("""COMPUTED_VALUE"""),"i212688")</f>
        <v>i212688</v>
      </c>
      <c r="H165" s="12" t="str">
        <f ca="1">IFERROR(__xludf.DUMMYFUNCTION("""COMPUTED_VALUE"""),"Ahmad Usama")</f>
        <v>Ahmad Usama</v>
      </c>
      <c r="I165" s="12" t="str">
        <f ca="1">IFERROR(__xludf.DUMMYFUNCTION("""COMPUTED_VALUE"""),"i202655")</f>
        <v>i202655</v>
      </c>
      <c r="J165" s="12" t="str">
        <f ca="1">IFERROR(__xludf.DUMMYFUNCTION("""COMPUTED_VALUE"""),"Mohammad Abubakar Siddiq")</f>
        <v>Mohammad Abubakar Siddiq</v>
      </c>
      <c r="K165" s="12" t="str">
        <f ca="1">IFERROR(__xludf.DUMMYFUNCTION("""COMPUTED_VALUE"""),"i212742")</f>
        <v>i212742</v>
      </c>
    </row>
    <row r="166" spans="1:11" ht="102">
      <c r="A166" s="12" t="str">
        <f ca="1">IFERROR(__xludf.DUMMYFUNCTION("""COMPUTED_VALUE"""),"F24-166-D-GenFlex")</f>
        <v>F24-166-D-GenFlex</v>
      </c>
      <c r="B166" s="13" t="str">
        <f ca="1">IFERROR(__xludf.DUMMYFUNCTION("""COMPUTED_VALUE"""),"GenFlex")</f>
        <v>GenFlex</v>
      </c>
      <c r="C166" s="14" t="str">
        <f ca="1">IFERROR(__xludf.DUMMYFUNCTION("""COMPUTED_VALUE"""),"""SmartGrade"" is a digital platform designed to automate and streamline the entire examination process for educational institutions. It encompasses the creation, administration, and evaluation of exams, utilizing cutting-edge technologies such as machine"&amp;" learning and natural language processing to enhance accuracy, efficiency, and accessibility. The system supports both objective and subjective assessments, automates grading, and ensures secure, real-time exam monitoring, all while providing a user-frien"&amp;"dly experience across web and mobile platforms. The project aims to modernize exam systems, making them more reliable, fair, and adaptable to various educational needs.")</f>
        <v>"SmartGrade" is a digital platform designed to automate and streamline the entire examination process for educational institutions. It encompasses the creation, administration, and evaluation of exams, utilizing cutting-edge technologies such as machine learning and natural language processing to enhance accuracy, efficiency, and accessibility. The system supports both objective and subjective assessments, automates grading, and ensures secure, real-time exam monitoring, all while providing a user-friendly experience across web and mobile platforms. The project aims to modernize exam systems, making them more reliable, fair, and adaptable to various educational needs.</v>
      </c>
      <c r="D166" s="12" t="str">
        <f ca="1">IFERROR(__xludf.DUMMYFUNCTION("""COMPUTED_VALUE"""),"Mr. Irfan Ullah")</f>
        <v>Mr. Irfan Ullah</v>
      </c>
      <c r="E166" s="12"/>
      <c r="F166" s="12" t="str">
        <f ca="1">IFERROR(__xludf.DUMMYFUNCTION("""COMPUTED_VALUE"""),"Haris Gul")</f>
        <v>Haris Gul</v>
      </c>
      <c r="G166" s="12" t="str">
        <f ca="1">IFERROR(__xludf.DUMMYFUNCTION("""COMPUTED_VALUE"""),"i210770")</f>
        <v>i210770</v>
      </c>
      <c r="H166" s="12" t="str">
        <f ca="1">IFERROR(__xludf.DUMMYFUNCTION("""COMPUTED_VALUE"""),"Mohsin Bhatti")</f>
        <v>Mohsin Bhatti</v>
      </c>
      <c r="I166" s="12" t="str">
        <f ca="1">IFERROR(__xludf.DUMMYFUNCTION("""COMPUTED_VALUE"""),"i202354")</f>
        <v>i202354</v>
      </c>
      <c r="J166" s="12" t="str">
        <f ca="1">IFERROR(__xludf.DUMMYFUNCTION("""COMPUTED_VALUE"""),"Asim Sharif")</f>
        <v>Asim Sharif</v>
      </c>
      <c r="K166" s="12" t="str">
        <f ca="1">IFERROR(__xludf.DUMMYFUNCTION("""COMPUTED_VALUE"""),"i190518")</f>
        <v>i190518</v>
      </c>
    </row>
    <row r="167" spans="1:11" ht="255">
      <c r="A167" s="12" t="str">
        <f ca="1">IFERROR(__xludf.DUMMYFUNCTION("""COMPUTED_VALUE"""),"F24-167-D-Intelli-Datum")</f>
        <v>F24-167-D-Intelli-Datum</v>
      </c>
      <c r="B167" s="13" t="str">
        <f ca="1">IFERROR(__xludf.DUMMYFUNCTION("""COMPUTED_VALUE"""),"Smart Data Management")</f>
        <v>Smart Data Management</v>
      </c>
      <c r="C167" s="14" t="str">
        <f ca="1">IFERROR(__xludf.DUMMYFUNCTION("""COMPUTED_VALUE"""),"A smart data management app that enhances data management using GenAI. The app takes heterogenous data from different sources as input and uses AI models to automate data workflows, enhance data management efficiency, and automate data processing tasks. I"&amp;"t ensures efficiency, accuracy, and insight generation of data. Some major key features are listed below:
1. Automated data cleaning: Automatically detects and corrects errors, inconsistencies, and duplicates in data.
2. Smart data categorization: Uses AI"&amp;" to classify, organize, and tag data.
3. Predictive data preprocessing: Anticipates preprocessing needs and applies appropriate transformations to improve data quality. Learn from human intervention.
4. Anomaly detection and altering: Identifies unusual p"&amp;"atterns or outliers in data and sends real-time alerts.
5. Adaptive data integration: Seamlessly integrates data from various sources while adapting to changes in data formats.
6. Insights Generation: Provides advanced descriptions of the categorized data"&amp;", helping users make informed decisions.
7. Data security and privacy: Ensures that data is protected and complies with privacy regulations.
8. App user interface: Provides an easy-to-use interface for users to manage, visualize, and interact with their d"&amp;"ata efficiently.")</f>
        <v>A smart data management app that enhances data management using GenAI. The app takes heterogenous data from different sources as input and uses AI models to automate data workflows, enhance data management efficiency, and automate data processing tasks. It ensures efficiency, accuracy, and insight generation of data. Some major key features are listed below:
1. Automated data cleaning: Automatically detects and corrects errors, inconsistencies, and duplicates in data.
2. Smart data categorization: Uses AI to classify, organize, and tag data.
3. Predictive data preprocessing: Anticipates preprocessing needs and applies appropriate transformations to improve data quality. Learn from human intervention.
4. Anomaly detection and altering: Identifies unusual patterns or outliers in data and sends real-time alerts.
5. Adaptive data integration: Seamlessly integrates data from various sources while adapting to changes in data formats.
6. Insights Generation: Provides advanced descriptions of the categorized data, helping users make informed decisions.
7. Data security and privacy: Ensures that data is protected and complies with privacy regulations.
8. App user interface: Provides an easy-to-use interface for users to manage, visualize, and interact with their data efficiently.</v>
      </c>
      <c r="D167" s="12" t="str">
        <f ca="1">IFERROR(__xludf.DUMMYFUNCTION("""COMPUTED_VALUE"""),"Dr. Asif Naeem")</f>
        <v>Dr. Asif Naeem</v>
      </c>
      <c r="E167" s="12" t="str">
        <f ca="1">IFERROR(__xludf.DUMMYFUNCTION("""COMPUTED_VALUE"""),"Mr. Muhammad Aamir Gulzar")</f>
        <v>Mr. Muhammad Aamir Gulzar</v>
      </c>
      <c r="F167" s="12" t="str">
        <f ca="1">IFERROR(__xludf.DUMMYFUNCTION("""COMPUTED_VALUE"""),"Zinoor Fatima")</f>
        <v>Zinoor Fatima</v>
      </c>
      <c r="G167" s="12" t="str">
        <f ca="1">IFERROR(__xludf.DUMMYFUNCTION("""COMPUTED_VALUE"""),"i211368")</f>
        <v>i211368</v>
      </c>
      <c r="H167" s="12" t="str">
        <f ca="1">IFERROR(__xludf.DUMMYFUNCTION("""COMPUTED_VALUE"""),"Haniya Usman")</f>
        <v>Haniya Usman</v>
      </c>
      <c r="I167" s="12" t="str">
        <f ca="1">IFERROR(__xludf.DUMMYFUNCTION("""COMPUTED_VALUE"""),"i210748")</f>
        <v>i210748</v>
      </c>
      <c r="J167" s="12" t="str">
        <f ca="1">IFERROR(__xludf.DUMMYFUNCTION("""COMPUTED_VALUE"""),"Ume Khadija")</f>
        <v>Ume Khadija</v>
      </c>
      <c r="K167" s="12" t="str">
        <f ca="1">IFERROR(__xludf.DUMMYFUNCTION("""COMPUTED_VALUE"""),"i210427")</f>
        <v>i210427</v>
      </c>
    </row>
    <row r="168" spans="1:11" ht="229.5">
      <c r="A168" s="12" t="str">
        <f ca="1">IFERROR(__xludf.DUMMYFUNCTION("""COMPUTED_VALUE"""),"F24-168-D-BalleBaaz")</f>
        <v>F24-168-D-BalleBaaz</v>
      </c>
      <c r="B168" s="13" t="str">
        <f ca="1">IFERROR(__xludf.DUMMYFUNCTION("""COMPUTED_VALUE"""),"BalleBaaz")</f>
        <v>BalleBaaz</v>
      </c>
      <c r="C168" s="14" t="str">
        <f ca="1">IFERROR(__xludf.DUMMYFUNCTION("""COMPUTED_VALUE"""),"Talented cricket players in Pakistan are frequently overlooked due to nepotism, despite their outstanding performances. Local matches often involve LBW controversies, which get worse by biased umpiring and a lack of DRS. Hiring neutral umpires is a soluti"&amp;"on, but it is costly. Furthermore, teams frequently experience difficulties fielding a full 11-player squad, emphasizing the need for a system that allows random players to join.
We propose an application which provides an overall cricketing environment "&amp;"for teams. Our app will have the following features
•	Scoring system
•	Stats tracker (Per team and Per player )
•	Ground booking 
•	Match Highlights
•	Player Highlights
•	DRS System
•	Weather monitoring system ( For predicting rain )
•	Umpire booking 
•	T"&amp;"eam Ranking System
•	Squad Selector")</f>
        <v>Talented cricket players in Pakistan are frequently overlooked due to nepotism, despite their outstanding performances. Local matches often involve LBW controversies, which get worse by biased umpiring and a lack of DRS. Hiring neutral umpires is a solution, but it is costly. Furthermore, teams frequently experience difficulties fielding a full 11-player squad, emphasizing the need for a system that allows random players to join.
We propose an application which provides an overall cricketing environment for teams. Our app will have the following features
•	Scoring system
•	Stats tracker (Per team and Per player )
•	Ground booking 
•	Match Highlights
•	Player Highlights
•	DRS System
•	Weather monitoring system ( For predicting rain )
•	Umpire booking 
•	Team Ranking System
•	Squad Selector</v>
      </c>
      <c r="D168" s="12" t="str">
        <f ca="1">IFERROR(__xludf.DUMMYFUNCTION("""COMPUTED_VALUE"""),"Mr. Shahbaz Hassan")</f>
        <v>Mr. Shahbaz Hassan</v>
      </c>
      <c r="E168" s="12"/>
      <c r="F168" s="12" t="str">
        <f ca="1">IFERROR(__xludf.DUMMYFUNCTION("""COMPUTED_VALUE"""),"Sanaullah Momin")</f>
        <v>Sanaullah Momin</v>
      </c>
      <c r="G168" s="12" t="str">
        <f ca="1">IFERROR(__xludf.DUMMYFUNCTION("""COMPUTED_VALUE"""),"i210614")</f>
        <v>i210614</v>
      </c>
      <c r="H168" s="12" t="str">
        <f ca="1">IFERROR(__xludf.DUMMYFUNCTION("""COMPUTED_VALUE"""),"Ibrahim Saqib")</f>
        <v>Ibrahim Saqib</v>
      </c>
      <c r="I168" s="12" t="str">
        <f ca="1">IFERROR(__xludf.DUMMYFUNCTION("""COMPUTED_VALUE"""),"i212512")</f>
        <v>i212512</v>
      </c>
      <c r="J168" s="12" t="str">
        <f ca="1">IFERROR(__xludf.DUMMYFUNCTION("""COMPUTED_VALUE"""),"Muhammad Umar Zeeshan")</f>
        <v>Muhammad Umar Zeeshan</v>
      </c>
      <c r="K168" s="12" t="str">
        <f ca="1">IFERROR(__xludf.DUMMYFUNCTION("""COMPUTED_VALUE"""),"i212513")</f>
        <v>i212513</v>
      </c>
    </row>
    <row r="169" spans="1:11" ht="229.5">
      <c r="A169" s="12" t="str">
        <f ca="1">IFERROR(__xludf.DUMMYFUNCTION("""COMPUTED_VALUE"""),"F24-169-D-Emobot")</f>
        <v>F24-169-D-Emobot</v>
      </c>
      <c r="B169" s="13" t="str">
        <f ca="1">IFERROR(__xludf.DUMMYFUNCTION("""COMPUTED_VALUE"""),"Empathetic chatbots ")</f>
        <v xml:space="preserve">Empathetic chatbots </v>
      </c>
      <c r="C169" s="14" t="str">
        <f ca="1">IFERROR(__xludf.DUMMYFUNCTION("""COMPUTED_VALUE"""),"This project seeks to address the growing need for accessible mental health resources by developing an AI-driven mental health support application. The app will provide users with an interactive platform that offers initial support through AI-powered conv"&amp;"ersations, helping them manage common mental health challenges. By integrating features that promote emotional well-being, track user progress, and offer personalized guidance, the application aims to serve as a valuable tool for individuals in need of me"&amp;"ntal health assistance. Additionally, it will facilitate connections to professional resources when more in-depth care is required.
Programming Languages: Python, JavaScript, Java
Integrated Development Environments (IDEs): Visual Studio Code, Android S"&amp;"tudio
Frameworks: TensorFlow, PyTorch, Node.js, React Native
NLP Libraries: NLTK, GPT-based models
Database: MongoDB, Firebase
Cloud Services: AWS, Google Cloud
Security Protocols: SSL/TLS, Data Encryption (AES, RSA)
Version Control: Git/GitHub")</f>
        <v>This project seeks to address the growing need for accessible mental health resources by developing an AI-driven mental health support application. The app will provide users with an interactive platform that offers initial support through AI-powered conversations, helping them manage common mental health challenges. By integrating features that promote emotional well-being, track user progress, and offer personalized guidance, the application aims to serve as a valuable tool for individuals in need of mental health assistance. Additionally, it will facilitate connections to professional resources when more in-depth care is required.
Programming Languages: Python, JavaScript, Java
Integrated Development Environments (IDEs): Visual Studio Code, Android Studio
Frameworks: TensorFlow, PyTorch, Node.js, React Native
NLP Libraries: NLTK, GPT-based models
Database: MongoDB, Firebase
Cloud Services: AWS, Google Cloud
Security Protocols: SSL/TLS, Data Encryption (AES, RSA)
Version Control: Git/GitHub</v>
      </c>
      <c r="D169" s="12" t="str">
        <f ca="1">IFERROR(__xludf.DUMMYFUNCTION("""COMPUTED_VALUE"""),"Mr. Saad Salman")</f>
        <v>Mr. Saad Salman</v>
      </c>
      <c r="E169" s="12"/>
      <c r="F169" s="12" t="str">
        <f ca="1">IFERROR(__xludf.DUMMYFUNCTION("""COMPUTED_VALUE"""),"Muskan Imran")</f>
        <v>Muskan Imran</v>
      </c>
      <c r="G169" s="12" t="str">
        <f ca="1">IFERROR(__xludf.DUMMYFUNCTION("""COMPUTED_VALUE"""),"i210774")</f>
        <v>i210774</v>
      </c>
      <c r="H169" s="12" t="str">
        <f ca="1">IFERROR(__xludf.DUMMYFUNCTION("""COMPUTED_VALUE"""),"Aqsa Rashid")</f>
        <v>Aqsa Rashid</v>
      </c>
      <c r="I169" s="12" t="str">
        <f ca="1">IFERROR(__xludf.DUMMYFUNCTION("""COMPUTED_VALUE"""),"i212452")</f>
        <v>i212452</v>
      </c>
      <c r="J169" s="12" t="str">
        <f ca="1">IFERROR(__xludf.DUMMYFUNCTION("""COMPUTED_VALUE"""),"Shahzeb Umer")</f>
        <v>Shahzeb Umer</v>
      </c>
      <c r="K169" s="12" t="str">
        <f ca="1">IFERROR(__xludf.DUMMYFUNCTION("""COMPUTED_VALUE"""),"i210893")</f>
        <v>i210893</v>
      </c>
    </row>
    <row r="170" spans="1:11" ht="318.75">
      <c r="A170" s="12" t="str">
        <f ca="1">IFERROR(__xludf.DUMMYFUNCTION("""COMPUTED_VALUE"""),"F24-170-D-Kisan Rabta")</f>
        <v>F24-170-D-Kisan Rabta</v>
      </c>
      <c r="B170" s="13" t="str">
        <f ca="1">IFERROR(__xludf.DUMMYFUNCTION("""COMPUTED_VALUE"""),"Kisan Rabta: Integrated Agricultural Data Collection and Analysis System")</f>
        <v>Kisan Rabta: Integrated Agricultural Data Collection and Analysis System</v>
      </c>
      <c r="C170" s="14" t="str">
        <f ca="1">IFERROR(__xludf.DUMMYFUNCTION("""COMPUTED_VALUE"""),"This project involves developing a comprehensive system to revolutionize how agricultural data is collected and analyzed. The system integrates a call center platform and field personnel, enabling them to record conversations with farmers in Urdu or Punja"&amp;"bi. These recordings are processed by advanced machine learning models to transcribe the audio into text, followed by specialized agricultural models that extract critical data such as crop diseases, challenges, and treatments. This information is then fe"&amp;"d into a robust web-based platform, featuring complex data visualization tools and an admin panel that allows for sophisticated querying and filtering of data by demographics, disease names, and more. The system aims to provide deep insights and support d"&amp;"ata-driven decision-making in the agricultural sector, offering a scalable solution for large-scale data collection and analysis.
A voice recording interface will be used for call center agents and field personnel to capture conversations in Urdu or Punj"&amp;"abi.
Audio-to-text conversion using advanced machine learning models to transcribe recordings into Urdu text.
Agricultural data extraction to identify crop diseases, problems, and treatments from transcribed text.
Centralized data integration for comprehe"&amp;"nsive analysis and reporting.
Web-based visualization platform with tools for creating graphs and charts to analyze agricultural information.
Admin dashboard for querying and filtering data by demographics, disease names, and other criteria.
Scalable arch"&amp;"itecture designed to support large-scale data collection and analysis.
Customizable report generation to support strategic planning and intervention in agricultural practices.
")</f>
        <v xml:space="preserve">This project involves developing a comprehensive system to revolutionize how agricultural data is collected and analyzed. The system integrates a call center platform and field personnel, enabling them to record conversations with farmers in Urdu or Punjabi. These recordings are processed by advanced machine learning models to transcribe the audio into text, followed by specialized agricultural models that extract critical data such as crop diseases, challenges, and treatments. This information is then fed into a robust web-based platform, featuring complex data visualization tools and an admin panel that allows for sophisticated querying and filtering of data by demographics, disease names, and more. The system aims to provide deep insights and support data-driven decision-making in the agricultural sector, offering a scalable solution for large-scale data collection and analysis.
A voice recording interface will be used for call center agents and field personnel to capture conversations in Urdu or Punjabi.
Audio-to-text conversion using advanced machine learning models to transcribe recordings into Urdu text.
Agricultural data extraction to identify crop diseases, problems, and treatments from transcribed text.
Centralized data integration for comprehensive analysis and reporting.
Web-based visualization platform with tools for creating graphs and charts to analyze agricultural information.
Admin dashboard for querying and filtering data by demographics, disease names, and other criteria.
Scalable architecture designed to support large-scale data collection and analysis.
Customizable report generation to support strategic planning and intervention in agricultural practices.
</v>
      </c>
      <c r="D170" s="12" t="str">
        <f ca="1">IFERROR(__xludf.DUMMYFUNCTION("""COMPUTED_VALUE"""),"Mr. Aqib Rehman")</f>
        <v>Mr. Aqib Rehman</v>
      </c>
      <c r="E170" s="12" t="str">
        <f ca="1">IFERROR(__xludf.DUMMYFUNCTION("""COMPUTED_VALUE"""),"Dr. Muhammad Arshad Islam")</f>
        <v>Dr. Muhammad Arshad Islam</v>
      </c>
      <c r="F170" s="12" t="str">
        <f ca="1">IFERROR(__xludf.DUMMYFUNCTION("""COMPUTED_VALUE"""),"Muhammad Ali Ahson")</f>
        <v>Muhammad Ali Ahson</v>
      </c>
      <c r="G170" s="12" t="str">
        <f ca="1">IFERROR(__xludf.DUMMYFUNCTION("""COMPUTED_VALUE"""),"i212535")</f>
        <v>i212535</v>
      </c>
      <c r="H170" s="12" t="str">
        <f ca="1">IFERROR(__xludf.DUMMYFUNCTION("""COMPUTED_VALUE"""),"Muhammad Faiq Fahim")</f>
        <v>Muhammad Faiq Fahim</v>
      </c>
      <c r="I170" s="12" t="str">
        <f ca="1">IFERROR(__xludf.DUMMYFUNCTION("""COMPUTED_VALUE"""),"i210627")</f>
        <v>i210627</v>
      </c>
      <c r="J170" s="12" t="str">
        <f ca="1">IFERROR(__xludf.DUMMYFUNCTION("""COMPUTED_VALUE"""),"Muhammad Siddique Umer")</f>
        <v>Muhammad Siddique Umer</v>
      </c>
      <c r="K170" s="12" t="str">
        <f ca="1">IFERROR(__xludf.DUMMYFUNCTION("""COMPUTED_VALUE"""),"i210519")</f>
        <v>i210519</v>
      </c>
    </row>
    <row r="171" spans="1:11" ht="280.5">
      <c r="A171" s="12" t="str">
        <f ca="1">IFERROR(__xludf.DUMMYFUNCTION("""COMPUTED_VALUE"""),"F24-171-D-PenTrack")</f>
        <v>F24-171-D-PenTrack</v>
      </c>
      <c r="B171" s="13" t="str">
        <f ca="1">IFERROR(__xludf.DUMMYFUNCTION("""COMPUTED_VALUE"""),"PenTrack")</f>
        <v>PenTrack</v>
      </c>
      <c r="C171" s="14" t="str">
        <f ca="1">IFERROR(__xludf.DUMMYFUNCTION("""COMPUTED_VALUE"""),"The AI-Powered Penalty Analysis and Simulation software aims to revolutionize the way football enthusiasts and professionals analyze and improve penalty kicks. The project focuses on developing advanced machine learning models trained on video data of pro"&amp;"fessional players, which will enable users to compare their penalty techniques with those of specific professional strikers and assess whether their shot would be saved by a particular professional goalkeeper. The software will provide personalized feedba"&amp;"ck, actionable insights, and realistic simulations based on the user's performance, ultimately helping them enhance their penalty-taking skills.
Key Features:
1) Analyze user penalty kicks against a specific professional striker's technique.
2) Predict a"&amp;"nd simulate the outcome of a user’s penalty kick against a specific professional goalkeeper.
3) Utilize camera angles to capture and analyze foot position, ball trajectory, athlete posture, athlete run-up and shot power.
4) Provide detailed feedback on ho"&amp;"w closely the user's technique matches the professional and how to improve it.
5) Allow users to record their penalty kicks and upload them for analysis and simulation.
6) Provide statistical insights on shot success rates, average shot power, and accurac"&amp;"y.
7) Incorporate additional parameters such as game time, scoreline, and striker's position at ball contact for the dummy models of pro players.
8) Ensure the app is accessible on multiple devices, including smartphones and tablets.")</f>
        <v>The AI-Powered Penalty Analysis and Simulation software aims to revolutionize the way football enthusiasts and professionals analyze and improve penalty kicks. The project focuses on developing advanced machine learning models trained on video data of professional players, which will enable users to compare their penalty techniques with those of specific professional strikers and assess whether their shot would be saved by a particular professional goalkeeper. The software will provide personalized feedback, actionable insights, and realistic simulations based on the user's performance, ultimately helping them enhance their penalty-taking skills.
Key Features:
1) Analyze user penalty kicks against a specific professional striker's technique.
2) Predict and simulate the outcome of a user’s penalty kick against a specific professional goalkeeper.
3) Utilize camera angles to capture and analyze foot position, ball trajectory, athlete posture, athlete run-up and shot power.
4) Provide detailed feedback on how closely the user's technique matches the professional and how to improve it.
5) Allow users to record their penalty kicks and upload them for analysis and simulation.
6) Provide statistical insights on shot success rates, average shot power, and accuracy.
7) Incorporate additional parameters such as game time, scoreline, and striker's position at ball contact for the dummy models of pro players.
8) Ensure the app is accessible on multiple devices, including smartphones and tablets.</v>
      </c>
      <c r="D171" s="12" t="str">
        <f ca="1">IFERROR(__xludf.DUMMYFUNCTION("""COMPUTED_VALUE"""),"Dr. Ali Zeeshan Ijaz")</f>
        <v>Dr. Ali Zeeshan Ijaz</v>
      </c>
      <c r="E171" s="12"/>
      <c r="F171" s="12" t="str">
        <f ca="1">IFERROR(__xludf.DUMMYFUNCTION("""COMPUTED_VALUE"""),"Muhammad Abdullah Khan")</f>
        <v>Muhammad Abdullah Khan</v>
      </c>
      <c r="G171" s="12" t="str">
        <f ca="1">IFERROR(__xludf.DUMMYFUNCTION("""COMPUTED_VALUE"""),"i210805")</f>
        <v>i210805</v>
      </c>
      <c r="H171" s="12" t="str">
        <f ca="1">IFERROR(__xludf.DUMMYFUNCTION("""COMPUTED_VALUE"""),"Saif Ali Khan")</f>
        <v>Saif Ali Khan</v>
      </c>
      <c r="I171" s="12" t="str">
        <f ca="1">IFERROR(__xludf.DUMMYFUNCTION("""COMPUTED_VALUE"""),"i210649")</f>
        <v>i210649</v>
      </c>
      <c r="J171" s="12" t="str">
        <f ca="1">IFERROR(__xludf.DUMMYFUNCTION("""COMPUTED_VALUE"""),"Hamza Khalid")</f>
        <v>Hamza Khalid</v>
      </c>
      <c r="K171" s="12" t="str">
        <f ca="1">IFERROR(__xludf.DUMMYFUNCTION("""COMPUTED_VALUE"""),"i210704")</f>
        <v>i210704</v>
      </c>
    </row>
    <row r="172" spans="1:11" ht="191.25">
      <c r="A172" s="12" t="str">
        <f ca="1">IFERROR(__xludf.DUMMYFUNCTION("""COMPUTED_VALUE"""),"F24-172-D-QuranEcho")</f>
        <v>F24-172-D-QuranEcho</v>
      </c>
      <c r="B172" s="13" t="str">
        <f ca="1">IFERROR(__xludf.DUMMYFUNCTION("""COMPUTED_VALUE"""),"QuranEcho: Quranic Audio Matching")</f>
        <v>QuranEcho: Quranic Audio Matching</v>
      </c>
      <c r="C172" s="14" t="str">
        <f ca="1">IFERROR(__xludf.DUMMYFUNCTION("""COMPUTED_VALUE"""),"QuranEcho is an AI-powered tool designed to enhance Quranic recitation by providing real-time feedback on pronunciation and Makharij (articulation points). The tool uses advanced speech recognition and natural language processing (NLP) to analyze a user’s"&amp;" recitation and guide them toward improving their accuracy and adherence to proper pronunciation techniques. Quran Echo aims to offer an accessible platform for learners of all levels to master the art of Quranic recitation.
1) Focus on detecting the cor"&amp;"rect articulation of individual Arabic letters (Haroof) according to their Makharij. The tool provides real-time feedback on improper articulation, guiding users to improve their pronunciation based on traditional Quranic rules.
2)  Quran Echo offers use"&amp;"rs the ability to learn and emulate the recitation styles of famous Quranic reciters. The tool helps users match their tone, rhythm, and recitation flow with that of the renowned Qaris.
3) A Quran Hifz module which allows users to set memorization goals "&amp;"for specific verses, Surahs, or Juz. It will track their progress over time and assist in the memorization journey of readers.")</f>
        <v>QuranEcho is an AI-powered tool designed to enhance Quranic recitation by providing real-time feedback on pronunciation and Makharij (articulation points). The tool uses advanced speech recognition and natural language processing (NLP) to analyze a user’s recitation and guide them toward improving their accuracy and adherence to proper pronunciation techniques. Quran Echo aims to offer an accessible platform for learners of all levels to master the art of Quranic recitation.
1) Focus on detecting the correct articulation of individual Arabic letters (Haroof) according to their Makharij. The tool provides real-time feedback on improper articulation, guiding users to improve their pronunciation based on traditional Quranic rules.
2)  Quran Echo offers users the ability to learn and emulate the recitation styles of famous Quranic reciters. The tool helps users match their tone, rhythm, and recitation flow with that of the renowned Qaris.
3) A Quran Hifz module which allows users to set memorization goals for specific verses, Surahs, or Juz. It will track their progress over time and assist in the memorization journey of readers.</v>
      </c>
      <c r="D172" s="12" t="str">
        <f ca="1">IFERROR(__xludf.DUMMYFUNCTION("""COMPUTED_VALUE"""),"Mr. M. Aadil Ur Rehman")</f>
        <v>Mr. M. Aadil Ur Rehman</v>
      </c>
      <c r="E172" s="12"/>
      <c r="F172" s="12" t="str">
        <f ca="1">IFERROR(__xludf.DUMMYFUNCTION("""COMPUTED_VALUE"""),"Muhammad Uzair")</f>
        <v>Muhammad Uzair</v>
      </c>
      <c r="G172" s="12" t="str">
        <f ca="1">IFERROR(__xludf.DUMMYFUNCTION("""COMPUTED_VALUE"""),"i212522")</f>
        <v>i212522</v>
      </c>
      <c r="H172" s="12" t="str">
        <f ca="1">IFERROR(__xludf.DUMMYFUNCTION("""COMPUTED_VALUE"""),"Haroon Aslam ")</f>
        <v xml:space="preserve">Haroon Aslam </v>
      </c>
      <c r="I172" s="12" t="str">
        <f ca="1">IFERROR(__xludf.DUMMYFUNCTION("""COMPUTED_VALUE"""),"i212550")</f>
        <v>i212550</v>
      </c>
      <c r="J172" s="12" t="str">
        <f ca="1">IFERROR(__xludf.DUMMYFUNCTION("""COMPUTED_VALUE"""),"Hamza Uzair")</f>
        <v>Hamza Uzair</v>
      </c>
      <c r="K172" s="12" t="str">
        <f ca="1">IFERROR(__xludf.DUMMYFUNCTION("""COMPUTED_VALUE"""),"i210491")</f>
        <v>i210491</v>
      </c>
    </row>
    <row r="173" spans="1:11" ht="409.5">
      <c r="A173" s="12" t="str">
        <f ca="1">IFERROR(__xludf.DUMMYFUNCTION("""COMPUTED_VALUE"""),"F24-173-D-CyberQuest")</f>
        <v>F24-173-D-CyberQuest</v>
      </c>
      <c r="B173" s="13" t="str">
        <f ca="1">IFERROR(__xludf.DUMMYFUNCTION("""COMPUTED_VALUE"""),"A Game-Based Intervention for Cyber Security Awareness")</f>
        <v>A Game-Based Intervention for Cyber Security Awareness</v>
      </c>
      <c r="C173" s="14" t="str">
        <f ca="1">IFERROR(__xludf.DUMMYFUNCTION("""COMPUTED_VALUE"""),"Our project is a game-based intervention for cybersecurity awareness, and it will focus on the design, development, and implementation of a 3D game utilizing Unity 3D and virtual reality. The game targets teenagers as the primary audience and aims to rais"&amp;"e awareness about cybersecurity threats and best practices in a relatable real-world environment setting. It will include virtual labs, classrooms, and scenarios that demonstrate these attacks and teach preventive measures. The scope consists of both the "&amp;"technical and educational aspects of the game. It will use VR technology to simulate real-life scenarios and will include features such as user authentication, scenario selection, and real-time feedback. The game is intended for deployment on VR platforms"&amp;", supporting various VR headsets, including Oculus.
The game will implement a taxonomy of high-priority cyber attacks within its system boundary, focusing on phishing, Man-in-the-Middle (MitM) attacks, brute force attack, malware, ransomware, email spoofi"&amp;"ng, clickjacking, usb-based attacks, sniffing, default password, spam attack and social engineering. These attacks will be fully implemented in the game to educate players on their nature and prevention. However, certain attacks, such as DDoS, hash inject"&amp;"ion,arp poisoning, dns attack and SQL injection etc, are deemed irrelevant to the core objectives of this project and will be considered out of scope, residing in the irrelevant domain of the document.In the context boundary, the game will support VR plat"&amp;"forms, including Oculus.
The game will have a realistic and immersive visual style, representing a local environment with high-fidelity 3D models. The user interface will be intuitive, with clear prompts and easy-to-navigate menus and feedback to guide th"&amp;"e player through the game. The game features ambient sounds reflecting the environment, culturally appropriate music, and sound effects that highlight key events or decisions. 
Features: 
Interactive Scenarios: Each scenario represents a specific cyber at"&amp;"tack (e.g., Phishing, Social Engineering, Man-in-the-Middle attacks) where players must make decisions to navigate and mitigate the threats.
Real-World Simulation: Scenarios are designed to mimic real-world situations, making the learning experience more "&amp;"relatable and impactful.
Virtual Campus Environment: A fully explorable 3D university campus where players interact with various elements to learn about cyber threats.
Realistic Interactions: VR allows players to physically interact with objects (e.g., p"&amp;"icking up a USB drive, navigating through emails), enhancing engagement and retention.
Level-Based Progression: Players advance through increasingly complex scenarios, each teaching a new aspect of cybersecurity.
Score and Rewards System: Players earn poi"&amp;"nts and badges for correct decisions.
Immediate Feedback: After each decision, the game provides feedback explaining the consequences and teaching the correct course of action.
Replayability: Players can replay scenarios to improve their understanding and"&amp;" score, reinforcing learning through repetition.
Tutorials and Help System: An in-game tutorial guides new players, while an accessible help menu provides additional tips and information.")</f>
        <v>Our project is a game-based intervention for cybersecurity awareness, and it will focus on the design, development, and implementation of a 3D game utilizing Unity 3D and virtual reality. The game targets teenagers as the primary audience and aims to raise awareness about cybersecurity threats and best practices in a relatable real-world environment setting. It will include virtual labs, classrooms, and scenarios that demonstrate these attacks and teach preventive measures. The scope consists of both the technical and educational aspects of the game. It will use VR technology to simulate real-life scenarios and will include features such as user authentication, scenario selection, and real-time feedback. The game is intended for deployment on VR platforms, supporting various VR headsets, including Oculus.
The game will implement a taxonomy of high-priority cyber attacks within its system boundary, focusing on phishing, Man-in-the-Middle (MitM) attacks, brute force attack, malware, ransomware, email spoofing, clickjacking, usb-based attacks, sniffing, default password, spam attack and social engineering. These attacks will be fully implemented in the game to educate players on their nature and prevention. However, certain attacks, such as DDoS, hash injection,arp poisoning, dns attack and SQL injection etc, are deemed irrelevant to the core objectives of this project and will be considered out of scope, residing in the irrelevant domain of the document.In the context boundary, the game will support VR platforms, including Oculus.
The game will have a realistic and immersive visual style, representing a local environment with high-fidelity 3D models. The user interface will be intuitive, with clear prompts and easy-to-navigate menus and feedback to guide the player through the game. The game features ambient sounds reflecting the environment, culturally appropriate music, and sound effects that highlight key events or decisions. 
Features: 
Interactive Scenarios: Each scenario represents a specific cyber attack (e.g., Phishing, Social Engineering, Man-in-the-Middle attacks) where players must make decisions to navigate and mitigate the threats.
Real-World Simulation: Scenarios are designed to mimic real-world situations, making the learning experience more relatable and impactful.
Virtual Campus Environment: A fully explorable 3D university campus where players interact with various elements to learn about cyber threats.
Realistic Interactions: VR allows players to physically interact with objects (e.g., picking up a USB drive, navigating through emails), enhancing engagement and retention.
Level-Based Progression: Players advance through increasingly complex scenarios, each teaching a new aspect of cybersecurity.
Score and Rewards System: Players earn points and badges for correct decisions.
Immediate Feedback: After each decision, the game provides feedback explaining the consequences and teaching the correct course of action.
Replayability: Players can replay scenarios to improve their understanding and score, reinforcing learning through repetition.
Tutorials and Help System: An in-game tutorial guides new players, while an accessible help menu provides additional tips and information.</v>
      </c>
      <c r="D173" s="12" t="str">
        <f ca="1">IFERROR(__xludf.DUMMYFUNCTION("""COMPUTED_VALUE"""),"Mr. Zaheer ul Hussain Sani")</f>
        <v>Mr. Zaheer ul Hussain Sani</v>
      </c>
      <c r="E173" s="12" t="str">
        <f ca="1">IFERROR(__xludf.DUMMYFUNCTION("""COMPUTED_VALUE"""),"Mr. Usama Bin Imran")</f>
        <v>Mr. Usama Bin Imran</v>
      </c>
      <c r="F173" s="12" t="str">
        <f ca="1">IFERROR(__xludf.DUMMYFUNCTION("""COMPUTED_VALUE"""),"Hamayal Sheikh")</f>
        <v>Hamayal Sheikh</v>
      </c>
      <c r="G173" s="12" t="str">
        <f ca="1">IFERROR(__xludf.DUMMYFUNCTION("""COMPUTED_VALUE"""),"i211125")</f>
        <v>i211125</v>
      </c>
      <c r="H173" s="12" t="str">
        <f ca="1">IFERROR(__xludf.DUMMYFUNCTION("""COMPUTED_VALUE"""),"Nuzhat Rubab Zahra")</f>
        <v>Nuzhat Rubab Zahra</v>
      </c>
      <c r="I173" s="12" t="str">
        <f ca="1">IFERROR(__xludf.DUMMYFUNCTION("""COMPUTED_VALUE"""),"k213832")</f>
        <v>k213832</v>
      </c>
      <c r="J173" s="12" t="str">
        <f ca="1">IFERROR(__xludf.DUMMYFUNCTION("""COMPUTED_VALUE"""),"Muhammad Ahmed")</f>
        <v>Muhammad Ahmed</v>
      </c>
      <c r="K173" s="12" t="str">
        <f ca="1">IFERROR(__xludf.DUMMYFUNCTION("""COMPUTED_VALUE"""),"i210790")</f>
        <v>i210790</v>
      </c>
    </row>
    <row r="174" spans="1:11" ht="409.5">
      <c r="A174" s="12" t="str">
        <f ca="1">IFERROR(__xludf.DUMMYFUNCTION("""COMPUTED_VALUE"""),"F24-174-D-V-Escape")</f>
        <v>F24-174-D-V-Escape</v>
      </c>
      <c r="B174" s="13" t="str">
        <f ca="1">IFERROR(__xludf.DUMMYFUNCTION("""COMPUTED_VALUE"""),"V-Escape")</f>
        <v>V-Escape</v>
      </c>
      <c r="C174" s="14" t="str">
        <f ca="1">IFERROR(__xludf.DUMMYFUNCTION("""COMPUTED_VALUE"""),"The Escape Room game is a multi-platform experience where players are immersed in an  environment, the game challenges players to solve a series of intricate puzzles to escape from a locked room or a series of locked rooms. The game will provide an engagi"&amp;"ng experience with realistic interactions, diverse puzzles, and an interactive narrative. Players will need to utilize their problem-solving skills, teamwork, and critical thinking to navigate through dynamic challenges, uncover hidden clues, and overcome"&amp;" obstacles. Moreover, the game will have procedural map generation to ensure a fresh and new experience every time they play.
Key Features:
Diverse Puzzles: A range of puzzles, including logic, pattern recognition, and physical interaction challenges, d"&amp;"esigned to test various problem-solving skills.
Procedural Generation: Algorithm-generated rooms and puzzles to ensure unique challenges and replay-ability for all players.
Accessibility Features: Customizable controls, difficulty levels, and options fo"&amp;"r players with motion sensitivity, making the game inclusive for all players.
Online Gameplay: To make the escape rooms fun. playing with friends would be an option.
Cross-Platform Support: Seamless gameplay experience between different Platforms builds"&amp;", ensuring that players on either platform can enjoy the game fully.
3d Assets: The game will use 3d assets to make the experience more immersive for the player.
Slight Horror Elements: The game will have slight horror element to it like horror music or"&amp;" jump scares to keep the players on their toes.
Dynamic Object Interaction: Realistic physics engine allowing players to interact with objects naturally, no matter what platform they are playing on.")</f>
        <v>The Escape Room game is a multi-platform experience where players are immersed in an  environment, the game challenges players to solve a series of intricate puzzles to escape from a locked room or a series of locked rooms. The game will provide an engaging experience with realistic interactions, diverse puzzles, and an interactive narrative. Players will need to utilize their problem-solving skills, teamwork, and critical thinking to navigate through dynamic challenges, uncover hidden clues, and overcome obstacles. Moreover, the game will have procedural map generation to ensure a fresh and new experience every time they play.
Key Features:
Diverse Puzzles: A range of puzzles, including logic, pattern recognition, and physical interaction challenges, designed to test various problem-solving skills.
Procedural Generation: Algorithm-generated rooms and puzzles to ensure unique challenges and replay-ability for all players.
Accessibility Features: Customizable controls, difficulty levels, and options for players with motion sensitivity, making the game inclusive for all players.
Online Gameplay: To make the escape rooms fun. playing with friends would be an option.
Cross-Platform Support: Seamless gameplay experience between different Platforms builds, ensuring that players on either platform can enjoy the game fully.
3d Assets: The game will use 3d assets to make the experience more immersive for the player.
Slight Horror Elements: The game will have slight horror element to it like horror music or jump scares to keep the players on their toes.
Dynamic Object Interaction: Realistic physics engine allowing players to interact with objects naturally, no matter what platform they are playing on.</v>
      </c>
      <c r="D174" s="12" t="str">
        <f ca="1">IFERROR(__xludf.DUMMYFUNCTION("""COMPUTED_VALUE"""),"Mr. Shams Farooq")</f>
        <v>Mr. Shams Farooq</v>
      </c>
      <c r="E174" s="12"/>
      <c r="F174" s="12" t="str">
        <f ca="1">IFERROR(__xludf.DUMMYFUNCTION("""COMPUTED_VALUE"""),"Abdullah Shahid Butt")</f>
        <v>Abdullah Shahid Butt</v>
      </c>
      <c r="G174" s="12" t="str">
        <f ca="1">IFERROR(__xludf.DUMMYFUNCTION("""COMPUTED_VALUE"""),"i210721")</f>
        <v>i210721</v>
      </c>
      <c r="H174" s="12" t="str">
        <f ca="1">IFERROR(__xludf.DUMMYFUNCTION("""COMPUTED_VALUE"""),"Rizwan Salim")</f>
        <v>Rizwan Salim</v>
      </c>
      <c r="I174" s="12" t="str">
        <f ca="1">IFERROR(__xludf.DUMMYFUNCTION("""COMPUTED_VALUE"""),"i210574")</f>
        <v>i210574</v>
      </c>
      <c r="J174" s="12" t="str">
        <f ca="1">IFERROR(__xludf.DUMMYFUNCTION("""COMPUTED_VALUE"""),"Salman Jan")</f>
        <v>Salman Jan</v>
      </c>
      <c r="K174" s="12" t="str">
        <f ca="1">IFERROR(__xludf.DUMMYFUNCTION("""COMPUTED_VALUE"""),"i212574")</f>
        <v>i212574</v>
      </c>
    </row>
    <row r="175" spans="1:11" ht="318.75">
      <c r="A175" s="12" t="str">
        <f ca="1">IFERROR(__xludf.DUMMYFUNCTION("""COMPUTED_VALUE"""),"F24-175-D-PulseViz")</f>
        <v>F24-175-D-PulseViz</v>
      </c>
      <c r="B175" s="13" t="str">
        <f ca="1">IFERROR(__xludf.DUMMYFUNCTION("""COMPUTED_VALUE"""),"PulseViz : ECG Reimagined")</f>
        <v>PulseViz : ECG Reimagined</v>
      </c>
      <c r="C175" s="14" t="str">
        <f ca="1">IFERROR(__xludf.DUMMYFUNCTION("""COMPUTED_VALUE"""),"Our project aims to develop an innovative mobile application that digitizes and analyzes Electrocardiograms (ECGs) using advanced AI algorithms. The app will enable users to scan ECGs directly through their mobile devices, and our AI will provide real-tim"&amp;"e comprehensive analysis, including current cardiac condition, detection of any recent heart events and predictions of potential near-future risks. By eliminating the need for a doctor in the initial diagnostic process, the app offers an accessible and im"&amp;"mediate solution for cardiac monitoring, democratizing heart health and providing users with actionable insights right at their fingertips.
Key Features:
1- ECG Scanning: Capture high-quality ECGs directly from mobile devices .
2- AI-Powered Analysis: A"&amp;"dvanced algorithms to assess heart rhythms, detect anomalies, and provide comprehensive diagnostic insights.
3- Real-Time Feedback: Immediate results and recommendations for the user after each scan.
4-Personalized Health Reports: Generation of detailed h"&amp;"ealth reports that users can share with healthcare professionals.
5-User-Friendly Interface: Intuitive design tailored for both medical professionals and general users.
6-Alerts &amp; Notifications: Automated alerts for critical conditions that require immedi"&amp;"ate attention.
7-Data Security: Robust encryption and privacy controls to ensure the safety of user data.
8-Cloud Integration: Secure cloud storage for easy access to ECG records anytime, anywhere.
")</f>
        <v xml:space="preserve">Our project aims to develop an innovative mobile application that digitizes and analyzes Electrocardiograms (ECGs) using advanced AI algorithms. The app will enable users to scan ECGs directly through their mobile devices, and our AI will provide real-time comprehensive analysis, including current cardiac condition, detection of any recent heart events and predictions of potential near-future risks. By eliminating the need for a doctor in the initial diagnostic process, the app offers an accessible and immediate solution for cardiac monitoring, democratizing heart health and providing users with actionable insights right at their fingertips.
Key Features:
1- ECG Scanning: Capture high-quality ECGs directly from mobile devices .
2- AI-Powered Analysis: Advanced algorithms to assess heart rhythms, detect anomalies, and provide comprehensive diagnostic insights.
3- Real-Time Feedback: Immediate results and recommendations for the user after each scan.
4-Personalized Health Reports: Generation of detailed health reports that users can share with healthcare professionals.
5-User-Friendly Interface: Intuitive design tailored for both medical professionals and general users.
6-Alerts &amp; Notifications: Automated alerts for critical conditions that require immediate attention.
7-Data Security: Robust encryption and privacy controls to ensure the safety of user data.
8-Cloud Integration: Secure cloud storage for easy access to ECG records anytime, anywhere.
</v>
      </c>
      <c r="D175" s="12" t="str">
        <f ca="1">IFERROR(__xludf.DUMMYFUNCTION("""COMPUTED_VALUE"""),"Dr. Usman Habib")</f>
        <v>Dr. Usman Habib</v>
      </c>
      <c r="E175" s="12"/>
      <c r="F175" s="12" t="str">
        <f ca="1">IFERROR(__xludf.DUMMYFUNCTION("""COMPUTED_VALUE"""),"Muhammad Dayyan Ahmad")</f>
        <v>Muhammad Dayyan Ahmad</v>
      </c>
      <c r="G175" s="12" t="str">
        <f ca="1">IFERROR(__xludf.DUMMYFUNCTION("""COMPUTED_VALUE"""),"i210772")</f>
        <v>i210772</v>
      </c>
      <c r="H175" s="12" t="str">
        <f ca="1">IFERROR(__xludf.DUMMYFUNCTION("""COMPUTED_VALUE"""),"Maliha Khan")</f>
        <v>Maliha Khan</v>
      </c>
      <c r="I175" s="12" t="str">
        <f ca="1">IFERROR(__xludf.DUMMYFUNCTION("""COMPUTED_VALUE"""),"i210697")</f>
        <v>i210697</v>
      </c>
      <c r="J175" s="12" t="str">
        <f ca="1">IFERROR(__xludf.DUMMYFUNCTION("""COMPUTED_VALUE"""),"Zobia Nayer")</f>
        <v>Zobia Nayer</v>
      </c>
      <c r="K175" s="12" t="str">
        <f ca="1">IFERROR(__xludf.DUMMYFUNCTION("""COMPUTED_VALUE"""),"i212530")</f>
        <v>i212530</v>
      </c>
    </row>
    <row r="176" spans="1:11" ht="114.75">
      <c r="A176" s="12" t="str">
        <f ca="1">IFERROR(__xludf.DUMMYFUNCTION("""COMPUTED_VALUE"""),"F24-176-R-AGIT")</f>
        <v>F24-176-R-AGIT</v>
      </c>
      <c r="B176" s="13" t="str">
        <f ca="1">IFERROR(__xludf.DUMMYFUNCTION("""COMPUTED_VALUE"""),"Automated Game Genre Identification Using Text &amp; Image Classification")</f>
        <v>Automated Game Genre Identification Using Text &amp; Image Classification</v>
      </c>
      <c r="C176" s="14" t="str">
        <f ca="1">IFERROR(__xludf.DUMMYFUNCTION("""COMPUTED_VALUE"""),"The project, ""Automated Game Genre Identification Using Text and Image Data Classification,"" aims to develop an AI system that accurately classifies game genres using both text and visual data. The research involves collecting and preprocessing game des"&amp;"criptions, cover images, and in-game screenshots. By leveraging advanced machine learning models that combine natural language processing (NLP) and computer vision techniques, the system will be trained to classify games into predefined genres. The projec"&amp;"t will focus on optimizing model accuracy and enhancing generalization across diverse game types, ultimately automating the genre classification process and improving consistency in large databases.")</f>
        <v>The project, "Automated Game Genre Identification Using Text and Image Data Classification," aims to develop an AI system that accurately classifies game genres using both text and visual data. The research involves collecting and preprocessing game descriptions, cover images, and in-game screenshots. By leveraging advanced machine learning models that combine natural language processing (NLP) and computer vision techniques, the system will be trained to classify games into predefined genres. The project will focus on optimizing model accuracy and enhancing generalization across diverse game types, ultimately automating the genre classification process and improving consistency in large databases.</v>
      </c>
      <c r="D176" s="12" t="str">
        <f ca="1">IFERROR(__xludf.DUMMYFUNCTION("""COMPUTED_VALUE"""),"Dr. Ahmad Raza Shahid")</f>
        <v>Dr. Ahmad Raza Shahid</v>
      </c>
      <c r="E176" s="12" t="str">
        <f ca="1">IFERROR(__xludf.DUMMYFUNCTION("""COMPUTED_VALUE"""),"Mr. Bilal Khalid Dar")</f>
        <v>Mr. Bilal Khalid Dar</v>
      </c>
      <c r="F176" s="12" t="str">
        <f ca="1">IFERROR(__xludf.DUMMYFUNCTION("""COMPUTED_VALUE"""),"Sania Mirza")</f>
        <v>Sania Mirza</v>
      </c>
      <c r="G176" s="12" t="str">
        <f ca="1">IFERROR(__xludf.DUMMYFUNCTION("""COMPUTED_VALUE"""),"i210764")</f>
        <v>i210764</v>
      </c>
      <c r="H176" s="12" t="str">
        <f ca="1">IFERROR(__xludf.DUMMYFUNCTION("""COMPUTED_VALUE"""),"Zahra Rizwan")</f>
        <v>Zahra Rizwan</v>
      </c>
      <c r="I176" s="12" t="str">
        <f ca="1">IFERROR(__xludf.DUMMYFUNCTION("""COMPUTED_VALUE"""),"i210726")</f>
        <v>i210726</v>
      </c>
      <c r="J176" s="12" t="str">
        <f ca="1">IFERROR(__xludf.DUMMYFUNCTION("""COMPUTED_VALUE"""),"Zarina Shabbir")</f>
        <v>Zarina Shabbir</v>
      </c>
      <c r="K176" s="12" t="str">
        <f ca="1">IFERROR(__xludf.DUMMYFUNCTION("""COMPUTED_VALUE"""),"i212528")</f>
        <v>i212528</v>
      </c>
    </row>
    <row r="177" spans="1:11" ht="216.75">
      <c r="A177" s="12" t="str">
        <f ca="1">IFERROR(__xludf.DUMMYFUNCTION("""COMPUTED_VALUE"""),"F24-177-D-RastaSaaz")</f>
        <v>F24-177-D-RastaSaaz</v>
      </c>
      <c r="B177" s="13" t="str">
        <f ca="1">IFERROR(__xludf.DUMMYFUNCTION("""COMPUTED_VALUE"""),"RastaSaaz: AI powered Career Counseling System for Educational and Professional Success.")</f>
        <v>RastaSaaz: AI powered Career Counseling System for Educational and Professional Success.</v>
      </c>
      <c r="C177" s="14" t="str">
        <f ca="1">IFERROR(__xludf.DUMMYFUNCTION("""COMPUTED_VALUE"""),"RastaSaaz is a career counseling system designed for school, college, and undergraduate university students, guiding them through their career planning and development journey. The system features ML-driven aptitude testing to assess individual strengths "&amp;"and interests, providing a deep analysis that informs personalized career recommendations tailored to each student’s unique profile. It offers industry-specific insights to guide career choices, along with detailed information on university scholarships a"&amp;"nd financial aid opportunities. Additionally, RastaSaaz suggests personalized courses and projects to enhance relevant skills and connects students with professionals for mentorship and networking, ensuring a well-rounded approach to career planning and d"&amp;"evelopment.
Key features
1) Multidimensional Aptitude Testing
2) Personalized Recommendation based on aptitude test results 
3) Industry-specific insights
4) University scholarships and Financial Aid Information
5) Personalized courses and project recomm"&amp;"endations
6) Connecting with professionals")</f>
        <v>RastaSaaz is a career counseling system designed for school, college, and undergraduate university students, guiding them through their career planning and development journey. The system features ML-driven aptitude testing to assess individual strengths and interests, providing a deep analysis that informs personalized career recommendations tailored to each student’s unique profile. It offers industry-specific insights to guide career choices, along with detailed information on university scholarships and financial aid opportunities. Additionally, RastaSaaz suggests personalized courses and projects to enhance relevant skills and connects students with professionals for mentorship and networking, ensuring a well-rounded approach to career planning and development.
Key features
1) Multidimensional Aptitude Testing
2) Personalized Recommendation based on aptitude test results 
3) Industry-specific insights
4) University scholarships and Financial Aid Information
5) Personalized courses and project recommendations
6) Connecting with professionals</v>
      </c>
      <c r="D177" s="12" t="str">
        <f ca="1">IFERROR(__xludf.DUMMYFUNCTION("""COMPUTED_VALUE"""),"Mr. M. Aadil Ur Rehman")</f>
        <v>Mr. M. Aadil Ur Rehman</v>
      </c>
      <c r="E177" s="12" t="str">
        <f ca="1">IFERROR(__xludf.DUMMYFUNCTION("""COMPUTED_VALUE"""),"Mr. Muhammad Farrukh Bashir")</f>
        <v>Mr. Muhammad Farrukh Bashir</v>
      </c>
      <c r="F177" s="12" t="str">
        <f ca="1">IFERROR(__xludf.DUMMYFUNCTION("""COMPUTED_VALUE"""),"Eman Hassan")</f>
        <v>Eman Hassan</v>
      </c>
      <c r="G177" s="12" t="str">
        <f ca="1">IFERROR(__xludf.DUMMYFUNCTION("""COMPUTED_VALUE"""),"i210862")</f>
        <v>i210862</v>
      </c>
      <c r="H177" s="12" t="str">
        <f ca="1">IFERROR(__xludf.DUMMYFUNCTION("""COMPUTED_VALUE"""),"Mariam Tahir ")</f>
        <v xml:space="preserve">Mariam Tahir </v>
      </c>
      <c r="I177" s="12" t="str">
        <f ca="1">IFERROR(__xludf.DUMMYFUNCTION("""COMPUTED_VALUE"""),"i210373")</f>
        <v>i210373</v>
      </c>
      <c r="J177" s="12" t="str">
        <f ca="1">IFERROR(__xludf.DUMMYFUNCTION("""COMPUTED_VALUE"""),"Muhammad Asjad Rauf")</f>
        <v>Muhammad Asjad Rauf</v>
      </c>
      <c r="K177" s="12" t="str">
        <f ca="1">IFERROR(__xludf.DUMMYFUNCTION("""COMPUTED_VALUE"""),"i210493")</f>
        <v>i210493</v>
      </c>
    </row>
    <row r="178" spans="1:11" ht="331.5">
      <c r="A178" s="12" t="str">
        <f ca="1">IFERROR(__xludf.DUMMYFUNCTION("""COMPUTED_VALUE"""),"F24-178-D-HifzQuran")</f>
        <v>F24-178-D-HifzQuran</v>
      </c>
      <c r="B178" s="13" t="str">
        <f ca="1">IFERROR(__xludf.DUMMYFUNCTION("""COMPUTED_VALUE"""),"Intelligent Quran Memorization Assistant for People Using Deep Learning Techniques")</f>
        <v>Intelligent Quran Memorization Assistant for People Using Deep Learning Techniques</v>
      </c>
      <c r="C178" s="14" t="str">
        <f ca="1">IFERROR(__xludf.DUMMYFUNCTION("""COMPUTED_VALUE"""),"This project is focused on creating a smart Quran Memorization Assistant using the latest deep learning and NLP technologies The app will improve traditional memorization methods by adjusting to each person's learning pace, offering flexible repetition st"&amp;"rategies, and giving real-time feedback on their recitation accuracy through speech recognition. With advanced features like ayah segmentation, error detection, and personalized learning paths, this app will make memorizing the Quran more engaging and eff"&amp;"ective. It aims to set a new benchmark in educational technology for Islamic learning.
key features
1- Personalized Learning Paths: The app adapts to each person's learning style and pace, customizing the memorization process to fit their needs.
2- Adapt"&amp;"ive Repetition Strategies: Repetition is adjusted automatically based on how well the person is memorizing, ensuring they get the right amount of practice.
3- Learning Style Analysis: The app notices whether the user learns better by listening or reciting"&amp;" and adjusts the memorization process to match their style. If they’re better at memorizing through listening, the app will emphasize more audio repetition.
4- Real-Time Recitation Feedback: With built-in speech recognition, the app provides instant feedb"&amp;"ack, helping people correct mistakes as they go.
5- Ayah Segmentation: Verses are broken down into smaller, more manageable pieces, making it easier for a person to memorize.
6- Interactive Memorization Modes: Offers different ways for a person to engage "&amp;"with the material, like Memorize and Review, each with tailored guidance.
7- Interactive Recitation and Listening Modes: Provides additional modes such as Recite and Listen, helping the person engage with the content in various ways.
8- Mutashabihat Detec"&amp;"tion: Similar verses that might cause confusion are flagged, allowing people to focus on and memorize them more effectively.
")</f>
        <v xml:space="preserve">This project is focused on creating a smart Quran Memorization Assistant using the latest deep learning and NLP technologies The app will improve traditional memorization methods by adjusting to each person's learning pace, offering flexible repetition strategies, and giving real-time feedback on their recitation accuracy through speech recognition. With advanced features like ayah segmentation, error detection, and personalized learning paths, this app will make memorizing the Quran more engaging and effective. It aims to set a new benchmark in educational technology for Islamic learning.
key features
1- Personalized Learning Paths: The app adapts to each person's learning style and pace, customizing the memorization process to fit their needs.
2- Adaptive Repetition Strategies: Repetition is adjusted automatically based on how well the person is memorizing, ensuring they get the right amount of practice.
3- Learning Style Analysis: The app notices whether the user learns better by listening or reciting and adjusts the memorization process to match their style. If they’re better at memorizing through listening, the app will emphasize more audio repetition.
4- Real-Time Recitation Feedback: With built-in speech recognition, the app provides instant feedback, helping people correct mistakes as they go.
5- Ayah Segmentation: Verses are broken down into smaller, more manageable pieces, making it easier for a person to memorize.
6- Interactive Memorization Modes: Offers different ways for a person to engage with the material, like Memorize and Review, each with tailored guidance.
7- Interactive Recitation and Listening Modes: Provides additional modes such as Recite and Listen, helping the person engage with the content in various ways.
8- Mutashabihat Detection: Similar verses that might cause confusion are flagged, allowing people to focus on and memorize them more effectively.
</v>
      </c>
      <c r="D178" s="12" t="str">
        <f ca="1">IFERROR(__xludf.DUMMYFUNCTION("""COMPUTED_VALUE"""),"Mr. M Aamir Gulzar")</f>
        <v>Mr. M Aamir Gulzar</v>
      </c>
      <c r="E178" s="12"/>
      <c r="F178" s="12" t="str">
        <f ca="1">IFERROR(__xludf.DUMMYFUNCTION("""COMPUTED_VALUE"""),"Sami Irshad")</f>
        <v>Sami Irshad</v>
      </c>
      <c r="G178" s="12" t="str">
        <f ca="1">IFERROR(__xludf.DUMMYFUNCTION("""COMPUTED_VALUE"""),"i211103")</f>
        <v>i211103</v>
      </c>
      <c r="H178" s="12" t="str">
        <f ca="1">IFERROR(__xludf.DUMMYFUNCTION("""COMPUTED_VALUE"""),"Abdul Subhan ")</f>
        <v xml:space="preserve">Abdul Subhan </v>
      </c>
      <c r="I178" s="12" t="str">
        <f ca="1">IFERROR(__xludf.DUMMYFUNCTION("""COMPUTED_VALUE"""),"i211223")</f>
        <v>i211223</v>
      </c>
      <c r="J178" s="12" t="str">
        <f ca="1">IFERROR(__xludf.DUMMYFUNCTION("""COMPUTED_VALUE"""),"Muhammad Shammaz")</f>
        <v>Muhammad Shammaz</v>
      </c>
      <c r="K178" s="12" t="str">
        <f ca="1">IFERROR(__xludf.DUMMYFUNCTION("""COMPUTED_VALUE"""),"i211752")</f>
        <v>i211752</v>
      </c>
    </row>
    <row r="179" spans="1:11" ht="229.5">
      <c r="A179" s="12" t="str">
        <f ca="1">IFERROR(__xludf.DUMMYFUNCTION("""COMPUTED_VALUE"""),"F24-179-D-GlaciArc")</f>
        <v>F24-179-D-GlaciArc</v>
      </c>
      <c r="B179" s="13" t="str">
        <f ca="1">IFERROR(__xludf.DUMMYFUNCTION("""COMPUTED_VALUE"""),"Glacier Risk Prediction &amp; Monitoring Platform")</f>
        <v>Glacier Risk Prediction &amp; Monitoring Platform</v>
      </c>
      <c r="C179" s="14" t="str">
        <f ca="1">IFERROR(__xludf.DUMMYFUNCTION("""COMPUTED_VALUE"""),"The GlaciArc project focuses on creating a web-based platform to monitor glacier dynamics in the northern regions of Pakistan. By utilizing satellite imagery, the platform will track glacier movements, analyze the effects of melting on rivers and infrastr"&amp;"ucture, and assess flood risks to nearby communities.
Key Features:
User-Friendly Interface
Glacier Monitoring
River Detection and Analysis
Erosion Detection
House and Infrastructure Impact Assessment
Road and Bridge Detection.")</f>
        <v>The GlaciArc project focuses on creating a web-based platform to monitor glacier dynamics in the northern regions of Pakistan. By utilizing satellite imagery, the platform will track glacier movements, analyze the effects of melting on rivers and infrastructure, and assess flood risks to nearby communities.
Key Features:
User-Friendly Interface
Glacier Monitoring
River Detection and Analysis
Erosion Detection
House and Infrastructure Impact Assessment
Road and Bridge Detection.</v>
      </c>
      <c r="D179" s="12" t="str">
        <f ca="1">IFERROR(__xludf.DUMMYFUNCTION("""COMPUTED_VALUE"""),"Dr. Akhtar Jamil")</f>
        <v>Dr. Akhtar Jamil</v>
      </c>
      <c r="E179" s="12"/>
      <c r="F179" s="12" t="str">
        <f ca="1">IFERROR(__xludf.DUMMYFUNCTION("""COMPUTED_VALUE"""),"Muhammad Omar Zahid Sarfraz ")</f>
        <v xml:space="preserve">Muhammad Omar Zahid Sarfraz </v>
      </c>
      <c r="G179" s="12" t="str">
        <f ca="1">IFERROR(__xludf.DUMMYFUNCTION("""COMPUTED_VALUE"""),"i212509")</f>
        <v>i212509</v>
      </c>
      <c r="H179" s="12" t="str">
        <f ca="1">IFERROR(__xludf.DUMMYFUNCTION("""COMPUTED_VALUE"""),"Minha Rehman")</f>
        <v>Minha Rehman</v>
      </c>
      <c r="I179" s="12" t="str">
        <f ca="1">IFERROR(__xludf.DUMMYFUNCTION("""COMPUTED_VALUE"""),"i212534")</f>
        <v>i212534</v>
      </c>
      <c r="J179" s="12" t="str">
        <f ca="1">IFERROR(__xludf.DUMMYFUNCTION("""COMPUTED_VALUE"""),"Momina Khalid")</f>
        <v>Momina Khalid</v>
      </c>
      <c r="K179" s="12" t="str">
        <f ca="1">IFERROR(__xludf.DUMMYFUNCTION("""COMPUTED_VALUE"""),"i210517")</f>
        <v>i210517</v>
      </c>
    </row>
    <row r="180" spans="1:11" ht="382.5">
      <c r="A180" s="12" t="str">
        <f ca="1">IFERROR(__xludf.DUMMYFUNCTION("""COMPUTED_VALUE"""),"F24-180-D-Nimbus360DashGen")</f>
        <v>F24-180-D-Nimbus360DashGen</v>
      </c>
      <c r="B180" s="13" t="str">
        <f ca="1">IFERROR(__xludf.DUMMYFUNCTION("""COMPUTED_VALUE"""),"Generation of Dashboards with complete portal for commerce sector eliminating the needs of analysts")</f>
        <v>Generation of Dashboards with complete portal for commerce sector eliminating the needs of analysts</v>
      </c>
      <c r="C180" s="14" t="str">
        <f ca="1">IFERROR(__xludf.DUMMYFUNCTION("""COMPUTED_VALUE"""),"Our project is a comprehensive analytics and dashboard generation platform designed to transform the way businesses in the commerce sector manage and interpret their data. It allows users to upload their commerce files and instantly generate personalized,"&amp;" interactive dashboards that not only visualize key metrics but also provide actionable insights and predictive analytics. The platform integrates seamlessly with existing e-commerce platforms and POS systems, offering tools for real-time pricing adjustme"&amp;"nts, competitive analysis, and sustainability reporting. Its holistic approach enables businesses to make data-driven decisions, optimize operations, and enhance customer satisfaction.
Key Features:
Personalized Dashboard Generation: Upload commerce file"&amp;"s to create custom dashboards tailored to specific business needs.
Real-time Data Visualization: Instantly visualize key metrics like sales, returns, and exchanges in an interactive dashboard.
Predictive Analytics: Forecast future inventory needs and tren"&amp;"ds using advanced machine learning algorithms.
Competitive Analysis Tool: Automatically scan competitor pricing and adjust your pricing strategies in real-time.
Customer Feedback Integration: Incorporate customer feedback to measure satisfaction and impro"&amp;"ve offers and discounts.
Dynamic Pricing Adjustments: Use algorithms to automatically adjust pricing based on market conditions and competitor analysis.
Branch and Manager Management: Centralized control and management of operations across multiple branch"&amp;"es.
Cashier and Warehousing Solutions: Streamline cashier operations and optimize warehouse management with integrated tools.
Sustainability Reporting: Generate and analyze sustainability reports to meet internal and external standards.
Interactive Q&amp;A: U"&amp;"se the dashboard to answer business-specific questions, providing insights and recommendations based on the uploaded data.")</f>
        <v>Our project is a comprehensive analytics and dashboard generation platform designed to transform the way businesses in the commerce sector manage and interpret their data. It allows users to upload their commerce files and instantly generate personalized, interactive dashboards that not only visualize key metrics but also provide actionable insights and predictive analytics. The platform integrates seamlessly with existing e-commerce platforms and POS systems, offering tools for real-time pricing adjustments, competitive analysis, and sustainability reporting. Its holistic approach enables businesses to make data-driven decisions, optimize operations, and enhance customer satisfaction.
Key Features:
Personalized Dashboard Generation: Upload commerce files to create custom dashboards tailored to specific business needs.
Real-time Data Visualization: Instantly visualize key metrics like sales, returns, and exchanges in an interactive dashboard.
Predictive Analytics: Forecast future inventory needs and trends using advanced machine learning algorithms.
Competitive Analysis Tool: Automatically scan competitor pricing and adjust your pricing strategies in real-time.
Customer Feedback Integration: Incorporate customer feedback to measure satisfaction and improve offers and discounts.
Dynamic Pricing Adjustments: Use algorithms to automatically adjust pricing based on market conditions and competitor analysis.
Branch and Manager Management: Centralized control and management of operations across multiple branches.
Cashier and Warehousing Solutions: Streamline cashier operations and optimize warehouse management with integrated tools.
Sustainability Reporting: Generate and analyze sustainability reports to meet internal and external standards.
Interactive Q&amp;A: Use the dashboard to answer business-specific questions, providing insights and recommendations based on the uploaded data.</v>
      </c>
      <c r="D180" s="12" t="str">
        <f ca="1">IFERROR(__xludf.DUMMYFUNCTION("""COMPUTED_VALUE"""),"Mr. Zaheer ul Hussain Sani")</f>
        <v>Mr. Zaheer ul Hussain Sani</v>
      </c>
      <c r="E180" s="12"/>
      <c r="F180" s="12" t="str">
        <f ca="1">IFERROR(__xludf.DUMMYFUNCTION("""COMPUTED_VALUE"""),"Sohaib Ahmed")</f>
        <v>Sohaib Ahmed</v>
      </c>
      <c r="G180" s="12" t="str">
        <f ca="1">IFERROR(__xludf.DUMMYFUNCTION("""COMPUTED_VALUE"""),"i211114")</f>
        <v>i211114</v>
      </c>
      <c r="H180" s="12" t="str">
        <f ca="1">IFERROR(__xludf.DUMMYFUNCTION("""COMPUTED_VALUE"""),"Fatima Sarmad")</f>
        <v>Fatima Sarmad</v>
      </c>
      <c r="I180" s="12" t="str">
        <f ca="1">IFERROR(__xludf.DUMMYFUNCTION("""COMPUTED_VALUE"""),"i211139")</f>
        <v>i211139</v>
      </c>
      <c r="J180" s="12" t="str">
        <f ca="1">IFERROR(__xludf.DUMMYFUNCTION("""COMPUTED_VALUE"""),"Saif ur Rehman Orakzai")</f>
        <v>Saif ur Rehman Orakzai</v>
      </c>
      <c r="K180" s="12" t="str">
        <f ca="1">IFERROR(__xludf.DUMMYFUNCTION("""COMPUTED_VALUE"""),"i211221")</f>
        <v>i211221</v>
      </c>
    </row>
    <row r="181" spans="1:11" ht="255">
      <c r="A181" s="12" t="str">
        <f ca="1">IFERROR(__xludf.DUMMYFUNCTION("""COMPUTED_VALUE"""),"F24-181-D-LittleLearner")</f>
        <v>F24-181-D-LittleLearner</v>
      </c>
      <c r="B181" s="13" t="str">
        <f ca="1">IFERROR(__xludf.DUMMYFUNCTION("""COMPUTED_VALUE"""),"Little Learner: A Tailored AI Tutor for Children with Speech Impairments")</f>
        <v>Little Learner: A Tailored AI Tutor for Children with Speech Impairments</v>
      </c>
      <c r="C181" s="14" t="str">
        <f ca="1">IFERROR(__xludf.DUMMYFUNCTION("""COMPUTED_VALUE"""),"Our project, ""Little Learner,"" aims to develop an AI tutor for young children aged 2-5 in Pakistan, including those with speech impairments, by adapting and fine-tuning advanced AI technologies such as the Whisper model to understand and interact with t"&amp;"he unique communication styles of early learners. This includes the development of both sentence-level and single word speech detection capabilities. The scope encompasses creating a custom dataset to capture diverse speech patterns, refining AI models fo"&amp;"r accurate response and interaction, and implementing an AI-driven educational platform to enhance accessibility and inclusivity in early childhood education. The project will culminate in rigorous testing and refinement to ensure the tutor meets the spec"&amp;"ific needs of its young users, focusing on improving foundational language skills and making learning engaging.
System Features:
1. Speech Recognition and Transcription customized for kids and local speech
2. Run-Time Processing
3. Answer Validation and r"&amp;"eports generation
4. Integration with Large Language Models (LLM)
5. Feedback Loop
6. User Interaction Flow
7. Personalization
8. Error Handling
9. Engagement Features
")</f>
        <v xml:space="preserve">Our project, "Little Learner," aims to develop an AI tutor for young children aged 2-5 in Pakistan, including those with speech impairments, by adapting and fine-tuning advanced AI technologies such as the Whisper model to understand and interact with the unique communication styles of early learners. This includes the development of both sentence-level and single word speech detection capabilities. The scope encompasses creating a custom dataset to capture diverse speech patterns, refining AI models for accurate response and interaction, and implementing an AI-driven educational platform to enhance accessibility and inclusivity in early childhood education. The project will culminate in rigorous testing and refinement to ensure the tutor meets the specific needs of its young users, focusing on improving foundational language skills and making learning engaging.
System Features:
1. Speech Recognition and Transcription customized for kids and local speech
2. Run-Time Processing
3. Answer Validation and reports generation
4. Integration with Large Language Models (LLM)
5. Feedback Loop
6. User Interaction Flow
7. Personalization
8. Error Handling
9. Engagement Features
</v>
      </c>
      <c r="D181" s="12" t="str">
        <f ca="1">IFERROR(__xludf.DUMMYFUNCTION("""COMPUTED_VALUE"""),"Dr. Imran Ashraf")</f>
        <v>Dr. Imran Ashraf</v>
      </c>
      <c r="E181" s="12"/>
      <c r="F181" s="12" t="str">
        <f ca="1">IFERROR(__xludf.DUMMYFUNCTION("""COMPUTED_VALUE"""),"Farhan Ahmad")</f>
        <v>Farhan Ahmad</v>
      </c>
      <c r="G181" s="12" t="str">
        <f ca="1">IFERROR(__xludf.DUMMYFUNCTION("""COMPUTED_VALUE"""),"i210600")</f>
        <v>i210600</v>
      </c>
      <c r="H181" s="12" t="str">
        <f ca="1">IFERROR(__xludf.DUMMYFUNCTION("""COMPUTED_VALUE"""),"Ruhail Rizwan")</f>
        <v>Ruhail Rizwan</v>
      </c>
      <c r="I181" s="12" t="str">
        <f ca="1">IFERROR(__xludf.DUMMYFUNCTION("""COMPUTED_VALUE"""),"i212462")</f>
        <v>i212462</v>
      </c>
      <c r="J181" s="12" t="str">
        <f ca="1">IFERROR(__xludf.DUMMYFUNCTION("""COMPUTED_VALUE"""),"Muti Ur Rehman")</f>
        <v>Muti Ur Rehman</v>
      </c>
      <c r="K181" s="12" t="str">
        <f ca="1">IFERROR(__xludf.DUMMYFUNCTION("""COMPUTED_VALUE"""),"i210872")</f>
        <v>i210872</v>
      </c>
    </row>
    <row r="182" spans="1:11" ht="382.5">
      <c r="A182" s="12" t="str">
        <f ca="1">IFERROR(__xludf.DUMMYFUNCTION("""COMPUTED_VALUE"""),"F24-182-D-TheWeathermind")</f>
        <v>F24-182-D-TheWeathermind</v>
      </c>
      <c r="B182" s="13" t="str">
        <f ca="1">IFERROR(__xludf.DUMMYFUNCTION("""COMPUTED_VALUE"""),"AI Based Weather Forecasting System for Pakistan")</f>
        <v>AI Based Weather Forecasting System for Pakistan</v>
      </c>
      <c r="C182" s="14" t="str">
        <f ca="1">IFERROR(__xludf.DUMMYFUNCTION("""COMPUTED_VALUE"""),"Scope of the Project
The project focuses on creating a purely AI-driven weather forecasting model tailored to Pakistan's diverse climatic regions (specifically Islamabad, Lahore, Karachi). The model will utilize data from 300 weather stations and atmosphe"&amp;"ric radar data to predict weather variables such as temperature, humidity, wind speed, rainfall, and wind direction. Forecasts will be provided for short-term (daily) and medium-term (weekly) periods.
Key Features
Localized Forecasting: Tailored weather p"&amp;"redictions for specific cities (Islamabad, Lahore, Karachi) and their surrounding areas.
High-Resolution Data Integration: Utilizes data from 300 weather stations and atmospheric radar for precise forecasting.
Real-Time Updates: Provides frequent update"&amp;"s every 10 minutes to reflect the latest weather conditions.
Short-Term and Medium-Term Forecasts: Delivers accurate forecasts for both daily and weekly weather conditions.
Multi-Variable Predictions: Forecasts multiple weather variables, including temp"&amp;"erature, humidity, wind speed, rainfall, and wind direction.
Advanced AI Techniques: Employs state-of-the-art AI/ML models to improve efficiency beyond traditional numerical methods.
Weather Anomaly Detection: Identifies and alerts users to unusual weat"&amp;"her patterns or extreme conditions.
Disaster Management Support: Provides critical weather information and alerts for disaster preparedness and response.
")</f>
        <v xml:space="preserve">Scope of the Project
The project focuses on creating a purely AI-driven weather forecasting model tailored to Pakistan's diverse climatic regions (specifically Islamabad, Lahore, Karachi). The model will utilize data from 300 weather stations and atmospheric radar data to predict weather variables such as temperature, humidity, wind speed, rainfall, and wind direction. Forecasts will be provided for short-term (daily) and medium-term (weekly) periods.
Key Features
Localized Forecasting: Tailored weather predictions for specific cities (Islamabad, Lahore, Karachi) and their surrounding areas.
High-Resolution Data Integration: Utilizes data from 300 weather stations and atmospheric radar for precise forecasting.
Real-Time Updates: Provides frequent updates every 10 minutes to reflect the latest weather conditions.
Short-Term and Medium-Term Forecasts: Delivers accurate forecasts for both daily and weekly weather conditions.
Multi-Variable Predictions: Forecasts multiple weather variables, including temperature, humidity, wind speed, rainfall, and wind direction.
Advanced AI Techniques: Employs state-of-the-art AI/ML models to improve efficiency beyond traditional numerical methods.
Weather Anomaly Detection: Identifies and alerts users to unusual weather patterns or extreme conditions.
Disaster Management Support: Provides critical weather information and alerts for disaster preparedness and response.
</v>
      </c>
      <c r="D182" s="12" t="str">
        <f ca="1">IFERROR(__xludf.DUMMYFUNCTION("""COMPUTED_VALUE"""),"Dr. Naveed Ahmad")</f>
        <v>Dr. Naveed Ahmad</v>
      </c>
      <c r="E182" s="12" t="str">
        <f ca="1">IFERROR(__xludf.DUMMYFUNCTION("""COMPUTED_VALUE"""),"Dr. Imran Ashraf")</f>
        <v>Dr. Imran Ashraf</v>
      </c>
      <c r="F182" s="12" t="str">
        <f ca="1">IFERROR(__xludf.DUMMYFUNCTION("""COMPUTED_VALUE"""),"Ibrahim Hamid Rao")</f>
        <v>Ibrahim Hamid Rao</v>
      </c>
      <c r="G182" s="12" t="str">
        <f ca="1">IFERROR(__xludf.DUMMYFUNCTION("""COMPUTED_VALUE"""),"i212958")</f>
        <v>i212958</v>
      </c>
      <c r="H182" s="12" t="str">
        <f ca="1">IFERROR(__xludf.DUMMYFUNCTION("""COMPUTED_VALUE"""),"Zainab Aslam")</f>
        <v>Zainab Aslam</v>
      </c>
      <c r="I182" s="12" t="str">
        <f ca="1">IFERROR(__xludf.DUMMYFUNCTION("""COMPUTED_VALUE"""),"i212575")</f>
        <v>i212575</v>
      </c>
      <c r="J182" s="12"/>
      <c r="K182" s="12"/>
    </row>
    <row r="183" spans="1:11" ht="153">
      <c r="A183" s="12" t="str">
        <f ca="1">IFERROR(__xludf.DUMMYFUNCTION("""COMPUTED_VALUE"""),"F24-183-D-Khaka")</f>
        <v>F24-183-D-Khaka</v>
      </c>
      <c r="B183" s="13" t="str">
        <f ca="1">IFERROR(__xludf.DUMMYFUNCTION("""COMPUTED_VALUE"""),"Sketching companion for starters")</f>
        <v>Sketching companion for starters</v>
      </c>
      <c r="C183" s="14" t="str">
        <f ca="1">IFERROR(__xludf.DUMMYFUNCTION("""COMPUTED_VALUE"""),"Khaka is an AI-based tool that helps artists and designers start sketching effortlessly by transforming images into detailed sketch layers and guiding them through a step-by-step process to create hand-drawn sketches.
Features:
Artistic stylization of"&amp;" sketches
Final Result Preview  
Multi-layer sketch breakdown (contour, shapes, shading, details)
Layer-by-layer drawing guidance
AI-powered drawing feedback
Tool recommendations for each layer
Art Gallery and Showcasing")</f>
        <v>Khaka is an AI-based tool that helps artists and designers start sketching effortlessly by transforming images into detailed sketch layers and guiding them through a step-by-step process to create hand-drawn sketches.
Features:
Artistic stylization of sketches
Final Result Preview  
Multi-layer sketch breakdown (contour, shapes, shading, details)
Layer-by-layer drawing guidance
AI-powered drawing feedback
Tool recommendations for each layer
Art Gallery and Showcasing</v>
      </c>
      <c r="D183" s="12" t="str">
        <f ca="1">IFERROR(__xludf.DUMMYFUNCTION("""COMPUTED_VALUE"""),"Ms. Marium Hida")</f>
        <v>Ms. Marium Hida</v>
      </c>
      <c r="E183" s="12"/>
      <c r="F183" s="12" t="str">
        <f ca="1">IFERROR(__xludf.DUMMYFUNCTION("""COMPUTED_VALUE"""),"Abdul Wahab")</f>
        <v>Abdul Wahab</v>
      </c>
      <c r="G183" s="12" t="str">
        <f ca="1">IFERROR(__xludf.DUMMYFUNCTION("""COMPUTED_VALUE"""),"i210675")</f>
        <v>i210675</v>
      </c>
      <c r="H183" s="12" t="str">
        <f ca="1">IFERROR(__xludf.DUMMYFUNCTION("""COMPUTED_VALUE"""),"Hassan Nawaz")</f>
        <v>Hassan Nawaz</v>
      </c>
      <c r="I183" s="12" t="str">
        <f ca="1">IFERROR(__xludf.DUMMYFUNCTION("""COMPUTED_VALUE"""),"i212993")</f>
        <v>i212993</v>
      </c>
      <c r="J183" s="12" t="str">
        <f ca="1">IFERROR(__xludf.DUMMYFUNCTION("""COMPUTED_VALUE"""),"Maaz ibne Khalid")</f>
        <v>Maaz ibne Khalid</v>
      </c>
      <c r="K183" s="12" t="str">
        <f ca="1">IFERROR(__xludf.DUMMYFUNCTION("""COMPUTED_VALUE"""),"i210583")</f>
        <v>i210583</v>
      </c>
    </row>
    <row r="184" spans="1:11" ht="409.5">
      <c r="A184" s="12" t="str">
        <f ca="1">IFERROR(__xludf.DUMMYFUNCTION("""COMPUTED_VALUE"""),"F24-184-D-AtlasPredict")</f>
        <v>F24-184-D-AtlasPredict</v>
      </c>
      <c r="B184" s="13" t="str">
        <f ca="1">IFERROR(__xludf.DUMMYFUNCTION("""COMPUTED_VALUE"""),"Natural Disaster Prediction System ")</f>
        <v xml:space="preserve">Natural Disaster Prediction System </v>
      </c>
      <c r="C184" s="14" t="str">
        <f ca="1">IFERROR(__xludf.DUMMYFUNCTION("""COMPUTED_VALUE"""),"Project Overview:
This project proposes the development of a Natural Disaster Prediction System
specifically tailored for Pakistan, focusing on real-time forecasting of floods and heavy
rainfall. Leveraging data from key sources like NDMA, PMD, SUPARCO, a"&amp;"nd NASA, the
system will utilize advanced machine learning algorithms to deliver precise, location-
based disaster predictions. A key feature of the system is the interactive mapping of
the Pakistan Atlas, providing real-time visualization of disaster pre"&amp;"dictions and weather
forecasts. Additionally, the platform will generate post-event advisory instructions,
offering actionable safety guidance to authorities and the public.
Key Features for the Natural Disaster Prediction System
• Localized Data Aggrega"&amp;"tion: Combines meteorological data from NDMA,
PMD, and SUPARCO with high-resolution satellite imagery from NASA for
precise disaster predictions
• Dynamic Weather Tracking: Continuously updates weather conditions with
real-time data streams to ensure accu"&amp;"rate forecasts
• Disaster Risk Classification: Employs Random Forest to categorize regions by
disaster risk levels for targeted response
• Flood Zone Detection: Uses SVM to identify flood-prone areas, facilitating
proactive management strategies
• Rainfal"&amp;"l Forecasting: Leverages LSTM for accurate time-series predictions of
rainfall and flood onset
• Model Enhancement with Daily Weather Data: Updates predictive models
daily with new weather data, ensuring continuous improvement in accuracy
based on the lat"&amp;"est information
• Big Data Analytics: Utilizes Apache Spark for efficient analysis of large datasets,
enabling rapid decision-making during critical events
• Automated Regional Advisory Systems: Generates region-specific safety
advisories and evacuation p"&amp;"lans using NLP models, tailored to local languages
• Locality-Based Customizable Alerts: Allows authorities to issue alerts based
on disaster type and severity for specific locations
• Prevention Precautions Based on Historical and Scientific Data:
Recomm"&amp;"ends preventive measures, such as tree planting in flood-prone areas,
based on historical data and scientific research to mitigate future risks
• Pakistan Atlas Visualization: Features interactive maps that display disaster
predictions and weather forecas"&amp;"ts across the Pakistan Atlas, highlighting impact
zones and critical infrastructure
• Data Visualization on Online Portal: Presents prediction models and datasets
through a user-friendly interface accessible to authorities and the general public
• Authori"&amp;"ty Dashboard: Centralizes visualized predictive data and response
tools for emergency management teams
• Public Engagement Section of Portal: Provides citizens with real-time
predictions, safety instructions, and tools for assessing personal risk
• Improv"&amp;"ement of Existing Pakistan Atlas: Utilizes ArcGIS/QGIS to map disaster
risks, monitor environmental changes, and simulate scenarios with high
precision to improve the existing Pakistan Atlas")</f>
        <v>Project Overview:
This project proposes the development of a Natural Disaster Prediction System
specifically tailored for Pakistan, focusing on real-time forecasting of floods and heavy
rainfall. Leveraging data from key sources like NDMA, PMD, SUPARCO, and NASA, the
system will utilize advanced machine learning algorithms to deliver precise, location-
based disaster predictions. A key feature of the system is the interactive mapping of
the Pakistan Atlas, providing real-time visualization of disaster predictions and weather
forecasts. Additionally, the platform will generate post-event advisory instructions,
offering actionable safety guidance to authorities and the public.
Key Features for the Natural Disaster Prediction System
• Localized Data Aggregation: Combines meteorological data from NDMA,
PMD, and SUPARCO with high-resolution satellite imagery from NASA for
precise disaster predictions
• Dynamic Weather Tracking: Continuously updates weather conditions with
real-time data streams to ensure accurate forecasts
• Disaster Risk Classification: Employs Random Forest to categorize regions by
disaster risk levels for targeted response
• Flood Zone Detection: Uses SVM to identify flood-prone areas, facilitating
proactive management strategies
• Rainfall Forecasting: Leverages LSTM for accurate time-series predictions of
rainfall and flood onset
• Model Enhancement with Daily Weather Data: Updates predictive models
daily with new weather data, ensuring continuous improvement in accuracy
based on the latest information
• Big Data Analytics: Utilizes Apache Spark for efficient analysis of large datasets,
enabling rapid decision-making during critical events
• Automated Regional Advisory Systems: Generates region-specific safety
advisories and evacuation plans using NLP models, tailored to local languages
• Locality-Based Customizable Alerts: Allows authorities to issue alerts based
on disaster type and severity for specific locations
• Prevention Precautions Based on Historical and Scientific Data:
Recommends preventive measures, such as tree planting in flood-prone areas,
based on historical data and scientific research to mitigate future risks
• Pakistan Atlas Visualization: Features interactive maps that display disaster
predictions and weather forecasts across the Pakistan Atlas, highlighting impact
zones and critical infrastructure
• Data Visualization on Online Portal: Presents prediction models and datasets
through a user-friendly interface accessible to authorities and the general public
• Authority Dashboard: Centralizes visualized predictive data and response
tools for emergency management teams
• Public Engagement Section of Portal: Provides citizens with real-time
predictions, safety instructions, and tools for assessing personal risk
• Improvement of Existing Pakistan Atlas: Utilizes ArcGIS/QGIS to map disaster
risks, monitor environmental changes, and simulate scenarios with high
precision to improve the existing Pakistan Atlas</v>
      </c>
      <c r="D184" s="12" t="str">
        <f ca="1">IFERROR(__xludf.DUMMYFUNCTION("""COMPUTED_VALUE"""),"Dr. Atif Jilani")</f>
        <v>Dr. Atif Jilani</v>
      </c>
      <c r="E184" s="12"/>
      <c r="F184" s="12" t="str">
        <f ca="1">IFERROR(__xludf.DUMMYFUNCTION("""COMPUTED_VALUE"""),"Umar Gul ")</f>
        <v xml:space="preserve">Umar Gul </v>
      </c>
      <c r="G184" s="12" t="str">
        <f ca="1">IFERROR(__xludf.DUMMYFUNCTION("""COMPUTED_VALUE"""),"i200591")</f>
        <v>i200591</v>
      </c>
      <c r="H184" s="12" t="str">
        <f ca="1">IFERROR(__xludf.DUMMYFUNCTION("""COMPUTED_VALUE"""),"Omar Mughal")</f>
        <v>Omar Mughal</v>
      </c>
      <c r="I184" s="12" t="str">
        <f ca="1">IFERROR(__xludf.DUMMYFUNCTION("""COMPUTED_VALUE"""),"i200739")</f>
        <v>i200739</v>
      </c>
      <c r="J184" s="12" t="str">
        <f ca="1">IFERROR(__xludf.DUMMYFUNCTION("""COMPUTED_VALUE"""),"Zainab kayani")</f>
        <v>Zainab kayani</v>
      </c>
      <c r="K184" s="12" t="str">
        <f ca="1">IFERROR(__xludf.DUMMYFUNCTION("""COMPUTED_VALUE"""),"f201134")</f>
        <v>f201134</v>
      </c>
    </row>
    <row r="185" spans="1:11" ht="409.5">
      <c r="A185" s="12" t="str">
        <f ca="1">IFERROR(__xludf.DUMMYFUNCTION("""COMPUTED_VALUE"""),"F24-185-D-SmartGallery")</f>
        <v>F24-185-D-SmartGallery</v>
      </c>
      <c r="B185" s="13" t="str">
        <f ca="1">IFERROR(__xludf.DUMMYFUNCTION("""COMPUTED_VALUE"""),"AI-Powered Gallery Search and Image Retrieval System")</f>
        <v>AI-Powered Gallery Search and Image Retrieval System</v>
      </c>
      <c r="C185" s="14" t="str">
        <f ca="1">IFERROR(__xludf.DUMMYFUNCTION("""COMPUTED_VALUE"""),"This project aims to develop ""Smart Gallery,"" a sophisticated application designed to enhance the user experience in image management and retrieval. It will allow users to search and retrieve images from their galleries using natural language prompts, r"&amp;"ecognize individuals and scenes, generate descriptive captions, and integrate these functionalities seamlessly with mobile devices.
Key features:
1. People Classification: Identify and categorize individuals in images based on age and sentiment, enh"&amp;"ancing gallery organization.
2. Content Classification: Recognize and categorize objects and scenes within images, such as cars, landscapes, and animals.
3. Geo-Location Tagging: Automatically tag images with geographic data, enriching the context.
4. "&amp;"Text-to-Image Search and Retrieval: Enable natural language-based image searching in user galleries.
5. Information Retrieval within Images: Extract and translate text from images to facilitate multilingual information exchange.
6. Caption Generation: A"&amp;"utomatically create relevant captions for images, making them ready for media use.
7. Prompt-Based Inpainting: Edit and style images using natural language prompts, supporting features like style transfer and blurring.
8. Reverse Image Retrieval: Enable"&amp;" searching for similar images based on an input image.
9. Mobile App Integration: Seamlessly integrate these features into a mobile application to enhance accessibility and user engagement.
* Tentative Features
10. Text-based-Video Search and Retriev"&amp;"al: video searching according to a natural language prompt . Content and person based searching . segmentation and editing .
11. content blocking : Audio and video content blurring for racial or offensive comments.
12. text based Audio search : Audio fi"&amp;"le searching using natural language prompt , Altering and editing certain Conversation , to highlight tune of audio or blur audio.
Smart-Gallery will provide a unified platform to access and play around with multiple features for people from any profes"&amp;"sion to tweak and use it according to there use cases . ")</f>
        <v xml:space="preserve">This project aims to develop "Smart Gallery," a sophisticated application designed to enhance the user experience in image management and retrieval. It will allow users to search and retrieve images from their galleries using natural language prompts, recognize individuals and scenes, generate descriptive captions, and integrate these functionalities seamlessly with mobile devices.
Key features:
1. People Classification: Identify and categorize individuals in images based on age and sentiment, enhancing gallery organization.
2. Content Classification: Recognize and categorize objects and scenes within images, such as cars, landscapes, and animals.
3. Geo-Location Tagging: Automatically tag images with geographic data, enriching the context.
4. Text-to-Image Search and Retrieval: Enable natural language-based image searching in user galleries.
5. Information Retrieval within Images: Extract and translate text from images to facilitate multilingual information exchange.
6. Caption Generation: Automatically create relevant captions for images, making them ready for media use.
7. Prompt-Based Inpainting: Edit and style images using natural language prompts, supporting features like style transfer and blurring.
8. Reverse Image Retrieval: Enable searching for similar images based on an input image.
9. Mobile App Integration: Seamlessly integrate these features into a mobile application to enhance accessibility and user engagement.
* Tentative Features
10. Text-based-Video Search and Retrieval: video searching according to a natural language prompt . Content and person based searching . segmentation and editing .
11. content blocking : Audio and video content blurring for racial or offensive comments.
12. text based Audio search : Audio file searching using natural language prompt , Altering and editing certain Conversation , to highlight tune of audio or blur audio.
Smart-Gallery will provide a unified platform to access and play around with multiple features for people from any profession to tweak and use it according to there use cases . </v>
      </c>
      <c r="D185" s="12" t="str">
        <f ca="1">IFERROR(__xludf.DUMMYFUNCTION("""COMPUTED_VALUE"""),"Mr. Irfan Ullah")</f>
        <v>Mr. Irfan Ullah</v>
      </c>
      <c r="E185" s="12" t="str">
        <f ca="1">IFERROR(__xludf.DUMMYFUNCTION("""COMPUTED_VALUE"""),"Mr. Pir Sami Ullah Shah")</f>
        <v>Mr. Pir Sami Ullah Shah</v>
      </c>
      <c r="F185" s="12" t="str">
        <f ca="1">IFERROR(__xludf.DUMMYFUNCTION("""COMPUTED_VALUE"""),"Hassan Younas")</f>
        <v>Hassan Younas</v>
      </c>
      <c r="G185" s="12" t="str">
        <f ca="1">IFERROR(__xludf.DUMMYFUNCTION("""COMPUTED_VALUE"""),"i211788")</f>
        <v>i211788</v>
      </c>
      <c r="H185" s="12" t="str">
        <f ca="1">IFERROR(__xludf.DUMMYFUNCTION("""COMPUTED_VALUE"""),"Shahbaz Haider Mirza")</f>
        <v>Shahbaz Haider Mirza</v>
      </c>
      <c r="I185" s="12" t="str">
        <f ca="1">IFERROR(__xludf.DUMMYFUNCTION("""COMPUTED_VALUE"""),"i212674")</f>
        <v>i212674</v>
      </c>
      <c r="J185" s="12" t="str">
        <f ca="1">IFERROR(__xludf.DUMMYFUNCTION("""COMPUTED_VALUE"""),"Mirza Muhammad Nehan")</f>
        <v>Mirza Muhammad Nehan</v>
      </c>
      <c r="K185" s="12" t="str">
        <f ca="1">IFERROR(__xludf.DUMMYFUNCTION("""COMPUTED_VALUE"""),"i211359")</f>
        <v>i211359</v>
      </c>
    </row>
    <row r="186" spans="1:11" ht="318.75">
      <c r="A186" s="12" t="str">
        <f ca="1">IFERROR(__xludf.DUMMYFUNCTION("""COMPUTED_VALUE"""),"F24-186-D-Reagent")</f>
        <v>F24-186-D-Reagent</v>
      </c>
      <c r="B186" s="13" t="str">
        <f ca="1">IFERROR(__xludf.DUMMYFUNCTION("""COMPUTED_VALUE"""),"Reagent: Seamless Development")</f>
        <v>Reagent: Seamless Development</v>
      </c>
      <c r="C186" s="14" t="str">
        <f ca="1">IFERROR(__xludf.DUMMYFUNCTION("""COMPUTED_VALUE"""),"This project aims to develop a specialized tool for analyzing Python code quality, addressing the unique features and idioms of the Python language. Unlike existing tools that primarily focus on languages like Java, C, and C++, this tool is designed to de"&amp;"tect Python-specific code smells, analyze code complexity, and provide actionable insights for optimization. It also integrates with GitHub Copilot and Python Tutor to enhance developer productivity and code understanding, ensuring that Python code is not"&amp;" only compliant with PEP8 but also structurally sound and maintainable.
Python-Specific Code Smell Detection: Identifies common Python code smells and provides recommendations for improvement.
Code Complexity Analysis: Evaluates and reports on the compl"&amp;"exity of Python code, offering suggestions to simplify and optimize.
GitHub Copilot Integration: Seamlessly integrates with GitHub Copilot to provide intelligent code completion and suggestions.
Python Tutor Integration: Visualizes code execution to hel"&amp;"p developers understand and debug Python code more effectively.
Structural and Design Issue Detection: Identifies deeper structural and design issues that could impact code maintainability.
Structural and Design Issue Detection: Identifies deeper struct"&amp;"ural and design issues that could impact code maintainability.")</f>
        <v>This project aims to develop a specialized tool for analyzing Python code quality, addressing the unique features and idioms of the Python language. Unlike existing tools that primarily focus on languages like Java, C, and C++, this tool is designed to detect Python-specific code smells, analyze code complexity, and provide actionable insights for optimization. It also integrates with GitHub Copilot and Python Tutor to enhance developer productivity and code understanding, ensuring that Python code is not only compliant with PEP8 but also structurally sound and maintainable.
Python-Specific Code Smell Detection: Identifies common Python code smells and provides recommendations for improvement.
Code Complexity Analysis: Evaluates and reports on the complexity of Python code, offering suggestions to simplify and optimize.
GitHub Copilot Integration: Seamlessly integrates with GitHub Copilot to provide intelligent code completion and suggestions.
Python Tutor Integration: Visualizes code execution to help developers understand and debug Python code more effectively.
Structural and Design Issue Detection: Identifies deeper structural and design issues that could impact code maintainability.
Structural and Design Issue Detection: Identifies deeper structural and design issues that could impact code maintainability.</v>
      </c>
      <c r="D186" s="12" t="str">
        <f ca="1">IFERROR(__xludf.DUMMYFUNCTION("""COMPUTED_VALUE"""),"Dr. Javaria Imtiaz")</f>
        <v>Dr. Javaria Imtiaz</v>
      </c>
      <c r="E186" s="12"/>
      <c r="F186" s="12" t="str">
        <f ca="1">IFERROR(__xludf.DUMMYFUNCTION("""COMPUTED_VALUE"""),"Omais Afzal")</f>
        <v>Omais Afzal</v>
      </c>
      <c r="G186" s="12" t="str">
        <f ca="1">IFERROR(__xludf.DUMMYFUNCTION("""COMPUTED_VALUE"""),"i211369")</f>
        <v>i211369</v>
      </c>
      <c r="H186" s="12" t="str">
        <f ca="1">IFERROR(__xludf.DUMMYFUNCTION("""COMPUTED_VALUE"""),"Hamdan Ali")</f>
        <v>Hamdan Ali</v>
      </c>
      <c r="I186" s="12" t="str">
        <f ca="1">IFERROR(__xludf.DUMMYFUNCTION("""COMPUTED_VALUE"""),"i210754")</f>
        <v>i210754</v>
      </c>
      <c r="J186" s="12" t="str">
        <f ca="1">IFERROR(__xludf.DUMMYFUNCTION("""COMPUTED_VALUE"""),"Ahsan Wasim")</f>
        <v>Ahsan Wasim</v>
      </c>
      <c r="K186" s="12" t="str">
        <f ca="1">IFERROR(__xludf.DUMMYFUNCTION("""COMPUTED_VALUE"""),"i210440")</f>
        <v>i210440</v>
      </c>
    </row>
    <row r="187" spans="1:11" ht="318.75">
      <c r="A187" s="12" t="str">
        <f ca="1">IFERROR(__xludf.DUMMYFUNCTION("""COMPUTED_VALUE"""),"F24-187-R-CodeCommClassifier")</f>
        <v>F24-187-R-CodeCommClassifier</v>
      </c>
      <c r="B187" s="13" t="str">
        <f ca="1">IFERROR(__xludf.DUMMYFUNCTION("""COMPUTED_VALUE"""),"Code Comment Classification: Multiclass Classification of Code Comments Using Transformer-Based Models")</f>
        <v>Code Comment Classification: Multiclass Classification of Code Comments Using Transformer-Based Models</v>
      </c>
      <c r="C187" s="14" t="str">
        <f ca="1">IFERROR(__xludf.DUMMYFUNCTION("""COMPUTED_VALUE"""),"The ""CodeComm Classifier"" project aims to develop a machine learning model for the automatic classification of code comments into various predefined categories. Leveraging the power of Transformer-based models, the project seeks to surpass existing base"&amp;"lines in accuracy and efficiency. The scope includes dataset preparation, model training, hyperparameter tuning, and extensive evaluation on a large dataset. The project will contribute valuable insights into natural language processing in software engine"&amp;"ering, enhancing automated documentation and code review processes. 
Key Features:
Multi-class Classification: The software will classify code comments into one or more of 19 predefined categories.
Transformer-based Model: Utilizes advanced Transformer a"&amp;"rchitecture for superior text classification performance.
Customizable Hyperparameters: Allows for fine-tuning of model hyperparameters to optimize performance.
Cross-Validation: Implements cross-validation techniques to ensure model robustness and genera"&amp;"lizability.
Real-time Inference: Provides real-time classification of code comments for integration into development tools.
Performance Analytics: Includes detailed performance metrics and visualization tools for model evaluation.
Scalable Architecture: D"&amp;"esigned to handle large datasets and can be scaled for even bigger code repositories.
Model Comparison: Compares the performance of various models and techniques to determine the most effective approach.")</f>
        <v>The "CodeComm Classifier" project aims to develop a machine learning model for the automatic classification of code comments into various predefined categories. Leveraging the power of Transformer-based models, the project seeks to surpass existing baselines in accuracy and efficiency. The scope includes dataset preparation, model training, hyperparameter tuning, and extensive evaluation on a large dataset. The project will contribute valuable insights into natural language processing in software engineering, enhancing automated documentation and code review processes. 
Key Features:
Multi-class Classification: The software will classify code comments into one or more of 19 predefined categories.
Transformer-based Model: Utilizes advanced Transformer architecture for superior text classification performance.
Customizable Hyperparameters: Allows for fine-tuning of model hyperparameters to optimize performance.
Cross-Validation: Implements cross-validation techniques to ensure model robustness and generalizability.
Real-time Inference: Provides real-time classification of code comments for integration into development tools.
Performance Analytics: Includes detailed performance metrics and visualization tools for model evaluation.
Scalable Architecture: Designed to handle large datasets and can be scaled for even bigger code repositories.
Model Comparison: Compares the performance of various models and techniques to determine the most effective approach.</v>
      </c>
      <c r="D187" s="12" t="str">
        <f ca="1">IFERROR(__xludf.DUMMYFUNCTION("""COMPUTED_VALUE"""),"Mr. Pir Sami Ullah Shah")</f>
        <v>Mr. Pir Sami Ullah Shah</v>
      </c>
      <c r="E187" s="12"/>
      <c r="F187" s="12" t="str">
        <f ca="1">IFERROR(__xludf.DUMMYFUNCTION("""COMPUTED_VALUE"""),"Muhammad Haris Athar")</f>
        <v>Muhammad Haris Athar</v>
      </c>
      <c r="G187" s="12" t="str">
        <f ca="1">IFERROR(__xludf.DUMMYFUNCTION("""COMPUTED_VALUE"""),"i211159")</f>
        <v>i211159</v>
      </c>
      <c r="H187" s="12" t="str">
        <f ca="1">IFERROR(__xludf.DUMMYFUNCTION("""COMPUTED_VALUE"""),"Muhammad Riyaan Tariq")</f>
        <v>Muhammad Riyaan Tariq</v>
      </c>
      <c r="I187" s="12" t="str">
        <f ca="1">IFERROR(__xludf.DUMMYFUNCTION("""COMPUTED_VALUE"""),"i211101")</f>
        <v>i211101</v>
      </c>
      <c r="J187" s="12" t="str">
        <f ca="1">IFERROR(__xludf.DUMMYFUNCTION("""COMPUTED_VALUE"""),"Abdur Rehman Afzal")</f>
        <v>Abdur Rehman Afzal</v>
      </c>
      <c r="K187" s="12" t="str">
        <f ca="1">IFERROR(__xludf.DUMMYFUNCTION("""COMPUTED_VALUE"""),"i211151")</f>
        <v>i211151</v>
      </c>
    </row>
    <row r="188" spans="1:11" ht="165.75">
      <c r="A188" s="12" t="str">
        <f ca="1">IFERROR(__xludf.DUMMYFUNCTION("""COMPUTED_VALUE"""),"F24-188-D-Realconnect")</f>
        <v>F24-188-D-Realconnect</v>
      </c>
      <c r="B188" s="13" t="str">
        <f ca="1">IFERROR(__xludf.DUMMYFUNCTION("""COMPUTED_VALUE"""),"Real Estate Management System")</f>
        <v>Real Estate Management System</v>
      </c>
      <c r="C188" s="14" t="str">
        <f ca="1">IFERROR(__xludf.DUMMYFUNCTION("""COMPUTED_VALUE"""),"This online real estate Management system is perfect tool to digitalize the real estate business that is being run manually. This system is developed for the companies and individuals which run real estate business. This makes sure 24×7 service to the cus"&amp;"tomers. Just few clicks are required to visit and confirm the property. Payment can be done online.
1. Advance search filters
2. AI-Powered Property Recommendations
3. Automated Documentation and Contract Management 
4. Market Analysis and Price trends
5"&amp;". Property management for owners
6. Integration with Payment gateways
7. User Reviews and Ratings
8. Neighborhood insights and Community Features")</f>
        <v>This online real estate Management system is perfect tool to digitalize the real estate business that is being run manually. This system is developed for the companies and individuals which run real estate business. This makes sure 24×7 service to the customers. Just few clicks are required to visit and confirm the property. Payment can be done online.
1. Advance search filters
2. AI-Powered Property Recommendations
3. Automated Documentation and Contract Management 
4. Market Analysis and Price trends
5. Property management for owners
6. Integration with Payment gateways
7. User Reviews and Ratings
8. Neighborhood insights and Community Features</v>
      </c>
      <c r="D188" s="12" t="str">
        <f ca="1">IFERROR(__xludf.DUMMYFUNCTION("""COMPUTED_VALUE"""),"Mr. Irfan Ullah")</f>
        <v>Mr. Irfan Ullah</v>
      </c>
      <c r="E188" s="12"/>
      <c r="F188" s="12" t="str">
        <f ca="1">IFERROR(__xludf.DUMMYFUNCTION("""COMPUTED_VALUE"""),"Khuzaima Haroon")</f>
        <v>Khuzaima Haroon</v>
      </c>
      <c r="G188" s="12" t="str">
        <f ca="1">IFERROR(__xludf.DUMMYFUNCTION("""COMPUTED_VALUE"""),"i201896")</f>
        <v>i201896</v>
      </c>
      <c r="H188" s="12" t="str">
        <f ca="1">IFERROR(__xludf.DUMMYFUNCTION("""COMPUTED_VALUE"""),"Huzaifa Anjum")</f>
        <v>Huzaifa Anjum</v>
      </c>
      <c r="I188" s="12" t="str">
        <f ca="1">IFERROR(__xludf.DUMMYFUNCTION("""COMPUTED_VALUE"""),"i202319")</f>
        <v>i202319</v>
      </c>
      <c r="J188" s="12"/>
      <c r="K188" s="12"/>
    </row>
    <row r="189" spans="1:11" ht="395.25">
      <c r="A189" s="12" t="str">
        <f ca="1">IFERROR(__xludf.DUMMYFUNCTION("""COMPUTED_VALUE"""),"F24-189-D-Pixel")</f>
        <v>F24-189-D-Pixel</v>
      </c>
      <c r="B189" s="13" t="str">
        <f ca="1">IFERROR(__xludf.DUMMYFUNCTION("""COMPUTED_VALUE"""),"Decentralized NFT Marketplace")</f>
        <v>Decentralized NFT Marketplace</v>
      </c>
      <c r="C189" s="14" t="str">
        <f ca="1">IFERROR(__xludf.DUMMYFUNCTION("""COMPUTED_VALUE"""),"Pixel is a decentralized NFT marketplace that leverages blockchain technology to empower artists, collectors, and enthusiasts by providing a secure, transparent, and user-friendly platform for creating, buying, and selling digital assets. Built on the MER"&amp;"N stack with Next.js for enhanced performance, Python for generative AI capabilities, and Solidity for smart contract implementation, Pixel aims to democratize the art world by removing intermediaries and ensuring that creators retain ownership and contro"&amp;"l over their work. The platform will also feature AI-driven tools to help users generate, discover, and curate unique NFTs.
Key Features:
	1.	Decentralized Ownership: Smart contracts powered by Solidity ensure transparent and secure ownership of digital"&amp;" assets.
	2.	AI-Powered NFT Generation: Integration of Python-based generative AI tools to create unique, customizable NFTs.
	3.	Cross-Chain Compatibility: Support for multiple blockchain networks, allowing users to trade NFTs across different chains.
	4."&amp;"	Advanced Search and Discovery: Enhanced search algorithms to help users find specific NFTs based on various filters and AI-driven recommendations.
	5.	User-Friendly Interface: A seamless and intuitive UI/UX designed using Next.js to cater to both novice "&amp;"and experienced users.
	6.	Auction and Bidding System: A decentralized auction mechanism that allows users to bid on NFTs in a transparent manner.
	7.	Royalty Management: Automatic distribution of royalties to creators for every resale of their NFTs.
	8.	"&amp;"Community Governance: Decentralized governance features that let users vote on platform changes and new features.
	9.	Secure Wallet Integration: Easy integration with popular cryptocurrency wallets for safe transactions.
	10.	Fraud Detection: Built-in mec"&amp;"hanisms to detect and prevent fraudulent activities and ensure the authenticity of NFTs.")</f>
        <v>Pixel is a decentralized NFT marketplace that leverages blockchain technology to empower artists, collectors, and enthusiasts by providing a secure, transparent, and user-friendly platform for creating, buying, and selling digital assets. Built on the MERN stack with Next.js for enhanced performance, Python for generative AI capabilities, and Solidity for smart contract implementation, Pixel aims to democratize the art world by removing intermediaries and ensuring that creators retain ownership and control over their work. The platform will also feature AI-driven tools to help users generate, discover, and curate unique NFTs.
Key Features:
	1.	Decentralized Ownership: Smart contracts powered by Solidity ensure transparent and secure ownership of digital assets.
	2.	AI-Powered NFT Generation: Integration of Python-based generative AI tools to create unique, customizable NFTs.
	3.	Cross-Chain Compatibility: Support for multiple blockchain networks, allowing users to trade NFTs across different chains.
	4.	Advanced Search and Discovery: Enhanced search algorithms to help users find specific NFTs based on various filters and AI-driven recommendations.
	5.	User-Friendly Interface: A seamless and intuitive UI/UX designed using Next.js to cater to both novice and experienced users.
	6.	Auction and Bidding System: A decentralized auction mechanism that allows users to bid on NFTs in a transparent manner.
	7.	Royalty Management: Automatic distribution of royalties to creators for every resale of their NFTs.
	8.	Community Governance: Decentralized governance features that let users vote on platform changes and new features.
	9.	Secure Wallet Integration: Easy integration with popular cryptocurrency wallets for safe transactions.
	10.	Fraud Detection: Built-in mechanisms to detect and prevent fraudulent activities and ensure the authenticity of NFTs.</v>
      </c>
      <c r="D189" s="12" t="str">
        <f ca="1">IFERROR(__xludf.DUMMYFUNCTION("""COMPUTED_VALUE"""),"Dr. Qaiser Shafi")</f>
        <v>Dr. Qaiser Shafi</v>
      </c>
      <c r="E189" s="12" t="str">
        <f ca="1">IFERROR(__xludf.DUMMYFUNCTION("""COMPUTED_VALUE"""),"Dr. Muhammad Asim")</f>
        <v>Dr. Muhammad Asim</v>
      </c>
      <c r="F189" s="12" t="str">
        <f ca="1">IFERROR(__xludf.DUMMYFUNCTION("""COMPUTED_VALUE"""),"Muhammad Shahab Alam")</f>
        <v>Muhammad Shahab Alam</v>
      </c>
      <c r="G189" s="12" t="str">
        <f ca="1">IFERROR(__xludf.DUMMYFUNCTION("""COMPUTED_VALUE"""),"i211915")</f>
        <v>i211915</v>
      </c>
      <c r="H189" s="12" t="str">
        <f ca="1">IFERROR(__xludf.DUMMYFUNCTION("""COMPUTED_VALUE"""),"Sabih Nasir")</f>
        <v>Sabih Nasir</v>
      </c>
      <c r="I189" s="12" t="str">
        <f ca="1">IFERROR(__xludf.DUMMYFUNCTION("""COMPUTED_VALUE"""),"i212769")</f>
        <v>i212769</v>
      </c>
      <c r="J189" s="12" t="str">
        <f ca="1">IFERROR(__xludf.DUMMYFUNCTION("""COMPUTED_VALUE"""),"Siyam Haider")</f>
        <v>Siyam Haider</v>
      </c>
      <c r="K189" s="12" t="str">
        <f ca="1">IFERROR(__xludf.DUMMYFUNCTION("""COMPUTED_VALUE"""),"i211571")</f>
        <v>i211571</v>
      </c>
    </row>
    <row r="190" spans="1:11" ht="357">
      <c r="A190" s="12" t="str">
        <f ca="1">IFERROR(__xludf.DUMMYFUNCTION("""COMPUTED_VALUE"""),"F24-190-D-WattWiseAI")</f>
        <v>F24-190-D-WattWiseAI</v>
      </c>
      <c r="B190" s="13" t="str">
        <f ca="1">IFERROR(__xludf.DUMMYFUNCTION("""COMPUTED_VALUE"""),"AI-Powered Predictive Analysis of Power Consumption")</f>
        <v>AI-Powered Predictive Analysis of Power Consumption</v>
      </c>
      <c r="C190" s="14" t="str">
        <f ca="1">IFERROR(__xludf.DUMMYFUNCTION("""COMPUTED_VALUE"""),"The ""AI-Powered Predictive Analysis of Power Consumption"" project is designed to harness the power of artificial intelligence to provide accurate, data-driven predictions of power consumption. The scope of the project includes collecting and analyzing d"&amp;"ata on various factors such as humidity, temperature, seasonal variations, and holiday impacts, and integrating these variables into a sophisticated AI model. The ultimate goal is to deliver actionable insights that can be used for pre-construction power "&amp;"estimation, optimizing energy efficiency, and assisting in the transition to solar energy. The project’s reach extends to developers, homeowners, industries, and renewable energy advocates, offering a comprehensive solution for power consumption forecasti"&amp;"ng.
Key Features:
Advanced Data Analytics: Utilizes AI to analyze vast datasets including weather conditions, seasonal patterns, and historical power usage.
Predictive Modeling: Generates accurate power consumption forecasts based on real-time and histo"&amp;"rical data.
Customizable Dashboards: Offers user-friendly dashboards that can be tailored to display relevant insights for different users, such as homeowners or developers.
Energy Efficiency Recommendations: Provides suggestions to reduce energy waste an"&amp;"d optimize power usage based on consumption patterns.
Solar Energy Transition Analysis: Assesses current power consumption and calculates potential savings from transitioning to solar energy.
Scalability: Capable of handling data from individual homes to "&amp;"entire residential communities, making it suitable for a wide range of applications.
Seasonal Adjustment Algorithms: Adjusts predictions according to seasonal variations and holiday impacts, improving accuracy.
Pre-Construction Power Estimation: Helps dev"&amp;"elopers estimate power needs for new constructions, aiding in better infrastructure planning.")</f>
        <v>The "AI-Powered Predictive Analysis of Power Consumption" project is designed to harness the power of artificial intelligence to provide accurate, data-driven predictions of power consumption. The scope of the project includes collecting and analyzing data on various factors such as humidity, temperature, seasonal variations, and holiday impacts, and integrating these variables into a sophisticated AI model. The ultimate goal is to deliver actionable insights that can be used for pre-construction power estimation, optimizing energy efficiency, and assisting in the transition to solar energy. The project’s reach extends to developers, homeowners, industries, and renewable energy advocates, offering a comprehensive solution for power consumption forecasting.
Key Features:
Advanced Data Analytics: Utilizes AI to analyze vast datasets including weather conditions, seasonal patterns, and historical power usage.
Predictive Modeling: Generates accurate power consumption forecasts based on real-time and historical data.
Customizable Dashboards: Offers user-friendly dashboards that can be tailored to display relevant insights for different users, such as homeowners or developers.
Energy Efficiency Recommendations: Provides suggestions to reduce energy waste and optimize power usage based on consumption patterns.
Solar Energy Transition Analysis: Assesses current power consumption and calculates potential savings from transitioning to solar energy.
Scalability: Capable of handling data from individual homes to entire residential communities, making it suitable for a wide range of applications.
Seasonal Adjustment Algorithms: Adjusts predictions according to seasonal variations and holiday impacts, improving accuracy.
Pre-Construction Power Estimation: Helps developers estimate power needs for new constructions, aiding in better infrastructure planning.</v>
      </c>
      <c r="D190" s="12" t="str">
        <f ca="1">IFERROR(__xludf.DUMMYFUNCTION("""COMPUTED_VALUE"""),"Dr. Labiba Fahad")</f>
        <v>Dr. Labiba Fahad</v>
      </c>
      <c r="E190" s="12"/>
      <c r="F190" s="12" t="str">
        <f ca="1">IFERROR(__xludf.DUMMYFUNCTION("""COMPUTED_VALUE"""),"Azeem Waqar")</f>
        <v>Azeem Waqar</v>
      </c>
      <c r="G190" s="12" t="str">
        <f ca="1">IFERROR(__xludf.DUMMYFUNCTION("""COMPUTED_VALUE"""),"i210679")</f>
        <v>i210679</v>
      </c>
      <c r="H190" s="12" t="str">
        <f ca="1">IFERROR(__xludf.DUMMYFUNCTION("""COMPUTED_VALUE"""),"Talha Jalil")</f>
        <v>Talha Jalil</v>
      </c>
      <c r="I190" s="12" t="str">
        <f ca="1">IFERROR(__xludf.DUMMYFUNCTION("""COMPUTED_VALUE"""),"i210559")</f>
        <v>i210559</v>
      </c>
      <c r="J190" s="12" t="str">
        <f ca="1">IFERROR(__xludf.DUMMYFUNCTION("""COMPUTED_VALUE"""),"Arsal Munir")</f>
        <v>Arsal Munir</v>
      </c>
      <c r="K190" s="12" t="str">
        <f ca="1">IFERROR(__xludf.DUMMYFUNCTION("""COMPUTED_VALUE"""),"i210414")</f>
        <v>i210414</v>
      </c>
    </row>
    <row r="191" spans="1:11" ht="204">
      <c r="A191" s="12" t="str">
        <f ca="1">IFERROR(__xludf.DUMMYFUNCTION("""COMPUTED_VALUE"""),"F24-191-D-BugLens")</f>
        <v>F24-191-D-BugLens</v>
      </c>
      <c r="B191" s="13" t="str">
        <f ca="1">IFERROR(__xludf.DUMMYFUNCTION("""COMPUTED_VALUE"""),"Automated bug classification approach for spatial and temporal video game bugs")</f>
        <v>Automated bug classification approach for spatial and temporal video game bugs</v>
      </c>
      <c r="C191" s="14" t="str">
        <f ca="1">IFERROR(__xludf.DUMMYFUNCTION("""COMPUTED_VALUE"""),"This project aims to develop a system for scraping game bug reviews from the Steam platform, where the reviews will be categorized into 15 distinct bug categories. The system will utilize 15 separate binary classification models, exclusively based on Tran"&amp;"sformer-based models, for automated classification of each review according to these categories. Advanced NLP-based techniques will be used to ensure accurate and efficient automated classification of the reviews into the predefined bug categories.
Featu"&amp;"res:
1. Automated bug classification
2. Link based search
3. CSV based search
4. Dataset mining
5. NLP based model building
6. Report generation
7. Profile Management
8. Model Hosting on Hugging Face
")</f>
        <v xml:space="preserve">This project aims to develop a system for scraping game bug reviews from the Steam platform, where the reviews will be categorized into 15 distinct bug categories. The system will utilize 15 separate binary classification models, exclusively based on Transformer-based models, for automated classification of each review according to these categories. Advanced NLP-based techniques will be used to ensure accurate and efficient automated classification of the reviews into the predefined bug categories.
Features:
1. Automated bug classification
2. Link based search
3. CSV based search
4. Dataset mining
5. NLP based model building
6. Report generation
7. Profile Management
8. Model Hosting on Hugging Face
</v>
      </c>
      <c r="D191" s="12" t="str">
        <f ca="1">IFERROR(__xludf.DUMMYFUNCTION("""COMPUTED_VALUE"""),"Mr. Bilal Khalid Dar")</f>
        <v>Mr. Bilal Khalid Dar</v>
      </c>
      <c r="E191" s="12" t="str">
        <f ca="1">IFERROR(__xludf.DUMMYFUNCTION("""COMPUTED_VALUE"""),"Ms. Zoya Mahboob")</f>
        <v>Ms. Zoya Mahboob</v>
      </c>
      <c r="F191" s="12" t="str">
        <f ca="1">IFERROR(__xludf.DUMMYFUNCTION("""COMPUTED_VALUE"""),"Fatima Qurban")</f>
        <v>Fatima Qurban</v>
      </c>
      <c r="G191" s="12" t="str">
        <f ca="1">IFERROR(__xludf.DUMMYFUNCTION("""COMPUTED_VALUE"""),"i211195")</f>
        <v>i211195</v>
      </c>
      <c r="H191" s="12" t="str">
        <f ca="1">IFERROR(__xludf.DUMMYFUNCTION("""COMPUTED_VALUE"""),"Amna Shahid")</f>
        <v>Amna Shahid</v>
      </c>
      <c r="I191" s="12" t="str">
        <f ca="1">IFERROR(__xludf.DUMMYFUNCTION("""COMPUTED_VALUE"""),"i211148")</f>
        <v>i211148</v>
      </c>
      <c r="J191" s="12" t="str">
        <f ca="1">IFERROR(__xludf.DUMMYFUNCTION("""COMPUTED_VALUE"""),"Masood Ghauri")</f>
        <v>Masood Ghauri</v>
      </c>
      <c r="K191" s="12" t="str">
        <f ca="1">IFERROR(__xludf.DUMMYFUNCTION("""COMPUTED_VALUE"""),"i211198")</f>
        <v>i211198</v>
      </c>
    </row>
    <row r="192" spans="1:11" ht="242.25">
      <c r="A192" s="12" t="str">
        <f ca="1">IFERROR(__xludf.DUMMYFUNCTION("""COMPUTED_VALUE"""),"F24-192-R-WorkSync")</f>
        <v>F24-192-R-WorkSync</v>
      </c>
      <c r="B192" s="13" t="str">
        <f ca="1">IFERROR(__xludf.DUMMYFUNCTION("""COMPUTED_VALUE"""),"AI-enhanced video conferencing and remote work platform")</f>
        <v>AI-enhanced video conferencing and remote work platform</v>
      </c>
      <c r="C192" s="14" t="str">
        <f ca="1">IFERROR(__xludf.DUMMYFUNCTION("""COMPUTED_VALUE"""),"WorkSync is an advanced AI-enhanced video conferencing and remote work platform designed to meet the needs of modern-day digital collaboration. The platform leverages PyTorch and TensorFlow for real-time deepfake detection, OpenCV for facial recognition, "&amp;"and Google Cloud for speech-to-text translation. Background generation is enhanced using AI models powered by TensorFlow, while text-to-speech functionality is also supported by Google Cloud. The user interface is built using Angular and React, with Fireb"&amp;"ase handling real-time data management and user authentication. Collaboration tools are seamlessly integrated to facilitate file sharing, co-editing, and project management.
Key features include:
1. Real-time Deepfake Detection (PyTorch, TensorFlow)
2. F"&amp;"acial Recognition (OpenCV)
3. Background Generation using AI (TensorFlow)
4. Voice-to-Text Translation (Google Cloud)
5. UI Prompts Meeting Host with Actionable Options (e.g., Remove Deepfake-Detected Members)
6. User Interface and Management for All Memb"&amp;"ers
7. Private Chats
8. Collaboration Tools with Real-time Data")</f>
        <v>WorkSync is an advanced AI-enhanced video conferencing and remote work platform designed to meet the needs of modern-day digital collaboration. The platform leverages PyTorch and TensorFlow for real-time deepfake detection, OpenCV for facial recognition, and Google Cloud for speech-to-text translation. Background generation is enhanced using AI models powered by TensorFlow, while text-to-speech functionality is also supported by Google Cloud. The user interface is built using Angular and React, with Firebase handling real-time data management and user authentication. Collaboration tools are seamlessly integrated to facilitate file sharing, co-editing, and project management.
Key features include:
1. Real-time Deepfake Detection (PyTorch, TensorFlow)
2. Facial Recognition (OpenCV)
3. Background Generation using AI (TensorFlow)
4. Voice-to-Text Translation (Google Cloud)
5. UI Prompts Meeting Host with Actionable Options (e.g., Remove Deepfake-Detected Members)
6. User Interface and Management for All Members
7. Private Chats
8. Collaboration Tools with Real-time Data</v>
      </c>
      <c r="D192" s="12" t="str">
        <f ca="1">IFERROR(__xludf.DUMMYFUNCTION("""COMPUTED_VALUE"""),"Dr. Akhtar Jamil")</f>
        <v>Dr. Akhtar Jamil</v>
      </c>
      <c r="E192" s="12"/>
      <c r="F192" s="12" t="str">
        <f ca="1">IFERROR(__xludf.DUMMYFUNCTION("""COMPUTED_VALUE"""),"Fatima Saad")</f>
        <v>Fatima Saad</v>
      </c>
      <c r="G192" s="12" t="str">
        <f ca="1">IFERROR(__xludf.DUMMYFUNCTION("""COMPUTED_VALUE"""),"i210405")</f>
        <v>i210405</v>
      </c>
      <c r="H192" s="12" t="str">
        <f ca="1">IFERROR(__xludf.DUMMYFUNCTION("""COMPUTED_VALUE"""),"Syed Muhammad Omer Khalid")</f>
        <v>Syed Muhammad Omer Khalid</v>
      </c>
      <c r="I192" s="12" t="str">
        <f ca="1">IFERROR(__xludf.DUMMYFUNCTION("""COMPUTED_VALUE"""),"i210567")</f>
        <v>i210567</v>
      </c>
      <c r="J192" s="12" t="str">
        <f ca="1">IFERROR(__xludf.DUMMYFUNCTION("""COMPUTED_VALUE"""),"Aimen Safdar")</f>
        <v>Aimen Safdar</v>
      </c>
      <c r="K192" s="12" t="str">
        <f ca="1">IFERROR(__xludf.DUMMYFUNCTION("""COMPUTED_VALUE"""),"i210588")</f>
        <v>i210588</v>
      </c>
    </row>
    <row r="193" spans="1:11" ht="63.75">
      <c r="A193" s="12" t="str">
        <f ca="1">IFERROR(__xludf.DUMMYFUNCTION("""COMPUTED_VALUE"""),"F24-193-D-Safar")</f>
        <v>F24-193-D-Safar</v>
      </c>
      <c r="B193" s="13" t="str">
        <f ca="1">IFERROR(__xludf.DUMMYFUNCTION("""COMPUTED_VALUE"""),"Immersive Trip Planing: A 3D Spatial Approach")</f>
        <v>Immersive Trip Planing: A 3D Spatial Approach</v>
      </c>
      <c r="C193" s="14" t="str">
        <f ca="1">IFERROR(__xludf.DUMMYFUNCTION("""COMPUTED_VALUE"""),"3D Destination Visualization: Convert 2D data into immersive 3D environments.
Interactive Exploration: Enable users to zoom in, zoom out, and navigate 3D spaces.
Personalized Recommendations: Suggest nearby attractions based on user preferences and intere"&amp;"sts.
Trip Organization Assistance: Help users plan trips within their budget and preferences.")</f>
        <v>3D Destination Visualization: Convert 2D data into immersive 3D environments.
Interactive Exploration: Enable users to zoom in, zoom out, and navigate 3D spaces.
Personalized Recommendations: Suggest nearby attractions based on user preferences and interests.
Trip Organization Assistance: Help users plan trips within their budget and preferences.</v>
      </c>
      <c r="D193" s="12" t="str">
        <f ca="1">IFERROR(__xludf.DUMMYFUNCTION("""COMPUTED_VALUE"""),"Dr. Zeshan Khan")</f>
        <v>Dr. Zeshan Khan</v>
      </c>
      <c r="E193" s="12"/>
      <c r="F193" s="12" t="str">
        <f ca="1">IFERROR(__xludf.DUMMYFUNCTION("""COMPUTED_VALUE"""),"Muhammad Bilawal Cheema")</f>
        <v>Muhammad Bilawal Cheema</v>
      </c>
      <c r="G193" s="12" t="str">
        <f ca="1">IFERROR(__xludf.DUMMYFUNCTION("""COMPUTED_VALUE"""),"i210347")</f>
        <v>i210347</v>
      </c>
      <c r="H193" s="12" t="str">
        <f ca="1">IFERROR(__xludf.DUMMYFUNCTION("""COMPUTED_VALUE"""),"Awais Malik")</f>
        <v>Awais Malik</v>
      </c>
      <c r="I193" s="12" t="str">
        <f ca="1">IFERROR(__xludf.DUMMYFUNCTION("""COMPUTED_VALUE"""),"i210539")</f>
        <v>i210539</v>
      </c>
      <c r="J193" s="12" t="str">
        <f ca="1">IFERROR(__xludf.DUMMYFUNCTION("""COMPUTED_VALUE"""),"Haider Mansoor")</f>
        <v>Haider Mansoor</v>
      </c>
      <c r="K193" s="12" t="str">
        <f ca="1">IFERROR(__xludf.DUMMYFUNCTION("""COMPUTED_VALUE"""),"i212576")</f>
        <v>i212576</v>
      </c>
    </row>
    <row r="194" spans="1:11" ht="191.25">
      <c r="A194" s="12" t="str">
        <f ca="1">IFERROR(__xludf.DUMMYFUNCTION("""COMPUTED_VALUE"""),"F24-194-D-NewsNet")</f>
        <v>F24-194-D-NewsNet</v>
      </c>
      <c r="B194" s="13" t="str">
        <f ca="1">IFERROR(__xludf.DUMMYFUNCTION("""COMPUTED_VALUE"""),"NewsNet: GraphRAG leveraging KGraphs for deep news analysis using LLMs.")</f>
        <v>NewsNet: GraphRAG leveraging KGraphs for deep news analysis using LLMs.</v>
      </c>
      <c r="C194" s="14" t="str">
        <f ca="1">IFERROR(__xludf.DUMMYFUNCTION("""COMPUTED_VALUE"""),"Causal text-mining of news data to extract causal relationships. Which provide a deeper meaning when fine tuned on an LLM leveraging Knowledge Graphs, said LLM uses techniques such as GraphRAG. Topic clustering with relevance made through cause and effect"&amp;" to better summarize and understand the chain of events.
Key Features:
1- Cause and Effect Detection
2- Timeline Summarization
3- Internet Scraping
4- Link Article
5- Anomaly Flagger
6- Trend Analysis
7- Categorical Search
8- User Tailored Recommendation"&amp;"s
9- Visualized Graph Summary")</f>
        <v>Causal text-mining of news data to extract causal relationships. Which provide a deeper meaning when fine tuned on an LLM leveraging Knowledge Graphs, said LLM uses techniques such as GraphRAG. Topic clustering with relevance made through cause and effect to better summarize and understand the chain of events.
Key Features:
1- Cause and Effect Detection
2- Timeline Summarization
3- Internet Scraping
4- Link Article
5- Anomaly Flagger
6- Trend Analysis
7- Categorical Search
8- User Tailored Recommendations
9- Visualized Graph Summary</v>
      </c>
      <c r="D194" s="12" t="str">
        <f ca="1">IFERROR(__xludf.DUMMYFUNCTION("""COMPUTED_VALUE"""),"Mr. Aqib Rehman")</f>
        <v>Mr. Aqib Rehman</v>
      </c>
      <c r="E194" s="12" t="str">
        <f ca="1">IFERROR(__xludf.DUMMYFUNCTION("""COMPUTED_VALUE"""),"Dr. Muhammad Arshad Islam")</f>
        <v>Dr. Muhammad Arshad Islam</v>
      </c>
      <c r="F194" s="12" t="str">
        <f ca="1">IFERROR(__xludf.DUMMYFUNCTION("""COMPUTED_VALUE"""),"Usaid Ahmed")</f>
        <v>Usaid Ahmed</v>
      </c>
      <c r="G194" s="12" t="str">
        <f ca="1">IFERROR(__xludf.DUMMYFUNCTION("""COMPUTED_VALUE"""),"i210458")</f>
        <v>i210458</v>
      </c>
      <c r="H194" s="12" t="str">
        <f ca="1">IFERROR(__xludf.DUMMYFUNCTION("""COMPUTED_VALUE"""),"Syed Muhammad Ale Mubar Moini")</f>
        <v>Syed Muhammad Ale Mubar Moini</v>
      </c>
      <c r="I194" s="12" t="str">
        <f ca="1">IFERROR(__xludf.DUMMYFUNCTION("""COMPUTED_VALUE"""),"i212566")</f>
        <v>i212566</v>
      </c>
      <c r="J194" s="12" t="str">
        <f ca="1">IFERROR(__xludf.DUMMYFUNCTION("""COMPUTED_VALUE"""),"Muhammad Fakhar Abbas")</f>
        <v>Muhammad Fakhar Abbas</v>
      </c>
      <c r="K194" s="12" t="str">
        <f ca="1">IFERROR(__xludf.DUMMYFUNCTION("""COMPUTED_VALUE"""),"i210448")</f>
        <v>i210448</v>
      </c>
    </row>
    <row r="195" spans="1:11" ht="255">
      <c r="A195" s="12" t="str">
        <f ca="1">IFERROR(__xludf.DUMMYFUNCTION("""COMPUTED_VALUE"""),"F24-195-D-HoshyarInvestAI")</f>
        <v>F24-195-D-HoshyarInvestAI</v>
      </c>
      <c r="B195" s="13" t="str">
        <f ca="1">IFERROR(__xludf.DUMMYFUNCTION("""COMPUTED_VALUE"""),"HoshyarInvestAI")</f>
        <v>HoshyarInvestAI</v>
      </c>
      <c r="C195" s="14" t="str">
        <f ca="1">IFERROR(__xludf.DUMMYFUNCTION("""COMPUTED_VALUE"""),"Project Description:
The project aims to develop an AI-driven investment bot tailored for the tech sector in Pakistan, focusing on the top 5–7 publicly listed tech companies. The bot will use advanced NLP and semantic understanding to analyze financial d"&amp;"ata, market trends, and investor sentiment. It will provide real-time investment recommendations (buy, hold, sell) and insights into market dynamics. The target users are investors seeking data-driven decisions in the tech industry.
Key Features
- Real-"&amp;"Time Financial Data Integration
- Sentiment Analysis from Investor Behavior
- Semantic Analysis of Financial Reports
- Investment Recommendations (Buy, Hold, Sell)
- Trend Prediction in Tech Sector
- Risk Assessment for Investments
- User-Friendly Dashboa"&amp;"rd
- Backtesting with Historical Data
- Customizable Alerts for Specific Events")</f>
        <v>Project Description:
The project aims to develop an AI-driven investment bot tailored for the tech sector in Pakistan, focusing on the top 5–7 publicly listed tech companies. The bot will use advanced NLP and semantic understanding to analyze financial data, market trends, and investor sentiment. It will provide real-time investment recommendations (buy, hold, sell) and insights into market dynamics. The target users are investors seeking data-driven decisions in the tech industry.
Key Features
- Real-Time Financial Data Integration
- Sentiment Analysis from Investor Behavior
- Semantic Analysis of Financial Reports
- Investment Recommendations (Buy, Hold, Sell)
- Trend Prediction in Tech Sector
- Risk Assessment for Investments
- User-Friendly Dashboard
- Backtesting with Historical Data
- Customizable Alerts for Specific Events</v>
      </c>
      <c r="D195" s="12" t="str">
        <f ca="1">IFERROR(__xludf.DUMMYFUNCTION("""COMPUTED_VALUE"""),"Dr. Atif Jilani")</f>
        <v>Dr. Atif Jilani</v>
      </c>
      <c r="E195" s="12"/>
      <c r="F195" s="12" t="str">
        <f ca="1">IFERROR(__xludf.DUMMYFUNCTION("""COMPUTED_VALUE"""),"Saim Alam")</f>
        <v>Saim Alam</v>
      </c>
      <c r="G195" s="12" t="str">
        <f ca="1">IFERROR(__xludf.DUMMYFUNCTION("""COMPUTED_VALUE"""),"i211210")</f>
        <v>i211210</v>
      </c>
      <c r="H195" s="12" t="str">
        <f ca="1">IFERROR(__xludf.DUMMYFUNCTION("""COMPUTED_VALUE"""),"Murtaza Hassan")</f>
        <v>Murtaza Hassan</v>
      </c>
      <c r="I195" s="12" t="str">
        <f ca="1">IFERROR(__xludf.DUMMYFUNCTION("""COMPUTED_VALUE"""),"i211137")</f>
        <v>i211137</v>
      </c>
      <c r="J195" s="12" t="str">
        <f ca="1">IFERROR(__xludf.DUMMYFUNCTION("""COMPUTED_VALUE"""),"Ayesha Sajid")</f>
        <v>Ayesha Sajid</v>
      </c>
      <c r="K195" s="12" t="str">
        <f ca="1">IFERROR(__xludf.DUMMYFUNCTION("""COMPUTED_VALUE"""),"i200862")</f>
        <v>i200862</v>
      </c>
    </row>
    <row r="196" spans="1:11" ht="229.5">
      <c r="A196" s="12" t="str">
        <f ca="1">IFERROR(__xludf.DUMMYFUNCTION("""COMPUTED_VALUE"""),"F24-196-D-VRZombieSurvival")</f>
        <v>F24-196-D-VRZombieSurvival</v>
      </c>
      <c r="B196" s="13" t="str">
        <f ca="1">IFERROR(__xludf.DUMMYFUNCTION("""COMPUTED_VALUE"""),"Almost Dead")</f>
        <v>Almost Dead</v>
      </c>
      <c r="C196" s="14" t="str">
        <f ca="1">IFERROR(__xludf.DUMMYFUNCTION("""COMPUTED_VALUE"""),"""Almost Dead "" is a VR Zombie Survival game that combines immersive gameplay with a non-violent approach to survival. Set in a world devastated by a new, aggressive virus, the game challenges players to navigate through a university overrun by infected "&amp;"individuals. Using Virtual Reality, players experience a highly realistic 3D environment, dynamic lighting, and atmospheric sound design that heightens the tension. The game emphasizes preparedness and mental resilience, offering both an engaging entertai"&amp;"nment experience and a subtle educational message on surviving unforeseen global crises.
Creation and customizable VR Avatars
Essential Survival Kit
Immersive 3D VR Environment
Dynamic Lighting Effects
Atmospheric Sound Design
Non-Violent Gameplay: Playe"&amp;"rs use tranquilizers instead of lethal weapons, focusing on neutralizing threats non-violently.
Multiplayer Functionality
Advanced NPC 
First Person Tranquilizer Shooting Mechanism")</f>
        <v>"Almost Dead " is a VR Zombie Survival game that combines immersive gameplay with a non-violent approach to survival. Set in a world devastated by a new, aggressive virus, the game challenges players to navigate through a university overrun by infected individuals. Using Virtual Reality, players experience a highly realistic 3D environment, dynamic lighting, and atmospheric sound design that heightens the tension. The game emphasizes preparedness and mental resilience, offering both an engaging entertainment experience and a subtle educational message on surviving unforeseen global crises.
Creation and customizable VR Avatars
Essential Survival Kit
Immersive 3D VR Environment
Dynamic Lighting Effects
Atmospheric Sound Design
Non-Violent Gameplay: Players use tranquilizers instead of lethal weapons, focusing on neutralizing threats non-violently.
Multiplayer Functionality
Advanced NPC 
First Person Tranquilizer Shooting Mechanism</v>
      </c>
      <c r="D196" s="12" t="str">
        <f ca="1">IFERROR(__xludf.DUMMYFUNCTION("""COMPUTED_VALUE"""),"Mr. Saad Salman")</f>
        <v>Mr. Saad Salman</v>
      </c>
      <c r="E196" s="12" t="str">
        <f ca="1">IFERROR(__xludf.DUMMYFUNCTION("""COMPUTED_VALUE"""),"Mr. Usama Bin Imran")</f>
        <v>Mr. Usama Bin Imran</v>
      </c>
      <c r="F196" s="12" t="str">
        <f ca="1">IFERROR(__xludf.DUMMYFUNCTION("""COMPUTED_VALUE"""),"Areeba Adnan")</f>
        <v>Areeba Adnan</v>
      </c>
      <c r="G196" s="12" t="str">
        <f ca="1">IFERROR(__xludf.DUMMYFUNCTION("""COMPUTED_VALUE"""),"i210762")</f>
        <v>i210762</v>
      </c>
      <c r="H196" s="12" t="str">
        <f ca="1">IFERROR(__xludf.DUMMYFUNCTION("""COMPUTED_VALUE"""),"Momina Ali")</f>
        <v>Momina Ali</v>
      </c>
      <c r="I196" s="12" t="str">
        <f ca="1">IFERROR(__xludf.DUMMYFUNCTION("""COMPUTED_VALUE"""),"i212521")</f>
        <v>i212521</v>
      </c>
      <c r="J196" s="12" t="str">
        <f ca="1">IFERROR(__xludf.DUMMYFUNCTION("""COMPUTED_VALUE"""),"Amna Rafi")</f>
        <v>Amna Rafi</v>
      </c>
      <c r="K196" s="12" t="str">
        <f ca="1">IFERROR(__xludf.DUMMYFUNCTION("""COMPUTED_VALUE"""),"i210742")</f>
        <v>i210742</v>
      </c>
    </row>
    <row r="197" spans="1:11" ht="409.5">
      <c r="A197" s="12" t="str">
        <f ca="1">IFERROR(__xludf.DUMMYFUNCTION("""COMPUTED_VALUE"""),"F24-197-D-WiVi")</f>
        <v>F24-197-D-WiVi</v>
      </c>
      <c r="B197" s="13" t="str">
        <f ca="1">IFERROR(__xludf.DUMMYFUNCTION("""COMPUTED_VALUE"""),"WiFi Vision")</f>
        <v>WiFi Vision</v>
      </c>
      <c r="C197" s="14" t="str">
        <f ca="1">IFERROR(__xludf.DUMMYFUNCTION("""COMPUTED_VALUE"""),"This project aims to develop an AI-based Human and Object Monitoring System that utilizes Wi-Fi signal strength and the deflection of it for surveillance purposes. Wi-Fi signals will be tracked using ESP32 microcontrollers placed at different points withi"&amp;"n a room or outside it. These microcontrollers will continuously track the intensity of Wi-Fi signals that interact with various objects as well as humans present in the surrounding. The collected data is then relayed to a deep learning model, which will "&amp;"analyze and identify patterns that correspond to the presence of specific objects or humans. This outcome is relayed to both web and mobile application full-stack, allowing for real-time presentation and alerts system, which gives users an innovative and "&amp;"low-key approach towards securing their homes.
Key Features:
1.) Un-Interrupted and Non-Intrusive Surveillance: Utilizes Wi-Fi signals, eliminating the need for traditional costly surveillance cameras. This means the system can detect objects or activit"&amp;"ies based on variations in Wi-Fi signal data.
2.) Real Time Detection: Provides real-time detection of humans activities and objects by continuously analyzing Wi-Fi signal strength and variations in the reading. 
3.) Remote Accessibility: Allows users t"&amp;"o monitor their spaces from anywhere via the cloud-based application, providing peace of mind even when they are away.
4.) Energy Efficient: Utilizes power efficient ESP32 microcontrollers with long service life without frequent maintenance to reduce ope"&amp;"rating costs.
5.) Versatility in Conditions: Unlike cameras, it is not affected by poor lighting or occlusion, ensuring reliable performance in different conditions.
6.) Scalable System: Easily scalable to cover multiple rooms or larger areas, giving us"&amp;"ers the flexibility to expand their surveillance system as needed.
7.) Visual Indicators for Easy Interpretation: The system includes visual representations of detected objects, such as heatmaps or markers, making it easier for users to understand the la"&amp;"yout and security status of their monitored space.
8.) Real Time Alerts and Notifications: Users shall receive instant notifications when specific objects or people are detected, enhancing security.
9.) User-Friendly Interface: Provides an intuitive web"&amp;" and mobile app interface, making it easy for users to visualize detected objects and monitor their environment.
10.) API Integration: Allows nearby police departments or emergency services to access real-time data and alerts, enhancing the ability to re"&amp;"spond quickly to security incidents.
")</f>
        <v xml:space="preserve">This project aims to develop an AI-based Human and Object Monitoring System that utilizes Wi-Fi signal strength and the deflection of it for surveillance purposes. Wi-Fi signals will be tracked using ESP32 microcontrollers placed at different points within a room or outside it. These microcontrollers will continuously track the intensity of Wi-Fi signals that interact with various objects as well as humans present in the surrounding. The collected data is then relayed to a deep learning model, which will analyze and identify patterns that correspond to the presence of specific objects or humans. This outcome is relayed to both web and mobile application full-stack, allowing for real-time presentation and alerts system, which gives users an innovative and low-key approach towards securing their homes.
Key Features:
1.) Un-Interrupted and Non-Intrusive Surveillance: Utilizes Wi-Fi signals, eliminating the need for traditional costly surveillance cameras. This means the system can detect objects or activities based on variations in Wi-Fi signal data.
2.) Real Time Detection: Provides real-time detection of humans activities and objects by continuously analyzing Wi-Fi signal strength and variations in the reading. 
3.) Remote Accessibility: Allows users to monitor their spaces from anywhere via the cloud-based application, providing peace of mind even when they are away.
4.) Energy Efficient: Utilizes power efficient ESP32 microcontrollers with long service life without frequent maintenance to reduce operating costs.
5.) Versatility in Conditions: Unlike cameras, it is not affected by poor lighting or occlusion, ensuring reliable performance in different conditions.
6.) Scalable System: Easily scalable to cover multiple rooms or larger areas, giving users the flexibility to expand their surveillance system as needed.
7.) Visual Indicators for Easy Interpretation: The system includes visual representations of detected objects, such as heatmaps or markers, making it easier for users to understand the layout and security status of their monitored space.
8.) Real Time Alerts and Notifications: Users shall receive instant notifications when specific objects or people are detected, enhancing security.
9.) User-Friendly Interface: Provides an intuitive web and mobile app interface, making it easy for users to visualize detected objects and monitor their environment.
10.) API Integration: Allows nearby police departments or emergency services to access real-time data and alerts, enhancing the ability to respond quickly to security incidents.
</v>
      </c>
      <c r="D197" s="12" t="str">
        <f ca="1">IFERROR(__xludf.DUMMYFUNCTION("""COMPUTED_VALUE"""),"Dr. Zeshan Khan")</f>
        <v>Dr. Zeshan Khan</v>
      </c>
      <c r="E197" s="12"/>
      <c r="F197" s="12" t="str">
        <f ca="1">IFERROR(__xludf.DUMMYFUNCTION("""COMPUTED_VALUE"""),"Muhammad Mujtaba")</f>
        <v>Muhammad Mujtaba</v>
      </c>
      <c r="G197" s="12" t="str">
        <f ca="1">IFERROR(__xludf.DUMMYFUNCTION("""COMPUTED_VALUE"""),"l216058")</f>
        <v>l216058</v>
      </c>
      <c r="H197" s="12" t="str">
        <f ca="1">IFERROR(__xludf.DUMMYFUNCTION("""COMPUTED_VALUE"""),"Junaid Khalid")</f>
        <v>Junaid Khalid</v>
      </c>
      <c r="I197" s="12" t="str">
        <f ca="1">IFERROR(__xludf.DUMMYFUNCTION("""COMPUTED_VALUE"""),"i211142")</f>
        <v>i211142</v>
      </c>
      <c r="J197" s="12" t="str">
        <f ca="1">IFERROR(__xludf.DUMMYFUNCTION("""COMPUTED_VALUE"""),"Faiq Hayat")</f>
        <v>Faiq Hayat</v>
      </c>
      <c r="K197" s="12" t="str">
        <f ca="1">IFERROR(__xludf.DUMMYFUNCTION("""COMPUTED_VALUE"""),"i202608")</f>
        <v>i202608</v>
      </c>
    </row>
    <row r="198" spans="1:11" ht="409.5">
      <c r="A198" s="12" t="str">
        <f ca="1">IFERROR(__xludf.DUMMYFUNCTION("""COMPUTED_VALUE"""),"F24-198-D-StoryAnimator")</f>
        <v>F24-198-D-StoryAnimator</v>
      </c>
      <c r="B198" s="13" t="str">
        <f ca="1">IFERROR(__xludf.DUMMYFUNCTION("""COMPUTED_VALUE"""),"SVG story animator-Bringing characters to life")</f>
        <v>SVG story animator-Bringing characters to life</v>
      </c>
      <c r="C198" s="14" t="str">
        <f ca="1">IFERROR(__xludf.DUMMYFUNCTION("""COMPUTED_VALUE"""),"Our project is a cutting-edge web application that leverages generative AI to transform text into animated characters. Users can generate an image from text, which is then converted into an SVG format, allowing for easy editing in tools like Illustrator. "&amp;"After the image creation, a video is generated featuring the animated character. The application integrates several key features: character generation, SVG conversion, background removal, story generation from the character image, animation creation (incl"&amp;"uding complex actions like swimming), audio integration with background sounds, and video compilation. This comprehensive system ensures a seamless and engaging multimedia creation experience.
Project Features:
Character Generation: Users begin by enter"&amp;"ing an English textual prompt into the system. The AI then generates a customizable animated image based on the input, allowing users to tweak various attributes of the character to match their vision.
Background Removal: After generating the image, user"&amp;"s can click the ""Remove Background"" button to automatically eliminate any unwanted background, isolating the character for further use.
SVG Conversion: Once the image is finalized, users can convert the image from JPG or PNG format to SVG format with a"&amp;" simple click. This conversion enables the use of vector-based editing tools like Illustrator, providing flexibility for detailed customizations.
Story Generation: An integrated language model reads the character image and generates a narrative based on "&amp;"its appearance and characteristics, allowing users to build a story around their creation.
Animation Creation: Users can animate their SVG characters directly within the application. The system supports the creation of complex actions, such as swimming, "&amp;"walking, or flying, making the character dynamic and engaging.
Audio Integration: The application also adds appropriate background audio and sound effects to the animations, enhancing the overall atmosphere and emotional impact of the video.
Video Compi"&amp;"lation: Finally, all elements—character, story, animations, and audio—are compiled into a cohesive, short video. This video can then be shared or further edited, offering a complete multimedia creation tool.")</f>
        <v>Our project is a cutting-edge web application that leverages generative AI to transform text into animated characters. Users can generate an image from text, which is then converted into an SVG format, allowing for easy editing in tools like Illustrator. After the image creation, a video is generated featuring the animated character. The application integrates several key features: character generation, SVG conversion, background removal, story generation from the character image, animation creation (including complex actions like swimming), audio integration with background sounds, and video compilation. This comprehensive system ensures a seamless and engaging multimedia creation experience.
Project Features:
Character Generation: Users begin by entering an English textual prompt into the system. The AI then generates a customizable animated image based on the input, allowing users to tweak various attributes of the character to match their vision.
Background Removal: After generating the image, users can click the "Remove Background" button to automatically eliminate any unwanted background, isolating the character for further use.
SVG Conversion: Once the image is finalized, users can convert the image from JPG or PNG format to SVG format with a simple click. This conversion enables the use of vector-based editing tools like Illustrator, providing flexibility for detailed customizations.
Story Generation: An integrated language model reads the character image and generates a narrative based on its appearance and characteristics, allowing users to build a story around their creation.
Animation Creation: Users can animate their SVG characters directly within the application. The system supports the creation of complex actions, such as swimming, walking, or flying, making the character dynamic and engaging.
Audio Integration: The application also adds appropriate background audio and sound effects to the animations, enhancing the overall atmosphere and emotional impact of the video.
Video Compilation: Finally, all elements—character, story, animations, and audio—are compiled into a cohesive, short video. This video can then be shared or further edited, offering a complete multimedia creation tool.</v>
      </c>
      <c r="D198" s="12" t="str">
        <f ca="1">IFERROR(__xludf.DUMMYFUNCTION("""COMPUTED_VALUE"""),"Ms. Ayesha Kamran")</f>
        <v>Ms. Ayesha Kamran</v>
      </c>
      <c r="E198" s="12"/>
      <c r="F198" s="12" t="str">
        <f ca="1">IFERROR(__xludf.DUMMYFUNCTION("""COMPUTED_VALUE"""),"Farhan javaid")</f>
        <v>Farhan javaid</v>
      </c>
      <c r="G198" s="12" t="str">
        <f ca="1">IFERROR(__xludf.DUMMYFUNCTION("""COMPUTED_VALUE"""),"i211671")</f>
        <v>i211671</v>
      </c>
      <c r="H198" s="12" t="str">
        <f ca="1">IFERROR(__xludf.DUMMYFUNCTION("""COMPUTED_VALUE"""),"Noor ul huda ")</f>
        <v xml:space="preserve">Noor ul huda </v>
      </c>
      <c r="I198" s="12" t="str">
        <f ca="1">IFERROR(__xludf.DUMMYFUNCTION("""COMPUTED_VALUE"""),"i211357")</f>
        <v>i211357</v>
      </c>
      <c r="J198" s="12" t="str">
        <f ca="1">IFERROR(__xludf.DUMMYFUNCTION("""COMPUTED_VALUE"""),"Mohammad shaheryar")</f>
        <v>Mohammad shaheryar</v>
      </c>
      <c r="K198" s="12" t="str">
        <f ca="1">IFERROR(__xludf.DUMMYFUNCTION("""COMPUTED_VALUE"""),"i210776")</f>
        <v>i210776</v>
      </c>
    </row>
    <row r="199" spans="1:11" ht="382.5">
      <c r="A199" s="12" t="str">
        <f ca="1">IFERROR(__xludf.DUMMYFUNCTION("""COMPUTED_VALUE"""),"F24-199-D-Soul Sync")</f>
        <v>F24-199-D-Soul Sync</v>
      </c>
      <c r="B199" s="13" t="str">
        <f ca="1">IFERROR(__xludf.DUMMYFUNCTION("""COMPUTED_VALUE"""),"SoulSyncedWithAI")</f>
        <v>SoulSyncedWithAI</v>
      </c>
      <c r="C199" s="14" t="str">
        <f ca="1">IFERROR(__xludf.DUMMYFUNCTION("""COMPUTED_VALUE"""),"SoulSync is an innovative AI-driven platform designed to preserve the persona of loved ones or
master professionals in their respective fields. By leveraging advanced AI techniques, SoulSync 
creates a digital version of a person based on their digital fo"&amp;"otprint, including texts, images, videos, 
education, and experience. This synthetic persona allows users to engage in meaningful interactions, 
share emotions, and even gain insights from the preserved knowledge and thought processes of experts 
long aft"&amp;"er they are gone.
Features:
1) SoulSync employs advanced techniques to extract meaningful data from social media posts, writings, images, and videos for the creation of an Artificial Persona.
2) SoulSync utilizes state-of-the-art NLP algorithms to enabl"&amp;"e realistic and context-aware conversations.
3) SoulSync incorporates sentiment analysis and emotion recognition algorithms to detect and simulate the emotional tone of the individual’s interactions with their loved ones.
4) SoulSync creates an AI-driven "&amp;"avatar for personalized, lifelike interactions.
5) SoulSync replicates the individual's voice to make conversations feel authentic and natural.
6) SoulSync offers a multimodal experience by combining text, voice, and visual data to create a rich and immer"&amp;"sive interaction environment.
7) SoulSync includes ethical data handling practices, ensuring that all personal data is managed with the utmost privacy and consent, respecting the individual’s legacy.
8) SoulSync offers an intuitive mobile app with a user-"&amp;"friendly interface, allowing users to easily upload data such as text, images, and videos. Within hours, the app processes the information to create a fully functional Artificial Persona ready for conversations.")</f>
        <v>SoulSync is an innovative AI-driven platform designed to preserve the persona of loved ones or
master professionals in their respective fields. By leveraging advanced AI techniques, SoulSync 
creates a digital version of a person based on their digital footprint, including texts, images, videos, 
education, and experience. This synthetic persona allows users to engage in meaningful interactions, 
share emotions, and even gain insights from the preserved knowledge and thought processes of experts 
long after they are gone.
Features:
1) SoulSync employs advanced techniques to extract meaningful data from social media posts, writings, images, and videos for the creation of an Artificial Persona.
2) SoulSync utilizes state-of-the-art NLP algorithms to enable realistic and context-aware conversations.
3) SoulSync incorporates sentiment analysis and emotion recognition algorithms to detect and simulate the emotional tone of the individual’s interactions with their loved ones.
4) SoulSync creates an AI-driven avatar for personalized, lifelike interactions.
5) SoulSync replicates the individual's voice to make conversations feel authentic and natural.
6) SoulSync offers a multimodal experience by combining text, voice, and visual data to create a rich and immersive interaction environment.
7) SoulSync includes ethical data handling practices, ensuring that all personal data is managed with the utmost privacy and consent, respecting the individual’s legacy.
8) SoulSync offers an intuitive mobile app with a user-friendly interface, allowing users to easily upload data such as text, images, and videos. Within hours, the app processes the information to create a fully functional Artificial Persona ready for conversations.</v>
      </c>
      <c r="D199" s="12" t="str">
        <f ca="1">IFERROR(__xludf.DUMMYFUNCTION("""COMPUTED_VALUE"""),"Dr. Mehreen Alam")</f>
        <v>Dr. Mehreen Alam</v>
      </c>
      <c r="E199" s="12"/>
      <c r="F199" s="12" t="str">
        <f ca="1">IFERROR(__xludf.DUMMYFUNCTION("""COMPUTED_VALUE"""),"Abdullah Bin Zahid")</f>
        <v>Abdullah Bin Zahid</v>
      </c>
      <c r="G199" s="12" t="str">
        <f ca="1">IFERROR(__xludf.DUMMYFUNCTION("""COMPUTED_VALUE"""),"i211388")</f>
        <v>i211388</v>
      </c>
      <c r="H199" s="12" t="str">
        <f ca="1">IFERROR(__xludf.DUMMYFUNCTION("""COMPUTED_VALUE"""),"Muhammad Usman Ghani")</f>
        <v>Muhammad Usman Ghani</v>
      </c>
      <c r="I199" s="12" t="str">
        <f ca="1">IFERROR(__xludf.DUMMYFUNCTION("""COMPUTED_VALUE"""),"i212971")</f>
        <v>i212971</v>
      </c>
      <c r="J199" s="12" t="str">
        <f ca="1">IFERROR(__xludf.DUMMYFUNCTION("""COMPUTED_VALUE"""),"Hamza Amin Khokhar")</f>
        <v>Hamza Amin Khokhar</v>
      </c>
      <c r="K199" s="12" t="str">
        <f ca="1">IFERROR(__xludf.DUMMYFUNCTION("""COMPUTED_VALUE"""),"i212979")</f>
        <v>i212979</v>
      </c>
    </row>
    <row r="200" spans="1:11" ht="242.25">
      <c r="A200" s="12" t="str">
        <f ca="1">IFERROR(__xludf.DUMMYFUNCTION("""COMPUTED_VALUE"""),"F24-200-R-INS(P)ECT")</f>
        <v>F24-200-R-INS(P)ECT</v>
      </c>
      <c r="B200" s="13" t="str">
        <f ca="1">IFERROR(__xludf.DUMMYFUNCTION("""COMPUTED_VALUE"""),"Optimized Flea Beetle Counting using Edge Devices")</f>
        <v>Optimized Flea Beetle Counting using Edge Devices</v>
      </c>
      <c r="C200" s="14" t="str">
        <f ca="1">IFERROR(__xludf.DUMMYFUNCTION("""COMPUTED_VALUE"""),"This project focuses on researching and developing methods to accurately count flea beetles on canola crop farms. Accurate counting of flea beetles is critical for planning insecticide treatments. The aim is to develop an edge-AI, optimized for lower-end "&amp;"devices, that is based on deep learning detection models. The model will be integrated into a mobile application that will allow users to take pictures of sticky traps used in the fields, and the model will process these images to count the number of flea"&amp;" beetles present. This modern method offers a more accessible and cost-effective alternative to existing insect-counting techniques, which typically require expensive equipment. The University of Regina, in collaboration with Agriculture and Agri-Food Can"&amp;"ada’s Lowe Road research farm, will provide the dataset for training the model. 
1. Image Capture and Upload
2. Automatic Insect Counting
3. Edge-AI
4. Easy-to-use UI
5. Offline Functionality
6. Results Summary and History
7. Data Visualization
8. Cloud "&amp;"Backup")</f>
        <v>This project focuses on researching and developing methods to accurately count flea beetles on canola crop farms. Accurate counting of flea beetles is critical for planning insecticide treatments. The aim is to develop an edge-AI, optimized for lower-end devices, that is based on deep learning detection models. The model will be integrated into a mobile application that will allow users to take pictures of sticky traps used in the fields, and the model will process these images to count the number of flea beetles present. This modern method offers a more accessible and cost-effective alternative to existing insect-counting techniques, which typically require expensive equipment. The University of Regina, in collaboration with Agriculture and Agri-Food Canada’s Lowe Road research farm, will provide the dataset for training the model. 
1. Image Capture and Upload
2. Automatic Insect Counting
3. Edge-AI
4. Easy-to-use UI
5. Offline Functionality
6. Results Summary and History
7. Data Visualization
8. Cloud Backup</v>
      </c>
      <c r="D200" s="12" t="str">
        <f ca="1">IFERROR(__xludf.DUMMYFUNCTION("""COMPUTED_VALUE"""),"Dr. Imran Ashraf")</f>
        <v>Dr. Imran Ashraf</v>
      </c>
      <c r="E200" s="12"/>
      <c r="F200" s="12" t="str">
        <f ca="1">IFERROR(__xludf.DUMMYFUNCTION("""COMPUTED_VALUE"""),"Sameer Imran Ahmed")</f>
        <v>Sameer Imran Ahmed</v>
      </c>
      <c r="G200" s="12" t="str">
        <f ca="1">IFERROR(__xludf.DUMMYFUNCTION("""COMPUTED_VALUE"""),"i212526")</f>
        <v>i212526</v>
      </c>
      <c r="H200" s="12" t="str">
        <f ca="1">IFERROR(__xludf.DUMMYFUNCTION("""COMPUTED_VALUE"""),"Ali Arshad")</f>
        <v>Ali Arshad</v>
      </c>
      <c r="I200" s="12" t="str">
        <f ca="1">IFERROR(__xludf.DUMMYFUNCTION("""COMPUTED_VALUE"""),"i210756")</f>
        <v>i210756</v>
      </c>
      <c r="J200" s="12" t="str">
        <f ca="1">IFERROR(__xludf.DUMMYFUNCTION("""COMPUTED_VALUE"""),"Afaq Arif")</f>
        <v>Afaq Arif</v>
      </c>
      <c r="K200" s="12" t="str">
        <f ca="1">IFERROR(__xludf.DUMMYFUNCTION("""COMPUTED_VALUE"""),"i210577")</f>
        <v>i210577</v>
      </c>
    </row>
    <row r="201" spans="1:11" ht="306">
      <c r="A201" s="12" t="str">
        <f ca="1">IFERROR(__xludf.DUMMYFUNCTION("""COMPUTED_VALUE"""),"F24-201-D-SmartStudyCompanion")</f>
        <v>F24-201-D-SmartStudyCompanion</v>
      </c>
      <c r="B201" s="13" t="str">
        <f ca="1">IFERROR(__xludf.DUMMYFUNCTION("""COMPUTED_VALUE"""),"SmartStudy Companion: An AI-powered adaptive learning platform for personalized programming education, using knowledge graphs.")</f>
        <v>SmartStudy Companion: An AI-powered adaptive learning platform for personalized programming education, using knowledge graphs.</v>
      </c>
      <c r="C201" s="14" t="str">
        <f ca="1">IFERROR(__xludf.DUMMYFUNCTION("""COMPUTED_VALUE"""),"                                             
SmartStudy Companion:
 SmartStudy Companion chatbot aims to provide personalized programming education, adapting to each user's skill level and language proficiency. It addresses the challenges of learning pro"&amp;"gramming, such as difficulty progression, language barriers, and understanding related concepts, by offering tailored explanations and suggestions based on user feedback and a structured knowledge base.
Key features of the chatbot:
1.	Knowledge Graph-base"&amp;"d Learning: 
o	     Utilizes RAG on a knowledge graph built from programming books
o	     Hierarchically structures topics from fundamental to advanced
2.	Adaptive Difficulty: 
o	    Employs reinforcement learning to adjust content difficulty
o	    Provid"&amp;"es explanations of prerequisites for challenging topics
3.	Language Assistance: 
o	    Offers simplified English explanations
o	    Provides Urdu translations for those who are weak in English
4.	Conceptual Navigation: 
o	    Suggests related concepts bre"&amp;"adthwise and depthwise
o	    Helps users explore connected programming ideas
5.	Interactive Feedback System: 
o	    Allows users to rate content as easy, difficult, or hard to understand
o	    Continuously improves responses based on user feedback
6.	Mult"&amp;"i-source Knowledge Base: 
o	    Integrates information from various programming books
")</f>
        <v xml:space="preserve">                                             
SmartStudy Companion:
 SmartStudy Companion chatbot aims to provide personalized programming education, adapting to each user's skill level and language proficiency. It addresses the challenges of learning programming, such as difficulty progression, language barriers, and understanding related concepts, by offering tailored explanations and suggestions based on user feedback and a structured knowledge base.
Key features of the chatbot:
1.	Knowledge Graph-based Learning: 
o	     Utilizes RAG on a knowledge graph built from programming books
o	     Hierarchically structures topics from fundamental to advanced
2.	Adaptive Difficulty: 
o	    Employs reinforcement learning to adjust content difficulty
o	    Provides explanations of prerequisites for challenging topics
3.	Language Assistance: 
o	    Offers simplified English explanations
o	    Provides Urdu translations for those who are weak in English
4.	Conceptual Navigation: 
o	    Suggests related concepts breadthwise and depthwise
o	    Helps users explore connected programming ideas
5.	Interactive Feedback System: 
o	    Allows users to rate content as easy, difficult, or hard to understand
o	    Continuously improves responses based on user feedback
6.	Multi-source Knowledge Base: 
o	    Integrates information from various programming books
</v>
      </c>
      <c r="D201" s="12" t="str">
        <f ca="1">IFERROR(__xludf.DUMMYFUNCTION("""COMPUTED_VALUE"""),"Mr. Aqib Rehman")</f>
        <v>Mr. Aqib Rehman</v>
      </c>
      <c r="E201" s="12" t="str">
        <f ca="1">IFERROR(__xludf.DUMMYFUNCTION("""COMPUTED_VALUE"""),"Dr. Muhammad Arshad Islam")</f>
        <v>Dr. Muhammad Arshad Islam</v>
      </c>
      <c r="F201" s="12" t="str">
        <f ca="1">IFERROR(__xludf.DUMMYFUNCTION("""COMPUTED_VALUE"""),"Anjuman Shaheen")</f>
        <v>Anjuman Shaheen</v>
      </c>
      <c r="G201" s="12" t="str">
        <f ca="1">IFERROR(__xludf.DUMMYFUNCTION("""COMPUTED_VALUE"""),"i212664")</f>
        <v>i212664</v>
      </c>
      <c r="H201" s="12" t="str">
        <f ca="1">IFERROR(__xludf.DUMMYFUNCTION("""COMPUTED_VALUE"""),"Laiba Batool")</f>
        <v>Laiba Batool</v>
      </c>
      <c r="I201" s="12" t="str">
        <f ca="1">IFERROR(__xludf.DUMMYFUNCTION("""COMPUTED_VALUE"""),"i211781")</f>
        <v>i211781</v>
      </c>
      <c r="J201" s="12" t="str">
        <f ca="1">IFERROR(__xludf.DUMMYFUNCTION("""COMPUTED_VALUE"""),"Muhammad Ilyas")</f>
        <v>Muhammad Ilyas</v>
      </c>
      <c r="K201" s="12" t="str">
        <f ca="1">IFERROR(__xludf.DUMMYFUNCTION("""COMPUTED_VALUE"""),"i212593")</f>
        <v>i212593</v>
      </c>
    </row>
    <row r="202" spans="1:11" ht="357">
      <c r="A202" s="12" t="str">
        <f ca="1">IFERROR(__xludf.DUMMYFUNCTION("""COMPUTED_VALUE"""),"F24-202-R-FraudLock")</f>
        <v>F24-202-R-FraudLock</v>
      </c>
      <c r="B202" s="13" t="str">
        <f ca="1">IFERROR(__xludf.DUMMYFUNCTION("""COMPUTED_VALUE"""),"Developing Robust Deepfake Detection Methods for Face Recognition")</f>
        <v>Developing Robust Deepfake Detection Methods for Face Recognition</v>
      </c>
      <c r="C202" s="14" t="str">
        <f ca="1">IFERROR(__xludf.DUMMYFUNCTION("""COMPUTED_VALUE"""),"Our project, ""FraudLock"" focuses on developing an advanced mobile application that detects deepfake faces to mitigate financial fraud. The scope of the project includes the research, development, and deployment of a cross-platform app built using Flutte"&amp;"r and FastAPI. The app will leverage deep learning models to analyze and identify deepfake facial images during financial transactions, particularly in identity verification processes. The goal is to minimize false positives and enhance the security of fi"&amp;"nancial institutions by ensuring that only genuine users are granted access.The project will also address challenges related to the usability, accuracy, and efficiency of deepfake detection in real-time environments, contributing to the broader efforts in"&amp;" fraud prevention.
Key Features
Real-Time Deepfake Detection: Instant identification of deepfake faces during financial transactions.
Cross-Platform Support: Available on both Android and iOS platforms using Flutter.
Advanced Machine Learning Algorithms:"&amp;" Utilization of deep learning models for accurate deepfake detection.
User-Friendly Interface: Intuitive design ensuring ease of use for both end-users and administrators.
High Accuracy with Low False Positives: Optimized algorithms to ensure minimal fals"&amp;"e positives in detection.
Secure Data Handling: Ensures encryption and protection of user data throughout the process.
Multi-Language Support: Accessibility for users across different regions with language localization.
Scalable Architecture: Ability to h"&amp;"andle increasing amounts of data and users without loss of performance.
Comprehensive Reporting: Detailed reports on detection outcomes, trends, and system performance.
")</f>
        <v xml:space="preserve">Our project, "FraudLock" focuses on developing an advanced mobile application that detects deepfake faces to mitigate financial fraud. The scope of the project includes the research, development, and deployment of a cross-platform app built using Flutter and FastAPI. The app will leverage deep learning models to analyze and identify deepfake facial images during financial transactions, particularly in identity verification processes. The goal is to minimize false positives and enhance the security of financial institutions by ensuring that only genuine users are granted access.The project will also address challenges related to the usability, accuracy, and efficiency of deepfake detection in real-time environments, contributing to the broader efforts in fraud prevention.
Key Features
Real-Time Deepfake Detection: Instant identification of deepfake faces during financial transactions.
Cross-Platform Support: Available on both Android and iOS platforms using Flutter.
Advanced Machine Learning Algorithms: Utilization of deep learning models for accurate deepfake detection.
User-Friendly Interface: Intuitive design ensuring ease of use for both end-users and administrators.
High Accuracy with Low False Positives: Optimized algorithms to ensure minimal false positives in detection.
Secure Data Handling: Ensures encryption and protection of user data throughout the process.
Multi-Language Support: Accessibility for users across different regions with language localization.
Scalable Architecture: Ability to handle increasing amounts of data and users without loss of performance.
Comprehensive Reporting: Detailed reports on detection outcomes, trends, and system performance.
</v>
      </c>
      <c r="D202" s="12" t="str">
        <f ca="1">IFERROR(__xludf.DUMMYFUNCTION("""COMPUTED_VALUE"""),"Dr. Muhammad Ishtiaq")</f>
        <v>Dr. Muhammad Ishtiaq</v>
      </c>
      <c r="E202" s="12"/>
      <c r="F202" s="12" t="str">
        <f ca="1">IFERROR(__xludf.DUMMYFUNCTION("""COMPUTED_VALUE"""),"Husnain Sattar")</f>
        <v>Husnain Sattar</v>
      </c>
      <c r="G202" s="12" t="str">
        <f ca="1">IFERROR(__xludf.DUMMYFUNCTION("""COMPUTED_VALUE"""),"i211354")</f>
        <v>i211354</v>
      </c>
      <c r="H202" s="12" t="str">
        <f ca="1">IFERROR(__xludf.DUMMYFUNCTION("""COMPUTED_VALUE"""),"Isma")</f>
        <v>Isma</v>
      </c>
      <c r="I202" s="12" t="str">
        <f ca="1">IFERROR(__xludf.DUMMYFUNCTION("""COMPUTED_VALUE"""),"i211744")</f>
        <v>i211744</v>
      </c>
      <c r="J202" s="12" t="str">
        <f ca="1">IFERROR(__xludf.DUMMYFUNCTION("""COMPUTED_VALUE"""),"Ahad Raza")</f>
        <v>Ahad Raza</v>
      </c>
      <c r="K202" s="12" t="str">
        <f ca="1">IFERROR(__xludf.DUMMYFUNCTION("""COMPUTED_VALUE"""),"i211549")</f>
        <v>i211549</v>
      </c>
    </row>
    <row r="203" spans="1:11" ht="306">
      <c r="A203" s="12" t="str">
        <f ca="1">IFERROR(__xludf.DUMMYFUNCTION("""COMPUTED_VALUE"""),"F24-203-R-NeuroGen")</f>
        <v>F24-203-R-NeuroGen</v>
      </c>
      <c r="B203" s="13" t="str">
        <f ca="1">IFERROR(__xludf.DUMMYFUNCTION("""COMPUTED_VALUE"""),"Glioma-Aware 3D Brain Tissue Inpainting for Enhanced MRI Analysis")</f>
        <v>Glioma-Aware 3D Brain Tissue Inpainting for Enhanced MRI Analysis</v>
      </c>
      <c r="C203" s="14" t="str">
        <f ca="1">IFERROR(__xludf.DUMMYFUNCTION("""COMPUTED_VALUE"""),"Project Scope:
The project focuses on developing advanced algorithms to perform inpainting on 3D brain MRI scans, specifically targeting the regions affected by gliomas, a type of brain tumor. The goal is to synthesize realistic representations of healthy"&amp;" brain tissue in these tumor-affected areas, overcoming the limitations of current brain MRI analysis algorithms that struggle with tumor presence. By enhancing the accuracy of tissue reconstruction, this project aims to improve clinical tasks such as tis"&amp;"sue segmentation and tumor growth ultimately advancing the reliability of automated brain image analysis in medical settings.
Key Features:
1.3D Tissue Inpainting: Reconstructing missing brain tissue in 3D MRI scans using advance algorithms.
2.Automated "&amp;"Preprocessing: Streamlining the preprocessing of MRI data, including normalization, alignment, and skull stripping.
3.Multi-Modal Support: Incorporating various MRI modalities (e.g., T1, T2) 
4.Comprehensive Evaluation Metrics: Utilizing SSIM, PSNR, MSE, "&amp;"and Dice coefficient to validate the quality of inpainted regions.
5.Interactive Visualization: Providing an interface for clinicians to compare and analyze original and inpainted MRI scans.
6.Scalability: Ensuring the algorithm can efficiently process la"&amp;"rge datasets.
7.Generalization Across Tumors: Extending the algorithm to handle different tumor types by adapting to various datasets. (optional)
8.Open-Source Contribution: Publishing the project as an open-source tool to foster further research and inno"&amp;"vation.
")</f>
        <v xml:space="preserve">Project Scope:
The project focuses on developing advanced algorithms to perform inpainting on 3D brain MRI scans, specifically targeting the regions affected by gliomas, a type of brain tumor. The goal is to synthesize realistic representations of healthy brain tissue in these tumor-affected areas, overcoming the limitations of current brain MRI analysis algorithms that struggle with tumor presence. By enhancing the accuracy of tissue reconstruction, this project aims to improve clinical tasks such as tissue segmentation and tumor growth ultimately advancing the reliability of automated brain image analysis in medical settings.
Key Features:
1.3D Tissue Inpainting: Reconstructing missing brain tissue in 3D MRI scans using advance algorithms.
2.Automated Preprocessing: Streamlining the preprocessing of MRI data, including normalization, alignment, and skull stripping.
3.Multi-Modal Support: Incorporating various MRI modalities (e.g., T1, T2) 
4.Comprehensive Evaluation Metrics: Utilizing SSIM, PSNR, MSE, and Dice coefficient to validate the quality of inpainted regions.
5.Interactive Visualization: Providing an interface for clinicians to compare and analyze original and inpainted MRI scans.
6.Scalability: Ensuring the algorithm can efficiently process large datasets.
7.Generalization Across Tumors: Extending the algorithm to handle different tumor types by adapting to various datasets. (optional)
8.Open-Source Contribution: Publishing the project as an open-source tool to foster further research and innovation.
</v>
      </c>
      <c r="D203" s="12" t="str">
        <f ca="1">IFERROR(__xludf.DUMMYFUNCTION("""COMPUTED_VALUE"""),"Dr. Ahmad Raza Shahid")</f>
        <v>Dr. Ahmad Raza Shahid</v>
      </c>
      <c r="E203" s="12" t="str">
        <f ca="1">IFERROR(__xludf.DUMMYFUNCTION("""COMPUTED_VALUE"""),"Mr. Zeshan Khan")</f>
        <v>Mr. Zeshan Khan</v>
      </c>
      <c r="F203" s="12" t="str">
        <f ca="1">IFERROR(__xludf.DUMMYFUNCTION("""COMPUTED_VALUE"""),"Rameen Tariq")</f>
        <v>Rameen Tariq</v>
      </c>
      <c r="G203" s="12" t="str">
        <f ca="1">IFERROR(__xludf.DUMMYFUNCTION("""COMPUTED_VALUE"""),"i210306")</f>
        <v>i210306</v>
      </c>
      <c r="H203" s="12" t="str">
        <f ca="1">IFERROR(__xludf.DUMMYFUNCTION("""COMPUTED_VALUE"""),"M hanzella Khan")</f>
        <v>M hanzella Khan</v>
      </c>
      <c r="I203" s="12" t="str">
        <f ca="1">IFERROR(__xludf.DUMMYFUNCTION("""COMPUTED_VALUE"""),"p200616")</f>
        <v>p200616</v>
      </c>
      <c r="J203" s="12" t="str">
        <f ca="1">IFERROR(__xludf.DUMMYFUNCTION("""COMPUTED_VALUE"""),"Anila Khan")</f>
        <v>Anila Khan</v>
      </c>
      <c r="K203" s="12" t="str">
        <f ca="1">IFERROR(__xludf.DUMMYFUNCTION("""COMPUTED_VALUE"""),"i211742")</f>
        <v>i211742</v>
      </c>
    </row>
    <row r="204" spans="1:11" ht="216.75">
      <c r="A204" s="12" t="str">
        <f ca="1">IFERROR(__xludf.DUMMYFUNCTION("""COMPUTED_VALUE"""),"F24-204-R-DriftGuard")</f>
        <v>F24-204-R-DriftGuard</v>
      </c>
      <c r="B204" s="13" t="str">
        <f ca="1">IFERROR(__xludf.DUMMYFUNCTION("""COMPUTED_VALUE"""),"Taming the Drift: Addressing Recurring Concept Drift in E-Commerce Machine Learning Models")</f>
        <v>Taming the Drift: Addressing Recurring Concept Drift in E-Commerce Machine Learning Models</v>
      </c>
      <c r="C204" s="14" t="str">
        <f ca="1">IFERROR(__xludf.DUMMYFUNCTION("""COMPUTED_VALUE"""),"This research project aims to address critical gaps in detecting and managing recurring concept drift in machine learning models, particularly within e-commerce retail datasets during major seasonal events such as Christmas, Black Friday, Eid, and Azadi S"&amp;"ale in Pakistan. These events often lead to significant shifts in consumer behavior, resulting in concept drift that can undermine model accuracy. Key gaps include the need for effective regression drift detection to identify changes in continuous target "&amp;"variables, the absence of a universal drift detector that can handle various types of concept drift, and the high false alarm rates of current methods, which can lead to unnecessary model adjustments. By critically analyzing existing literature, this proj"&amp;"ect will uncover these limitations and propose a more effective framework for real-time drift detection and adaptation, aiming to enhance model performance across different sales seasons.
Gaps Identified:
Regression Settings
Domain-Specific Applicability"&amp;"
False Alarm Rates 
Timely Drift Detection")</f>
        <v>This research project aims to address critical gaps in detecting and managing recurring concept drift in machine learning models, particularly within e-commerce retail datasets during major seasonal events such as Christmas, Black Friday, Eid, and Azadi Sale in Pakistan. These events often lead to significant shifts in consumer behavior, resulting in concept drift that can undermine model accuracy. Key gaps include the need for effective regression drift detection to identify changes in continuous target variables, the absence of a universal drift detector that can handle various types of concept drift, and the high false alarm rates of current methods, which can lead to unnecessary model adjustments. By critically analyzing existing literature, this project will uncover these limitations and propose a more effective framework for real-time drift detection and adaptation, aiming to enhance model performance across different sales seasons.
Gaps Identified:
Regression Settings
Domain-Specific Applicability
False Alarm Rates 
Timely Drift Detection</v>
      </c>
      <c r="D204" s="12" t="str">
        <f ca="1">IFERROR(__xludf.DUMMYFUNCTION("""COMPUTED_VALUE"""),"Ms. Tajwar Mehmood")</f>
        <v>Ms. Tajwar Mehmood</v>
      </c>
      <c r="E204" s="12"/>
      <c r="F204" s="12" t="str">
        <f ca="1">IFERROR(__xludf.DUMMYFUNCTION("""COMPUTED_VALUE"""),"Muhammad Yahya")</f>
        <v>Muhammad Yahya</v>
      </c>
      <c r="G204" s="12" t="str">
        <f ca="1">IFERROR(__xludf.DUMMYFUNCTION("""COMPUTED_VALUE"""),"i212592")</f>
        <v>i212592</v>
      </c>
      <c r="H204" s="12" t="str">
        <f ca="1">IFERROR(__xludf.DUMMYFUNCTION("""COMPUTED_VALUE"""),"Muhammad Omer Nasir")</f>
        <v>Muhammad Omer Nasir</v>
      </c>
      <c r="I204" s="12" t="str">
        <f ca="1">IFERROR(__xludf.DUMMYFUNCTION("""COMPUTED_VALUE"""),"i212476")</f>
        <v>i212476</v>
      </c>
      <c r="J204" s="12"/>
      <c r="K204" s="12"/>
    </row>
    <row r="205" spans="1:11" ht="204">
      <c r="A205" s="12" t="str">
        <f ca="1">IFERROR(__xludf.DUMMYFUNCTION("""COMPUTED_VALUE"""),"F24-205-D-EcoDrive")</f>
        <v>F24-205-D-EcoDrive</v>
      </c>
      <c r="B205" s="13" t="str">
        <f ca="1">IFERROR(__xludf.DUMMYFUNCTION("""COMPUTED_VALUE"""),"EcoDrive: AI-Powered Autonomous (toy) vehicle for Sustainable Waste Management")</f>
        <v>EcoDrive: AI-Powered Autonomous (toy) vehicle for Sustainable Waste Management</v>
      </c>
      <c r="C205" s="14" t="str">
        <f ca="1">IFERROR(__xludf.DUMMYFUNCTION("""COMPUTED_VALUE"""),"We are developing an autonomous toy car designed for waste management. The (""ego"") and the environment are not real; it is based on simulations. The user interface features a dashboard with a map displaying the locations of different waste bins. When a "&amp;"bin reaches capacity, it sends a signal to the ego vehicle, which then navigates to the bin, collects the waste, and transports it to a designated recycling or waste disposal facility. This system aims to demonstrate the potential for automated waste coll"&amp;"ection in real-world scenarios.
Features:
- Longitudinal Control; Responsible for acceleration and deceleration 
- Lateral Control; Responsible for steering angle
- Path Planning; Responsible for choosing the optimized path from a source to destination"&amp;"
- Navigation System; Based on the GPS (Global Positioning System)
- Smart Bins; Responsible for signaling the ego if its container is full
- Smart Waste Collection; Autonomous Waste Collection from the Bins")</f>
        <v>We are developing an autonomous toy car designed for waste management. The ("ego") and the environment are not real; it is based on simulations. The user interface features a dashboard with a map displaying the locations of different waste bins. When a bin reaches capacity, it sends a signal to the ego vehicle, which then navigates to the bin, collects the waste, and transports it to a designated recycling or waste disposal facility. This system aims to demonstrate the potential for automated waste collection in real-world scenarios.
Features:
- Longitudinal Control; Responsible for acceleration and deceleration 
- Lateral Control; Responsible for steering angle
- Path Planning; Responsible for choosing the optimized path from a source to destination
- Navigation System; Based on the GPS (Global Positioning System)
- Smart Bins; Responsible for signaling the ego if its container is full
- Smart Waste Collection; Autonomous Waste Collection from the Bins</v>
      </c>
      <c r="D205" s="12" t="str">
        <f ca="1">IFERROR(__xludf.DUMMYFUNCTION("""COMPUTED_VALUE"""),"Dr. Hasan Mujtaba")</f>
        <v>Dr. Hasan Mujtaba</v>
      </c>
      <c r="E205" s="12" t="str">
        <f ca="1">IFERROR(__xludf.DUMMYFUNCTION("""COMPUTED_VALUE"""),"Dr. Usman Haider")</f>
        <v>Dr. Usman Haider</v>
      </c>
      <c r="F205" s="12" t="str">
        <f ca="1">IFERROR(__xludf.DUMMYFUNCTION("""COMPUTED_VALUE"""),"Hafiz Hammad Ahmed")</f>
        <v>Hafiz Hammad Ahmed</v>
      </c>
      <c r="G205" s="12" t="str">
        <f ca="1">IFERROR(__xludf.DUMMYFUNCTION("""COMPUTED_VALUE"""),"i210343")</f>
        <v>i210343</v>
      </c>
      <c r="H205" s="12" t="str">
        <f ca="1">IFERROR(__xludf.DUMMYFUNCTION("""COMPUTED_VALUE"""),"Abdullah Naeem")</f>
        <v>Abdullah Naeem</v>
      </c>
      <c r="I205" s="12" t="str">
        <f ca="1">IFERROR(__xludf.DUMMYFUNCTION("""COMPUTED_VALUE"""),"i210338")</f>
        <v>i210338</v>
      </c>
      <c r="J205" s="12" t="str">
        <f ca="1">IFERROR(__xludf.DUMMYFUNCTION("""COMPUTED_VALUE"""),"Eesha Khan")</f>
        <v>Eesha Khan</v>
      </c>
      <c r="K205" s="12" t="str">
        <f ca="1">IFERROR(__xludf.DUMMYFUNCTION("""COMPUTED_VALUE"""),"i210342")</f>
        <v>i210342</v>
      </c>
    </row>
    <row r="206" spans="1:11" ht="140.25">
      <c r="A206" s="12" t="str">
        <f ca="1">IFERROR(__xludf.DUMMYFUNCTION("""COMPUTED_VALUE"""),"F24-206-R-AgentialChitchat")</f>
        <v>F24-206-R-AgentialChitchat</v>
      </c>
      <c r="B206" s="13" t="str">
        <f ca="1">IFERROR(__xludf.DUMMYFUNCTION("""COMPUTED_VALUE"""),"Learning Unified Communication Protocols between Agents.")</f>
        <v>Learning Unified Communication Protocols between Agents.</v>
      </c>
      <c r="C206" s="14" t="str">
        <f ca="1">IFERROR(__xludf.DUMMYFUNCTION("""COMPUTED_VALUE"""),"Currently, multiple agents are capable of communicating with one another; however, they are unable to develop communication models for collaboration with other independently trained agents. Our hypothesis involves decentralizing both the communication bet"&amp;"ween agents and their decision-making policies. This approach will ensure that, although agents develop their own planning trajectories and undergo independent training, they must utilize the same communication model established previously.
- Decentralis"&amp;"ing communication and collaborative decision making.
- Developing unified communication model.
- Developing evaluator for agents to learn already emerged communication protocols.
- Collaboration between independent agents in adversarial and collaborative "&amp;"environments.")</f>
        <v>Currently, multiple agents are capable of communicating with one another; however, they are unable to develop communication models for collaboration with other independently trained agents. Our hypothesis involves decentralizing both the communication between agents and their decision-making policies. This approach will ensure that, although agents develop their own planning trajectories and undergo independent training, they must utilize the same communication model established previously.
- Decentralising communication and collaborative decision making.
- Developing unified communication model.
- Developing evaluator for agents to learn already emerged communication protocols.
- Collaboration between independent agents in adversarial and collaborative environments.</v>
      </c>
      <c r="D206" s="12" t="str">
        <f ca="1">IFERROR(__xludf.DUMMYFUNCTION("""COMPUTED_VALUE"""),"Dr. Ahmad Din")</f>
        <v>Dr. Ahmad Din</v>
      </c>
      <c r="E206" s="12"/>
      <c r="F206" s="12" t="str">
        <f ca="1">IFERROR(__xludf.DUMMYFUNCTION("""COMPUTED_VALUE"""),"Qasim Saeed")</f>
        <v>Qasim Saeed</v>
      </c>
      <c r="G206" s="12" t="str">
        <f ca="1">IFERROR(__xludf.DUMMYFUNCTION("""COMPUTED_VALUE"""),"i210352")</f>
        <v>i210352</v>
      </c>
      <c r="H206" s="12" t="str">
        <f ca="1">IFERROR(__xludf.DUMMYFUNCTION("""COMPUTED_VALUE"""),"Hakim Ali")</f>
        <v>Hakim Ali</v>
      </c>
      <c r="I206" s="12" t="str">
        <f ca="1">IFERROR(__xludf.DUMMYFUNCTION("""COMPUTED_VALUE"""),"i210316")</f>
        <v>i210316</v>
      </c>
      <c r="J206" s="12"/>
      <c r="K206" s="12"/>
    </row>
    <row r="207" spans="1:11" ht="229.5">
      <c r="A207" s="12" t="str">
        <f ca="1">IFERROR(__xludf.DUMMYFUNCTION("""COMPUTED_VALUE"""),"F24-207-D-CitySentinel")</f>
        <v>F24-207-D-CitySentinel</v>
      </c>
      <c r="B207" s="13" t="str">
        <f ca="1">IFERROR(__xludf.DUMMYFUNCTION("""COMPUTED_VALUE"""),"CitySentinel: Comprehensive Urban and Environmental Monitoring System")</f>
        <v>CitySentinel: Comprehensive Urban and Environmental Monitoring System</v>
      </c>
      <c r="C207" s="14" t="str">
        <f ca="1">IFERROR(__xludf.DUMMYFUNCTION("""COMPUTED_VALUE"""),"CitySentinel is a comprehensive urban and environmental monitoring system designed to assist government authorities in overseeing and enforcing construction and environmental regulations. The system allows users to designate specific areas where certain t"&amp;"ypes of construction, such as residential buildings or schools, are restricted, and continuously monitors these regions using satellite imagery to detect any unauthorized developments. Additionally, CitySentinel tracks deforestation trends in protected gr"&amp;"een areas and analyzes how urbanization and environmental changes impact local weather patterns over time. The system integrates historical and real-time data to provide detailed reports, helping policymakers make informed decisions that balance urban gro"&amp;"wth with environmental conservation.
1.Restricted Area Monitoring: Detects unauthorized construction in restricted zones.
2.Deforestation Detection: Monitors and reports illegal deforestation.
3.Weather Impact Analysis: Analyzes effects of urbanization an"&amp;"d deforestation on weather.
4.Interactive Map Interface: Marks and manages restricted areas via an easy map tool.
5.Automated Alerts: Sends real-time alerts for construction or deforestation violations. 
6.Custom Reporting: Generates detailed reports on a"&amp;"ctivities and impacts. 
7.Historical Data Analysis: Tracks land use changes over time with satellite data.
8.Chatbot Assistance: Provides area-specific information and navigation help.")</f>
        <v>CitySentinel is a comprehensive urban and environmental monitoring system designed to assist government authorities in overseeing and enforcing construction and environmental regulations. The system allows users to designate specific areas where certain types of construction, such as residential buildings or schools, are restricted, and continuously monitors these regions using satellite imagery to detect any unauthorized developments. Additionally, CitySentinel tracks deforestation trends in protected green areas and analyzes how urbanization and environmental changes impact local weather patterns over time. The system integrates historical and real-time data to provide detailed reports, helping policymakers make informed decisions that balance urban growth with environmental conservation.
1.Restricted Area Monitoring: Detects unauthorized construction in restricted zones.
2.Deforestation Detection: Monitors and reports illegal deforestation.
3.Weather Impact Analysis: Analyzes effects of urbanization and deforestation on weather.
4.Interactive Map Interface: Marks and manages restricted areas via an easy map tool.
5.Automated Alerts: Sends real-time alerts for construction or deforestation violations. 
6.Custom Reporting: Generates detailed reports on activities and impacts. 
7.Historical Data Analysis: Tracks land use changes over time with satellite data.
8.Chatbot Assistance: Provides area-specific information and navigation help.</v>
      </c>
      <c r="D207" s="12" t="str">
        <f ca="1">IFERROR(__xludf.DUMMYFUNCTION("""COMPUTED_VALUE"""),"Mr. Owais Idrees")</f>
        <v>Mr. Owais Idrees</v>
      </c>
      <c r="E207" s="12"/>
      <c r="F207" s="12" t="str">
        <f ca="1">IFERROR(__xludf.DUMMYFUNCTION("""COMPUTED_VALUE"""),"Fahad Alam Awan")</f>
        <v>Fahad Alam Awan</v>
      </c>
      <c r="G207" s="12" t="str">
        <f ca="1">IFERROR(__xludf.DUMMYFUNCTION("""COMPUTED_VALUE"""),"i212495")</f>
        <v>i212495</v>
      </c>
      <c r="H207" s="12" t="str">
        <f ca="1">IFERROR(__xludf.DUMMYFUNCTION("""COMPUTED_VALUE"""),"Shaiza Rashid")</f>
        <v>Shaiza Rashid</v>
      </c>
      <c r="I207" s="12" t="str">
        <f ca="1">IFERROR(__xludf.DUMMYFUNCTION("""COMPUTED_VALUE"""),"i210381")</f>
        <v>i210381</v>
      </c>
      <c r="J207" s="12" t="str">
        <f ca="1">IFERROR(__xludf.DUMMYFUNCTION("""COMPUTED_VALUE"""),"Fatima Imran ")</f>
        <v xml:space="preserve">Fatima Imran </v>
      </c>
      <c r="K207" s="12" t="str">
        <f ca="1">IFERROR(__xludf.DUMMYFUNCTION("""COMPUTED_VALUE"""),"i212598")</f>
        <v>i212598</v>
      </c>
    </row>
    <row r="208" spans="1:11" ht="242.25">
      <c r="A208" s="12" t="str">
        <f ca="1">IFERROR(__xludf.DUMMYFUNCTION("""COMPUTED_VALUE"""),"F24-208-D-SmartPark")</f>
        <v>F24-208-D-SmartPark</v>
      </c>
      <c r="B208" s="13" t="str">
        <f ca="1">IFERROR(__xludf.DUMMYFUNCTION("""COMPUTED_VALUE"""),"IoT Based Smart Parking Management System")</f>
        <v>IoT Based Smart Parking Management System</v>
      </c>
      <c r="C208" s="14" t="str">
        <f ca="1">IFERROR(__xludf.DUMMYFUNCTION("""COMPUTED_VALUE"""),"The project aims to develop an IoT-based smart car parking system hosted on AWS, with a web application interface designed to significantly reduce the time and effort spent searching for an available parking space. The system will allow users to easily ch"&amp;"eck for vacant spots in real-time, directly navigate to an available space, and even reserve a parking spot for a specified duration. Additionally, the solution will offer an integrated and convenient payment method, ensuring a seamless parking experience"&amp;" from entry to exit. The project is intended to address the common challenges of urban parking, including long wait times and inefficient space utilization. 
Key features:
-  Real-Time Parking Spot Availability
-  Parking Spot Reservation 
-  Automated C"&amp;"heck-In and Check-Out 
-  Seamless Payment Integration 
-  User-Friendly Web Application 
-  AWS Cloud Hosting 
-  Data Logging and Reporting 
-  Parking Duration Tracking 
-  Secure User Authentication ")</f>
        <v xml:space="preserve">The project aims to develop an IoT-based smart car parking system hosted on AWS, with a web application interface designed to significantly reduce the time and effort spent searching for an available parking space. The system will allow users to easily check for vacant spots in real-time, directly navigate to an available space, and even reserve a parking spot for a specified duration. Additionally, the solution will offer an integrated and convenient payment method, ensuring a seamless parking experience from entry to exit. The project is intended to address the common challenges of urban parking, including long wait times and inefficient space utilization. 
Key features:
-  Real-Time Parking Spot Availability
-  Parking Spot Reservation 
-  Automated Check-In and Check-Out 
-  Seamless Payment Integration 
-  User-Friendly Web Application 
-  AWS Cloud Hosting 
-  Data Logging and Reporting 
-  Parking Duration Tracking 
-  Secure User Authentication </v>
      </c>
      <c r="D208" s="12" t="str">
        <f ca="1">IFERROR(__xludf.DUMMYFUNCTION("""COMPUTED_VALUE"""),"Dr. Adnan Tariq")</f>
        <v>Dr. Adnan Tariq</v>
      </c>
      <c r="E208" s="12"/>
      <c r="F208" s="12" t="str">
        <f ca="1">IFERROR(__xludf.DUMMYFUNCTION("""COMPUTED_VALUE"""),"Ifra Batool")</f>
        <v>Ifra Batool</v>
      </c>
      <c r="G208" s="12" t="str">
        <f ca="1">IFERROR(__xludf.DUMMYFUNCTION("""COMPUTED_VALUE"""),"i210543")</f>
        <v>i210543</v>
      </c>
      <c r="H208" s="12" t="str">
        <f ca="1">IFERROR(__xludf.DUMMYFUNCTION("""COMPUTED_VALUE"""),"Aiman Karim")</f>
        <v>Aiman Karim</v>
      </c>
      <c r="I208" s="12" t="str">
        <f ca="1">IFERROR(__xludf.DUMMYFUNCTION("""COMPUTED_VALUE"""),"i210664")</f>
        <v>i210664</v>
      </c>
      <c r="J208" s="12" t="str">
        <f ca="1">IFERROR(__xludf.DUMMYFUNCTION("""COMPUTED_VALUE"""),"Ayesha Saeed")</f>
        <v>Ayesha Saeed</v>
      </c>
      <c r="K208" s="12" t="str">
        <f ca="1">IFERROR(__xludf.DUMMYFUNCTION("""COMPUTED_VALUE"""),"i212457")</f>
        <v>i212457</v>
      </c>
    </row>
    <row r="209" spans="1:11" ht="242.25">
      <c r="A209" s="12" t="str">
        <f ca="1">IFERROR(__xludf.DUMMYFUNCTION("""COMPUTED_VALUE"""),"F24-209-D-ConvoAIFind")</f>
        <v>F24-209-D-ConvoAIFind</v>
      </c>
      <c r="B209" s="13" t="str">
        <f ca="1">IFERROR(__xludf.DUMMYFUNCTION("""COMPUTED_VALUE""")," CAF is an AI-driven bot that redefines online shopping by intelligently identifying products, analyzing reviews, and comparing options across stores to provide personalized recommendations.")</f>
        <v xml:space="preserve"> CAF is an AI-driven bot that redefines online shopping by intelligently identifying products, analyzing reviews, and comparing options across stores to provide personalized recommendations.</v>
      </c>
      <c r="C209" s="14" t="str">
        <f ca="1">IFERROR(__xludf.DUMMYFUNCTION("""COMPUTED_VALUE"""),"CAF is an AI-driven conversational bot designed to redefine the online shopping
experience. It intelligently identifies products based on user requirements, performs sentiment
analysis on reviews, and compares options across multiple online stores saving "&amp;"user’s time.
Leveraging advanced technologies like LLMs, web scraping CAF offers highly personalized and
targeted shopping recommendations.
Key Features:
● Conversational Interface Powered by LLMs
● Real-Time Web Scraping with Web Agent
● Sentiment Analys"&amp;"is for Product Reviews
● Comparative Analysis on Price, Availability, Reviews
● Platforms Comparisons based on User Reviews
● Targeted Product Recommendations
● Math Agent for Workflow Automation
● Product Recognition from Images
● Python Backend with Fas"&amp;"tAPI
● React-Based Frontend for Responsive UI
● Cloud Based Deployment")</f>
        <v>CAF is an AI-driven conversational bot designed to redefine the online shopping
experience. It intelligently identifies products based on user requirements, performs sentiment
analysis on reviews, and compares options across multiple online stores saving user’s time.
Leveraging advanced technologies like LLMs, web scraping CAF offers highly personalized and
targeted shopping recommendations.
Key Features:
● Conversational Interface Powered by LLMs
● Real-Time Web Scraping with Web Agent
● Sentiment Analysis for Product Reviews
● Comparative Analysis on Price, Availability, Reviews
● Platforms Comparisons based on User Reviews
● Targeted Product Recommendations
● Math Agent for Workflow Automation
● Product Recognition from Images
● Python Backend with FastAPI
● React-Based Frontend for Responsive UI
● Cloud Based Deployment</v>
      </c>
      <c r="D209" s="12" t="str">
        <f ca="1">IFERROR(__xludf.DUMMYFUNCTION("""COMPUTED_VALUE"""),"Mr. Irfan Ullah")</f>
        <v>Mr. Irfan Ullah</v>
      </c>
      <c r="E209" s="12"/>
      <c r="F209" s="12" t="str">
        <f ca="1">IFERROR(__xludf.DUMMYFUNCTION("""COMPUTED_VALUE"""),"Faizan Ali")</f>
        <v>Faizan Ali</v>
      </c>
      <c r="G209" s="12" t="str">
        <f ca="1">IFERROR(__xludf.DUMMYFUNCTION("""COMPUTED_VALUE"""),"i210422")</f>
        <v>i210422</v>
      </c>
      <c r="H209" s="12" t="str">
        <f ca="1">IFERROR(__xludf.DUMMYFUNCTION("""COMPUTED_VALUE"""),"Huzaifa Rabbani")</f>
        <v>Huzaifa Rabbani</v>
      </c>
      <c r="I209" s="12" t="str">
        <f ca="1">IFERROR(__xludf.DUMMYFUNCTION("""COMPUTED_VALUE"""),"i212496")</f>
        <v>i212496</v>
      </c>
      <c r="J209" s="12" t="str">
        <f ca="1">IFERROR(__xludf.DUMMYFUNCTION("""COMPUTED_VALUE"""),"Ahmad Ali Qurashi")</f>
        <v>Ahmad Ali Qurashi</v>
      </c>
      <c r="K209" s="12" t="str">
        <f ca="1">IFERROR(__xludf.DUMMYFUNCTION("""COMPUTED_VALUE"""),"i210541")</f>
        <v>i210541</v>
      </c>
    </row>
    <row r="210" spans="1:11" ht="229.5">
      <c r="A210" s="12" t="str">
        <f ca="1">IFERROR(__xludf.DUMMYFUNCTION("""COMPUTED_VALUE"""),"F24-210-R-CategorizeITV")</f>
        <v>F24-210-R-CategorizeITV</v>
      </c>
      <c r="B210" s="13" t="str">
        <f ca="1">IFERROR(__xludf.DUMMYFUNCTION("""COMPUTED_VALUE"""),"Transformer Based Inference Optimized Automated Issue Report Classification ")</f>
        <v xml:space="preserve">Transformer Based Inference Optimized Automated Issue Report Classification </v>
      </c>
      <c r="C210" s="14" t="str">
        <f ca="1">IFERROR(__xludf.DUMMYFUNCTION("""COMPUTED_VALUE"""),"Overview: 
An issue report system leveraging Transformer-based pre-trained BERT models like TinyBERT and FastBERT which effectively classifies issue reports into three main categories of Bug reports, Enhancement/Feature requests, and Questions. The proced"&amp;"ure includes preprocessing and cleaning of data for the NLBSE’25 tool competition which is followed by fine-tuning of pre-trained BERT models on the refined dataset. Our model's performance is evaluated on a dataset containing 3,000 labeled issue reports "&amp;"(categorized as bugs, enhancements, and questions) which are sourced from five real-world open-source projects.
Key features:
1. Bugs report module
2. Enhancements report module
3. Questionnaire report module
4. Profile management module
5. History manag"&amp;"ement module
6. Data upload module
7. Report Export Utility")</f>
        <v>Overview: 
An issue report system leveraging Transformer-based pre-trained BERT models like TinyBERT and FastBERT which effectively classifies issue reports into three main categories of Bug reports, Enhancement/Feature requests, and Questions. The procedure includes preprocessing and cleaning of data for the NLBSE’25 tool competition which is followed by fine-tuning of pre-trained BERT models on the refined dataset. Our model's performance is evaluated on a dataset containing 3,000 labeled issue reports (categorized as bugs, enhancements, and questions) which are sourced from five real-world open-source projects.
Key features:
1. Bugs report module
2. Enhancements report module
3. Questionnaire report module
4. Profile management module
5. History management module
6. Data upload module
7. Report Export Utility</v>
      </c>
      <c r="D210" s="12" t="str">
        <f ca="1">IFERROR(__xludf.DUMMYFUNCTION("""COMPUTED_VALUE"""),"Dr. Behjat Zuhaira")</f>
        <v>Dr. Behjat Zuhaira</v>
      </c>
      <c r="E210" s="12" t="str">
        <f ca="1">IFERROR(__xludf.DUMMYFUNCTION("""COMPUTED_VALUE"""),"Mr. Irfan Ullah")</f>
        <v>Mr. Irfan Ullah</v>
      </c>
      <c r="F210" s="12" t="str">
        <f ca="1">IFERROR(__xludf.DUMMYFUNCTION("""COMPUTED_VALUE"""),"Adnan Khattak")</f>
        <v>Adnan Khattak</v>
      </c>
      <c r="G210" s="12" t="str">
        <f ca="1">IFERROR(__xludf.DUMMYFUNCTION("""COMPUTED_VALUE"""),"i211141")</f>
        <v>i211141</v>
      </c>
      <c r="H210" s="12" t="str">
        <f ca="1">IFERROR(__xludf.DUMMYFUNCTION("""COMPUTED_VALUE"""),"Saaram Islam Cheema ")</f>
        <v xml:space="preserve">Saaram Islam Cheema </v>
      </c>
      <c r="I210" s="12" t="str">
        <f ca="1">IFERROR(__xludf.DUMMYFUNCTION("""COMPUTED_VALUE"""),"i211226")</f>
        <v>i211226</v>
      </c>
      <c r="J210" s="12" t="str">
        <f ca="1">IFERROR(__xludf.DUMMYFUNCTION("""COMPUTED_VALUE"""),"Abdullah Saeed")</f>
        <v>Abdullah Saeed</v>
      </c>
      <c r="K210" s="12" t="str">
        <f ca="1">IFERROR(__xludf.DUMMYFUNCTION("""COMPUTED_VALUE"""),"i211230")</f>
        <v>i211230</v>
      </c>
    </row>
    <row r="211" spans="1:11" ht="255">
      <c r="A211" s="12" t="str">
        <f ca="1">IFERROR(__xludf.DUMMYFUNCTION("""COMPUTED_VALUE"""),"F24-211-D-ParentalControlApp")</f>
        <v>F24-211-D-ParentalControlApp</v>
      </c>
      <c r="B211" s="13" t="str">
        <f ca="1">IFERROR(__xludf.DUMMYFUNCTION("""COMPUTED_VALUE"""),"Parental Control App")</f>
        <v>Parental Control App</v>
      </c>
      <c r="C211" s="14" t="str">
        <f ca="1">IFERROR(__xludf.DUMMYFUNCTION("""COMPUTED_VALUE"""),"The Parental Control App aims to provide a comprehensive solution for parents to monitor and manage their child's digital activities in real-time. The app will enable parents to track their child's location, monitor screen activity, control access to spec"&amp;"ific apps, and restrict the use of the microphone and camera. By offering these functionalities, the app ensures a safer digital environment for children, helping parents guide their usage of technology responsibly. The app will also focus on user-friendl"&amp;"iness, security, and adaptability across different devices and platforms.
1-Real-time Location Tracking: Enables parents to monitor their child's current location.
2-Live Screen Monitoring: Allows parents to view their child's screen activity in real-tim"&amp;"e.
3-App Usage Restrictions: Provides the ability to block or limit the use of specific applications.
4-Microphone Access Control: Restricts the use of the device's microphone, preventing unauthorized audio recording.
5-Camera Access Control: Limits acces"&amp;"s to the camera to prevent unauthorized video or photo capture.
6-Time-based Restrictions: Sets specific times when device usage is allowed or restricted.
7-Activity Reports: Generates detailed reports of the child’s daily digital activities, including ap"&amp;"p usage and screen time.
8-Emergency Alerts: An emergency button for the child to send immediate alerts to parents.")</f>
        <v>The Parental Control App aims to provide a comprehensive solution for parents to monitor and manage their child's digital activities in real-time. The app will enable parents to track their child's location, monitor screen activity, control access to specific apps, and restrict the use of the microphone and camera. By offering these functionalities, the app ensures a safer digital environment for children, helping parents guide their usage of technology responsibly. The app will also focus on user-friendliness, security, and adaptability across different devices and platforms.
1-Real-time Location Tracking: Enables parents to monitor their child's current location.
2-Live Screen Monitoring: Allows parents to view their child's screen activity in real-time.
3-App Usage Restrictions: Provides the ability to block or limit the use of specific applications.
4-Microphone Access Control: Restricts the use of the device's microphone, preventing unauthorized audio recording.
5-Camera Access Control: Limits access to the camera to prevent unauthorized video or photo capture.
6-Time-based Restrictions: Sets specific times when device usage is allowed or restricted.
7-Activity Reports: Generates detailed reports of the child’s daily digital activities, including app usage and screen time.
8-Emergency Alerts: An emergency button for the child to send immediate alerts to parents.</v>
      </c>
      <c r="D211" s="12" t="str">
        <f ca="1">IFERROR(__xludf.DUMMYFUNCTION("""COMPUTED_VALUE"""),"Dr. Syed Qaiser Ali Shah")</f>
        <v>Dr. Syed Qaiser Ali Shah</v>
      </c>
      <c r="E211" s="12" t="str">
        <f ca="1">IFERROR(__xludf.DUMMYFUNCTION("""COMPUTED_VALUE"""),"Dr. Syed Qaiser Ali Shah")</f>
        <v>Dr. Syed Qaiser Ali Shah</v>
      </c>
      <c r="F211" s="12" t="str">
        <f ca="1">IFERROR(__xludf.DUMMYFUNCTION("""COMPUTED_VALUE"""),"Ammar Arshad")</f>
        <v>Ammar Arshad</v>
      </c>
      <c r="G211" s="12" t="str">
        <f ca="1">IFERROR(__xludf.DUMMYFUNCTION("""COMPUTED_VALUE"""),"i210456")</f>
        <v>i210456</v>
      </c>
      <c r="H211" s="12" t="str">
        <f ca="1">IFERROR(__xludf.DUMMYFUNCTION("""COMPUTED_VALUE"""),"Hadeed Rauf")</f>
        <v>Hadeed Rauf</v>
      </c>
      <c r="I211" s="12" t="str">
        <f ca="1">IFERROR(__xludf.DUMMYFUNCTION("""COMPUTED_VALUE"""),"i210859")</f>
        <v>i210859</v>
      </c>
      <c r="J211" s="12" t="str">
        <f ca="1">IFERROR(__xludf.DUMMYFUNCTION("""COMPUTED_VALUE"""),"Muzammil Hassan")</f>
        <v>Muzammil Hassan</v>
      </c>
      <c r="K211" s="12" t="str">
        <f ca="1">IFERROR(__xludf.DUMMYFUNCTION("""COMPUTED_VALUE"""),"i210631")</f>
        <v>i210631</v>
      </c>
    </row>
    <row r="212" spans="1:11" ht="229.5">
      <c r="A212" s="12" t="str">
        <f ca="1">IFERROR(__xludf.DUMMYFUNCTION("""COMPUTED_VALUE"""),"F24-212-D-DataGenie")</f>
        <v>F24-212-D-DataGenie</v>
      </c>
      <c r="B212" s="13" t="str">
        <f ca="1">IFERROR(__xludf.DUMMYFUNCTION("""COMPUTED_VALUE"""),"Data augmentation for training models for Quality inspection through generative AI")</f>
        <v>Data augmentation for training models for Quality inspection through generative AI</v>
      </c>
      <c r="C212" s="14" t="str">
        <f ca="1">IFERROR(__xludf.DUMMYFUNCTION("""COMPUTED_VALUE"""),"DataGenie is a generative AI model designed to tackle the issue of limited data in training AI models for quality inspection. By creating synthetic versions of both defective and non-defective data, DataGenie allows for more robust model training. It can "&amp;"generate diverse defects from a single image of each product view by interpreting descriptions in natural language, producing various versions of defects for enhanced training accuracy.
Key Features
1. Data augmentation through generative AI.
2. Generate "&amp;"trainable images using 3d image of the product.
3. Generate synthetic images of product using user prompts in natural language.
     (both defective and undefective images).
4. Train a new model using the generated custom dataset through transfer learning"&amp;" on a 
     pre trained model by clicking just one button.
5. Separate inference page for testing the produced model in real time.
6. Generate a model in pytorch or any other format as an output.
7. Implement strategies to validate the synthetic data agai"&amp;"nst real product images ensuring 
    the quality and realism of the generated data.
8. Allow for customization in the types and severity of defects simulated in the synthetic 
    data to cater to different industry needs and product types.")</f>
        <v>DataGenie is a generative AI model designed to tackle the issue of limited data in training AI models for quality inspection. By creating synthetic versions of both defective and non-defective data, DataGenie allows for more robust model training. It can generate diverse defects from a single image of each product view by interpreting descriptions in natural language, producing various versions of defects for enhanced training accuracy.
Key Features
1. Data augmentation through generative AI.
2. Generate trainable images using 3d image of the product.
3. Generate synthetic images of product using user prompts in natural language.
     (both defective and undefective images).
4. Train a new model using the generated custom dataset through transfer learning on a 
     pre trained model by clicking just one button.
5. Separate inference page for testing the produced model in real time.
6. Generate a model in pytorch or any other format as an output.
7. Implement strategies to validate the synthetic data against real product images ensuring 
    the quality and realism of the generated data.
8. Allow for customization in the types and severity of defects simulated in the synthetic 
    data to cater to different industry needs and product types.</v>
      </c>
      <c r="D212" s="12" t="str">
        <f ca="1">IFERROR(__xludf.DUMMYFUNCTION("""COMPUTED_VALUE"""),"Mr. Shams Farooq")</f>
        <v>Mr. Shams Farooq</v>
      </c>
      <c r="E212" s="12"/>
      <c r="F212" s="12" t="str">
        <f ca="1">IFERROR(__xludf.DUMMYFUNCTION("""COMPUTED_VALUE"""),"Muhammad Moeed Asif")</f>
        <v>Muhammad Moeed Asif</v>
      </c>
      <c r="G212" s="12" t="str">
        <f ca="1">IFERROR(__xludf.DUMMYFUNCTION("""COMPUTED_VALUE"""),"i210483")</f>
        <v>i210483</v>
      </c>
      <c r="H212" s="12" t="str">
        <f ca="1">IFERROR(__xludf.DUMMYFUNCTION("""COMPUTED_VALUE"""),"Hammad Qaiser")</f>
        <v>Hammad Qaiser</v>
      </c>
      <c r="I212" s="12" t="str">
        <f ca="1">IFERROR(__xludf.DUMMYFUNCTION("""COMPUTED_VALUE"""),"i212463")</f>
        <v>i212463</v>
      </c>
      <c r="J212" s="12" t="str">
        <f ca="1">IFERROR(__xludf.DUMMYFUNCTION("""COMPUTED_VALUE"""),"Muhammad Jamaludin Yahya")</f>
        <v>Muhammad Jamaludin Yahya</v>
      </c>
      <c r="K212" s="12" t="str">
        <f ca="1">IFERROR(__xludf.DUMMYFUNCTION("""COMPUTED_VALUE"""),"i210808")</f>
        <v>i210808</v>
      </c>
    </row>
    <row r="213" spans="1:11" ht="89.25">
      <c r="A213" s="12" t="str">
        <f ca="1">IFERROR(__xludf.DUMMYFUNCTION("""COMPUTED_VALUE"""),"F24-213-D-BinaryBeats")</f>
        <v>F24-213-D-BinaryBeats</v>
      </c>
      <c r="B213" s="13" t="str">
        <f ca="1">IFERROR(__xludf.DUMMYFUNCTION("""COMPUTED_VALUE"""),"CampusEye: Distributed Anomaly Detection for Campus Safety")</f>
        <v>CampusEye: Distributed Anomaly Detection for Campus Safety</v>
      </c>
      <c r="C213" s="14" t="str">
        <f ca="1">IFERROR(__xludf.DUMMYFUNCTION("""COMPUTED_VALUE"""),"This project is a real-time anomaly detection system designed to enhance campus security by monitoring existing CCTV networks. The system detects policy violations such as smoking, fighting, and vandalism using machine learning, computer vision, and distr"&amp;"ibuted computing. By distributing video processing across idle campus PCs, the solution is cost-effective, scalable, and provides instant alerts to security personnel, along with video clips of detected anomalies. The system integrates seamlessly with the"&amp;" current infrastructure, offering a smart, efficient way to improve university safety.
")</f>
        <v xml:space="preserve">This project is a real-time anomaly detection system designed to enhance campus security by monitoring existing CCTV networks. The system detects policy violations such as smoking, fighting, and vandalism using machine learning, computer vision, and distributed computing. By distributing video processing across idle campus PCs, the solution is cost-effective, scalable, and provides instant alerts to security personnel, along with video clips of detected anomalies. The system integrates seamlessly with the current infrastructure, offering a smart, efficient way to improve university safety.
</v>
      </c>
      <c r="D213" s="12" t="str">
        <f ca="1">IFERROR(__xludf.DUMMYFUNCTION("""COMPUTED_VALUE"""),"Mr. M. Aadil Ur Rehman")</f>
        <v>Mr. M. Aadil Ur Rehman</v>
      </c>
      <c r="E213" s="12" t="str">
        <f ca="1">IFERROR(__xludf.DUMMYFUNCTION("""COMPUTED_VALUE"""),"Dr. Muhammad Arshad Islam")</f>
        <v>Dr. Muhammad Arshad Islam</v>
      </c>
      <c r="F213" s="12" t="str">
        <f ca="1">IFERROR(__xludf.DUMMYFUNCTION("""COMPUTED_VALUE"""),"Hamid Ishaq")</f>
        <v>Hamid Ishaq</v>
      </c>
      <c r="G213" s="12" t="str">
        <f ca="1">IFERROR(__xludf.DUMMYFUNCTION("""COMPUTED_VALUE"""),"i210476")</f>
        <v>i210476</v>
      </c>
      <c r="H213" s="12" t="str">
        <f ca="1">IFERROR(__xludf.DUMMYFUNCTION("""COMPUTED_VALUE"""),"Muhammad Abdullah")</f>
        <v>Muhammad Abdullah</v>
      </c>
      <c r="I213" s="12" t="str">
        <f ca="1">IFERROR(__xludf.DUMMYFUNCTION("""COMPUTED_VALUE"""),"i212976")</f>
        <v>i212976</v>
      </c>
      <c r="J213" s="12" t="str">
        <f ca="1">IFERROR(__xludf.DUMMYFUNCTION("""COMPUTED_VALUE"""),"Muhammad Hasaam")</f>
        <v>Muhammad Hasaam</v>
      </c>
      <c r="K213" s="12" t="str">
        <f ca="1">IFERROR(__xludf.DUMMYFUNCTION("""COMPUTED_VALUE"""),"i210698")</f>
        <v>i210698</v>
      </c>
    </row>
    <row r="214" spans="1:11" ht="216.75">
      <c r="A214" s="12" t="str">
        <f ca="1">IFERROR(__xludf.DUMMYFUNCTION("""COMPUTED_VALUE"""),"F24-214-D-MeriCloset")</f>
        <v>F24-214-D-MeriCloset</v>
      </c>
      <c r="B214" s="13" t="str">
        <f ca="1">IFERROR(__xludf.DUMMYFUNCTION("""COMPUTED_VALUE"""),"MeriCloset: Your Personalized Shopping Hub")</f>
        <v>MeriCloset: Your Personalized Shopping Hub</v>
      </c>
      <c r="C214" s="14" t="str">
        <f ca="1">IFERROR(__xludf.DUMMYFUNCTION("""COMPUTED_VALUE"""),"This fashion platform, MeriCloset centralizes products from various brands into one app, offering personalized clothing recommendations based on body measurements, style, occasions, and moods. Users can save, share and compare outfits and customize their "&amp;"level of personalization. It features visual search, customizable measurements, a virtual fitting room, AI-powered recommendations, personalized lookbooks, advanced filtering, and social features. It also emphasizes data security, scalability, and robust "&amp;"development for optimal performance.
Key Features:
-Personalized Recommendations: Tailored suggestions based on user profile.
-Visual Search: Find products by uploading images.
-Customizable Measurements: Enter detailed body measurements for accurate fit."&amp;"
-AI-Powered Suggestions: Smart recommendations using AI.
-Personalized Lookbooks: Curated outfits based on preferences.
-Advanced Filtering: Refine searches with detailed filters.
-Social Features: Share outfits and engage with the community.
-Outfit Com"&amp;"parison: Compare different outfits side by side.
-Data Security &amp; Scalability: Ensures user data protection and app performance.")</f>
        <v>This fashion platform, MeriCloset centralizes products from various brands into one app, offering personalized clothing recommendations based on body measurements, style, occasions, and moods. Users can save, share and compare outfits and customize their level of personalization. It features visual search, customizable measurements, a virtual fitting room, AI-powered recommendations, personalized lookbooks, advanced filtering, and social features. It also emphasizes data security, scalability, and robust development for optimal performance.
Key Features:
-Personalized Recommendations: Tailored suggestions based on user profile.
-Visual Search: Find products by uploading images.
-Customizable Measurements: Enter detailed body measurements for accurate fit.
-AI-Powered Suggestions: Smart recommendations using AI.
-Personalized Lookbooks: Curated outfits based on preferences.
-Advanced Filtering: Refine searches with detailed filters.
-Social Features: Share outfits and engage with the community.
-Outfit Comparison: Compare different outfits side by side.
-Data Security &amp; Scalability: Ensures user data protection and app performance.</v>
      </c>
      <c r="D214" s="12" t="str">
        <f ca="1">IFERROR(__xludf.DUMMYFUNCTION("""COMPUTED_VALUE"""),"Dr. Danish Shehzad")</f>
        <v>Dr. Danish Shehzad</v>
      </c>
      <c r="E214" s="12" t="str">
        <f ca="1">IFERROR(__xludf.DUMMYFUNCTION("""COMPUTED_VALUE"""),"Mr. Muhammad Muneeb Baig")</f>
        <v>Mr. Muhammad Muneeb Baig</v>
      </c>
      <c r="F214" s="12" t="str">
        <f ca="1">IFERROR(__xludf.DUMMYFUNCTION("""COMPUTED_VALUE"""),"Saad Amir")</f>
        <v>Saad Amir</v>
      </c>
      <c r="G214" s="12" t="str">
        <f ca="1">IFERROR(__xludf.DUMMYFUNCTION("""COMPUTED_VALUE"""),"i200650")</f>
        <v>i200650</v>
      </c>
      <c r="H214" s="12" t="str">
        <f ca="1">IFERROR(__xludf.DUMMYFUNCTION("""COMPUTED_VALUE"""),"Ammar Bin Yasir")</f>
        <v>Ammar Bin Yasir</v>
      </c>
      <c r="I214" s="12" t="str">
        <f ca="1">IFERROR(__xludf.DUMMYFUNCTION("""COMPUTED_VALUE"""),"i200501")</f>
        <v>i200501</v>
      </c>
      <c r="J214" s="12" t="str">
        <f ca="1">IFERROR(__xludf.DUMMYFUNCTION("""COMPUTED_VALUE"""),"Talha Tanveer")</f>
        <v>Talha Tanveer</v>
      </c>
      <c r="K214" s="12" t="str">
        <f ca="1">IFERROR(__xludf.DUMMYFUNCTION("""COMPUTED_VALUE"""),"i200438")</f>
        <v>i200438</v>
      </c>
    </row>
    <row r="215" spans="1:11" ht="229.5">
      <c r="A215" s="12" t="str">
        <f ca="1">IFERROR(__xludf.DUMMYFUNCTION("""COMPUTED_VALUE"""),"F24-215-D-FashionFusion")</f>
        <v>F24-215-D-FashionFusion</v>
      </c>
      <c r="B215" s="13" t="str">
        <f ca="1">IFERROR(__xludf.DUMMYFUNCTION("""COMPUTED_VALUE"""),"All Pakistani clothing brands at one platform with easy comparison, AI assistant and review analysis")</f>
        <v>All Pakistani clothing brands at one platform with easy comparison, AI assistant and review analysis</v>
      </c>
      <c r="C215" s="14" t="str">
        <f ca="1">IFERROR(__xludf.DUMMYFUNCTION("""COMPUTED_VALUE"""),"This platform is designed to aggregate products from all clothing brands in Pakistan by scraping data from various brand websites. It enables customers to compare products easily in one location. The platform also analyses sales trends to identify which b"&amp;"rands offer genuine, seasonal discounts and which maintain year-round sales. To ensure transparency, it manages customer reviews authentically, keeping both positive and negative feedback visible. Additionally, the platform features a blog for customers t"&amp;"o discuss products, and it leverages advanced analysis to assess customer sentiment based on reviews and discussions.
Features:
1. Multi-Brand Scraping
2. Unified Product Database
3. Product Comparison Tool
4. Campaign Monitoring with Traffic &amp; Sales Ana"&amp;"lysis
5. Review Management &amp; Authentication
6. Sentiment Analysis
7. Trend Reports
8. Smart Chatbot")</f>
        <v>This platform is designed to aggregate products from all clothing brands in Pakistan by scraping data from various brand websites. It enables customers to compare products easily in one location. The platform also analyses sales trends to identify which brands offer genuine, seasonal discounts and which maintain year-round sales. To ensure transparency, it manages customer reviews authentically, keeping both positive and negative feedback visible. Additionally, the platform features a blog for customers to discuss products, and it leverages advanced analysis to assess customer sentiment based on reviews and discussions.
Features:
1. Multi-Brand Scraping
2. Unified Product Database
3. Product Comparison Tool
4. Campaign Monitoring with Traffic &amp; Sales Analysis
5. Review Management &amp; Authentication
6. Sentiment Analysis
7. Trend Reports
8. Smart Chatbot</v>
      </c>
      <c r="D215" s="12" t="str">
        <f ca="1">IFERROR(__xludf.DUMMYFUNCTION("""COMPUTED_VALUE"""),"Ms. Rabail Zahid")</f>
        <v>Ms. Rabail Zahid</v>
      </c>
      <c r="E215" s="12" t="str">
        <f ca="1">IFERROR(__xludf.DUMMYFUNCTION("""COMPUTED_VALUE"""),"Mr. Saad Salman")</f>
        <v>Mr. Saad Salman</v>
      </c>
      <c r="F215" s="12" t="str">
        <f ca="1">IFERROR(__xludf.DUMMYFUNCTION("""COMPUTED_VALUE"""),"Mohammad Usman Chaudhary")</f>
        <v>Mohammad Usman Chaudhary</v>
      </c>
      <c r="G215" s="12" t="str">
        <f ca="1">IFERROR(__xludf.DUMMYFUNCTION("""COMPUTED_VALUE"""),"i180429")</f>
        <v>i180429</v>
      </c>
      <c r="H215" s="12" t="str">
        <f ca="1">IFERROR(__xludf.DUMMYFUNCTION("""COMPUTED_VALUE"""),"Muhammad Fasieh")</f>
        <v>Muhammad Fasieh</v>
      </c>
      <c r="I215" s="12" t="str">
        <f ca="1">IFERROR(__xludf.DUMMYFUNCTION("""COMPUTED_VALUE"""),"i212458")</f>
        <v>i212458</v>
      </c>
      <c r="J215" s="12" t="str">
        <f ca="1">IFERROR(__xludf.DUMMYFUNCTION("""COMPUTED_VALUE"""),"Muhammad Hammad Irfan")</f>
        <v>Muhammad Hammad Irfan</v>
      </c>
      <c r="K215" s="12" t="str">
        <f ca="1">IFERROR(__xludf.DUMMYFUNCTION("""COMPUTED_VALUE"""),"i191994")</f>
        <v>i191994</v>
      </c>
    </row>
    <row r="216" spans="1:11" ht="255">
      <c r="A216" s="12" t="str">
        <f ca="1">IFERROR(__xludf.DUMMYFUNCTION("""COMPUTED_VALUE"""),"F24-216-D-SmoothFlow")</f>
        <v>F24-216-D-SmoothFlow</v>
      </c>
      <c r="B216" s="13" t="str">
        <f ca="1">IFERROR(__xludf.DUMMYFUNCTION("""COMPUTED_VALUE"""),"Smooth Flow")</f>
        <v>Smooth Flow</v>
      </c>
      <c r="C216" s="14" t="str">
        <f ca="1">IFERROR(__xludf.DUMMYFUNCTION("""COMPUTED_VALUE"""),"Project Scope:
SmoothFlow is a web-based application targeted towards native English language speakers who suffer from speech disfluencies. The main objective is to assist such individuals in improving the fluency of their speech. It detects and classifie"&amp;"s the speech disfluencies present in the patient’s speech and based on the classification, it recommends the patient with different speech therapy exercises. The speech therapy exercises follow a gamified approach to encourage patients to stay consistent."&amp;" Progress tracking and feedback reports are also provided to the patient. Additionally, the patient can consult with a Speech Language Pathologist through text or video.
Key Features:
1. Detection and Multi-label classification of speech disfluencies (on"&amp;" patient’s speech)
2. Speech therapy exercises with gamification elements
3. Analysis of patient’s speech to check the severity of speech disfluencies
4. Performance Analytics, Progress Tracking and Feedback reports of the patient
5. Consultation with Spe"&amp;"ech Language Pathologist (SLP) through text or video
6. Chatbot to provide patients with information related to Speech Disfluencies and Speech Therapy
7. User Management
8. User-friendly Interface")</f>
        <v>Project Scope:
SmoothFlow is a web-based application targeted towards native English language speakers who suffer from speech disfluencies. The main objective is to assist such individuals in improving the fluency of their speech. It detects and classifies the speech disfluencies present in the patient’s speech and based on the classification, it recommends the patient with different speech therapy exercises. The speech therapy exercises follow a gamified approach to encourage patients to stay consistent. Progress tracking and feedback reports are also provided to the patient. Additionally, the patient can consult with a Speech Language Pathologist through text or video.
Key Features:
1. Detection and Multi-label classification of speech disfluencies (on patient’s speech)
2. Speech therapy exercises with gamification elements
3. Analysis of patient’s speech to check the severity of speech disfluencies
4. Performance Analytics, Progress Tracking and Feedback reports of the patient
5. Consultation with Speech Language Pathologist (SLP) through text or video
6. Chatbot to provide patients with information related to Speech Disfluencies and Speech Therapy
7. User Management
8. User-friendly Interface</v>
      </c>
      <c r="D216" s="12" t="str">
        <f ca="1">IFERROR(__xludf.DUMMYFUNCTION("""COMPUTED_VALUE"""),"Dr. Behjat Zuhaira")</f>
        <v>Dr. Behjat Zuhaira</v>
      </c>
      <c r="E216" s="12" t="str">
        <f ca="1">IFERROR(__xludf.DUMMYFUNCTION("""COMPUTED_VALUE"""),"Dr. Shahela Saif")</f>
        <v>Dr. Shahela Saif</v>
      </c>
      <c r="F216" s="12" t="str">
        <f ca="1">IFERROR(__xludf.DUMMYFUNCTION("""COMPUTED_VALUE"""),"Hussain Ali Waqar")</f>
        <v>Hussain Ali Waqar</v>
      </c>
      <c r="G216" s="12" t="str">
        <f ca="1">IFERROR(__xludf.DUMMYFUNCTION("""COMPUTED_VALUE"""),"i211123")</f>
        <v>i211123</v>
      </c>
      <c r="H216" s="12" t="str">
        <f ca="1">IFERROR(__xludf.DUMMYFUNCTION("""COMPUTED_VALUE"""),"Omer Hashmi")</f>
        <v>Omer Hashmi</v>
      </c>
      <c r="I216" s="12" t="str">
        <f ca="1">IFERROR(__xludf.DUMMYFUNCTION("""COMPUTED_VALUE"""),"i211105")</f>
        <v>i211105</v>
      </c>
      <c r="J216" s="12"/>
      <c r="K216" s="12"/>
    </row>
    <row r="217" spans="1:11" ht="204">
      <c r="A217" s="12" t="str">
        <f ca="1">IFERROR(__xludf.DUMMYFUNCTION("""COMPUTED_VALUE"""),"F24-217-D-SkinSync")</f>
        <v>F24-217-D-SkinSync</v>
      </c>
      <c r="B217" s="13" t="str">
        <f ca="1">IFERROR(__xludf.DUMMYFUNCTION("""COMPUTED_VALUE"""),"Employing the power of AI for skin analysis ")</f>
        <v xml:space="preserve">Employing the power of AI for skin analysis </v>
      </c>
      <c r="C217" s="14" t="str">
        <f ca="1">IFERROR(__xludf.DUMMYFUNCTION("""COMPUTED_VALUE"""),"This project involves the development of an AI-powered chatbot designed to offer personalized skincare recommendations by considering a range of factors including skin type, dietary habits, potential allergens, and regional weather conditions. The chatbot"&amp;" will provide a holistic analysis to ensure that users receive comprehensive advice tailored to their specific needs. Additionally, it will incorporate machine learning for accurate diagnosis and continuous improvement through user feedback, making it a v"&amp;"aluable tool for both consumers and dermatologists.
1.NLP-Driven User Interaction: Intuitive input and response system.
2.Data Analysis: Comprehensive recommendations incorporating multiple factors.
3.Machine Learning Diagnosis: AI models to identify skin"&amp;" issues.
4.Image Recognition Module: Analyzes uploaded photos for skin conditions
5.Personalized Diet Analytics: Tailored dietary suggestions for skin health.
6.Allergy Detection Algorithm: Identifying potential skin allergens.
7.Product Recommendation En"&amp;"gine: Curated skincare product suggestions.
8.API Integration: Seamless connection with third-party skincare databases
9.Predictive Analytics: Forecasting potential skin issues before they arise.
")</f>
        <v xml:space="preserve">This project involves the development of an AI-powered chatbot designed to offer personalized skincare recommendations by considering a range of factors including skin type, dietary habits, potential allergens, and regional weather conditions. The chatbot will provide a holistic analysis to ensure that users receive comprehensive advice tailored to their specific needs. Additionally, it will incorporate machine learning for accurate diagnosis and continuous improvement through user feedback, making it a valuable tool for both consumers and dermatologists.
1.NLP-Driven User Interaction: Intuitive input and response system.
2.Data Analysis: Comprehensive recommendations incorporating multiple factors.
3.Machine Learning Diagnosis: AI models to identify skin issues.
4.Image Recognition Module: Analyzes uploaded photos for skin conditions
5.Personalized Diet Analytics: Tailored dietary suggestions for skin health.
6.Allergy Detection Algorithm: Identifying potential skin allergens.
7.Product Recommendation Engine: Curated skincare product suggestions.
8.API Integration: Seamless connection with third-party skincare databases
9.Predictive Analytics: Forecasting potential skin issues before they arise.
</v>
      </c>
      <c r="D217" s="12" t="str">
        <f ca="1">IFERROR(__xludf.DUMMYFUNCTION("""COMPUTED_VALUE"""),"Mr. Hassan Raza")</f>
        <v>Mr. Hassan Raza</v>
      </c>
      <c r="E217" s="12"/>
      <c r="F217" s="12" t="str">
        <f ca="1">IFERROR(__xludf.DUMMYFUNCTION("""COMPUTED_VALUE"""),"Ahmed Ansari")</f>
        <v>Ahmed Ansari</v>
      </c>
      <c r="G217" s="12" t="str">
        <f ca="1">IFERROR(__xludf.DUMMYFUNCTION("""COMPUTED_VALUE"""),"i212453")</f>
        <v>i212453</v>
      </c>
      <c r="H217" s="12" t="str">
        <f ca="1">IFERROR(__xludf.DUMMYFUNCTION("""COMPUTED_VALUE"""),"Taha Farooq")</f>
        <v>Taha Farooq</v>
      </c>
      <c r="I217" s="12" t="str">
        <f ca="1">IFERROR(__xludf.DUMMYFUNCTION("""COMPUTED_VALUE"""),"i210550")</f>
        <v>i210550</v>
      </c>
      <c r="J217" s="12" t="str">
        <f ca="1">IFERROR(__xludf.DUMMYFUNCTION("""COMPUTED_VALUE"""),"Talha Rashid ")</f>
        <v xml:space="preserve">Talha Rashid </v>
      </c>
      <c r="K217" s="12" t="str">
        <f ca="1">IFERROR(__xludf.DUMMYFUNCTION("""COMPUTED_VALUE"""),"i211365")</f>
        <v>i211365</v>
      </c>
    </row>
    <row r="218" spans="1:11" ht="409.5">
      <c r="A218" s="12" t="str">
        <f ca="1">IFERROR(__xludf.DUMMYFUNCTION("""COMPUTED_VALUE"""),"F24-218-D-ArtiFlo")</f>
        <v>F24-218-D-ArtiFlo</v>
      </c>
      <c r="B218" s="13" t="str">
        <f ca="1">IFERROR(__xludf.DUMMYFUNCTION("""COMPUTED_VALUE"""),"ArtiFlo: Mastering Business Process Modeling")</f>
        <v>ArtiFlo: Mastering Business Process Modeling</v>
      </c>
      <c r="C218" s="14" t="str">
        <f ca="1">IFERROR(__xludf.DUMMYFUNCTION("""COMPUTED_VALUE"""),"The LLM-Enhanced BPMN Diagramming and Creation Tool combines the intuitive power of Artificial Intelligence with real-time feedback, enabling users to create efficient and accurate Business Process Model and Notation (BPMN) diagrams. By leveraging Large L"&amp;"anguage Models (LLMs), users can create BPMN diagrams from natural language prompts and receive real-time feedback. The tool is designed to streamline the BPMN diagram creation process, making it accessible and efficient for users of all skill levels, wit"&amp;"h a special focus on educational use.
1. Prompt-Based Diagram Creation: Users (Instructors) can describe business processes in natural language, which the tool then uses to generate BPMN diagrams.
2. Drag-and-drop Diagram Creation: Users (Students and In"&amp;"structors) can easily create BPMN diagrams by dragging and dropping components onto an interactive workspace using an intuitive interface which simplifies diagram construction.
3. Integrated Business Process Assistant: Offers users (students) real-time as"&amp;"sistance and feedback on the correctness of the BPMN structure, symbols, activities, and flow.
4. Chatbot Assistance: A conversational AI guide that helps users (students) through the diagram creation process and explains BPMN concepts.
5. Comprehensive A"&amp;"ctivity Logging and Performance Analysis: The system tracks and records all user (student) actions within the tool, including diagram creation, modifications, deletions, and time spent on each component. The detailed log of user interactions is then analy"&amp;"zed to generate performance metrics and actionable insights. Users (instructors) receive reports on the diagramming efficiency, identifying areas of difficulty or frequent revisions, while offering recommendations for improvement based on the usage patter"&amp;"ns and comparison with best practices.
6. Teacher Dashboard: Allows educators to monitor student progress, view activity logs, and provide personalized feedback.
7. Interactive Learning Content for Students: Includes BPMN tutorials, quizzes, and assessmen"&amp;"ts with automated grading and feedback.
8. Performance Reports : Instructors can generate detailed performance reports for individual students or groups, providing in-depth insights into their BPMN diagramming skills and workflow efficiency. The reports s"&amp;"ummarize key metrics such as time spent on various diagram components, frequency of revisions, common errors or bottlenecks, and adherence to BPMN best practices, enabling instructors to identify areas where students are struggling and offer actionable re"&amp;"commendations for improvement to help them refine their BPMN skills and become more proficient in business process modeling. 
9. Export and Import Functionality: Enables users to export diagrams in various formats (e.g., PNG, SVG, XML) and import existing"&amp;" BPMN diagrams for editing.
")</f>
        <v xml:space="preserve">The LLM-Enhanced BPMN Diagramming and Creation Tool combines the intuitive power of Artificial Intelligence with real-time feedback, enabling users to create efficient and accurate Business Process Model and Notation (BPMN) diagrams. By leveraging Large Language Models (LLMs), users can create BPMN diagrams from natural language prompts and receive real-time feedback. The tool is designed to streamline the BPMN diagram creation process, making it accessible and efficient for users of all skill levels, with a special focus on educational use.
1. Prompt-Based Diagram Creation: Users (Instructors) can describe business processes in natural language, which the tool then uses to generate BPMN diagrams.
2. Drag-and-drop Diagram Creation: Users (Students and Instructors) can easily create BPMN diagrams by dragging and dropping components onto an interactive workspace using an intuitive interface which simplifies diagram construction.
3. Integrated Business Process Assistant: Offers users (students) real-time assistance and feedback on the correctness of the BPMN structure, symbols, activities, and flow.
4. Chatbot Assistance: A conversational AI guide that helps users (students) through the diagram creation process and explains BPMN concepts.
5. Comprehensive Activity Logging and Performance Analysis: The system tracks and records all user (student) actions within the tool, including diagram creation, modifications, deletions, and time spent on each component. The detailed log of user interactions is then analyzed to generate performance metrics and actionable insights. Users (instructors) receive reports on the diagramming efficiency, identifying areas of difficulty or frequent revisions, while offering recommendations for improvement based on the usage patterns and comparison with best practices.
6. Teacher Dashboard: Allows educators to monitor student progress, view activity logs, and provide personalized feedback.
7. Interactive Learning Content for Students: Includes BPMN tutorials, quizzes, and assessments with automated grading and feedback.
8. Performance Reports : Instructors can generate detailed performance reports for individual students or groups, providing in-depth insights into their BPMN diagramming skills and workflow efficiency. The reports summarize key metrics such as time spent on various diagram components, frequency of revisions, common errors or bottlenecks, and adherence to BPMN best practices, enabling instructors to identify areas where students are struggling and offer actionable recommendations for improvement to help them refine their BPMN skills and become more proficient in business process modeling. 
9. Export and Import Functionality: Enables users to export diagrams in various formats (e.g., PNG, SVG, XML) and import existing BPMN diagrams for editing.
</v>
      </c>
      <c r="D218" s="12" t="str">
        <f ca="1">IFERROR(__xludf.DUMMYFUNCTION("""COMPUTED_VALUE"""),"Dr. Behjat Zuhaira")</f>
        <v>Dr. Behjat Zuhaira</v>
      </c>
      <c r="E218" s="12"/>
      <c r="F218" s="12" t="str">
        <f ca="1">IFERROR(__xludf.DUMMYFUNCTION("""COMPUTED_VALUE"""),"Syed Nouman")</f>
        <v>Syed Nouman</v>
      </c>
      <c r="G218" s="12" t="str">
        <f ca="1">IFERROR(__xludf.DUMMYFUNCTION("""COMPUTED_VALUE"""),"i211172")</f>
        <v>i211172</v>
      </c>
      <c r="H218" s="12" t="str">
        <f ca="1">IFERROR(__xludf.DUMMYFUNCTION("""COMPUTED_VALUE"""),"Noman Mustafa Mehar")</f>
        <v>Noman Mustafa Mehar</v>
      </c>
      <c r="I218" s="12" t="str">
        <f ca="1">IFERROR(__xludf.DUMMYFUNCTION("""COMPUTED_VALUE"""),"i211235")</f>
        <v>i211235</v>
      </c>
      <c r="J218" s="12" t="str">
        <f ca="1">IFERROR(__xludf.DUMMYFUNCTION("""COMPUTED_VALUE"""),"Muhammad Shahmeer Durrani")</f>
        <v>Muhammad Shahmeer Durrani</v>
      </c>
      <c r="K218" s="12" t="str">
        <f ca="1">IFERROR(__xludf.DUMMYFUNCTION("""COMPUTED_VALUE"""),"i211164")</f>
        <v>i211164</v>
      </c>
    </row>
    <row r="219" spans="1:11" ht="267.75">
      <c r="A219" s="12" t="str">
        <f ca="1">IFERROR(__xludf.DUMMYFUNCTION("""COMPUTED_VALUE"""),"F24-219-D-TracknRetrieve")</f>
        <v>F24-219-D-TracknRetrieve</v>
      </c>
      <c r="B219" s="13" t="str">
        <f ca="1">IFERROR(__xludf.DUMMYFUNCTION("""COMPUTED_VALUE"""),"Track &amp; Retrieve: Advanced Lost Item Search System")</f>
        <v>Track &amp; Retrieve: Advanced Lost Item Search System</v>
      </c>
      <c r="C219" s="14" t="str">
        <f ca="1">IFERROR(__xludf.DUMMYFUNCTION("""COMPUTED_VALUE"""),"The Lost and Found Web Application is designed to streamline the recovery of lost items using advanced technologies. The platform allows users to report lost items by providing descriptions or uploading images, which are then converted into 3D images or m"&amp;"atched with found items using AI. Finders can upload images of found items, which are matched with the database of lost items. The application also supports reporting stolen items to authorities. Privacy features ensure finders can remain anonymous, and u"&amp;"nclaimed items are donated to charity after a set period. The app will be secure, user-friendly, and scalable, ensuring efficient item recovery and reporting.
 Key Features
1. Voice-to-Text Conversion: 
2. AI-Powered 3D Image Generation:
3. Image-to-Ima"&amp;"ge Matching and discription to image matching.
4. Proof of Ownership Verification:
5. Privacy Protection for Finders:
6. Reporting to Authorities: 
7. Geolocation Tagging: 
8. Real-Time Notifications:
9. Community Alerts:
10. In-App Messaging:")</f>
        <v>The Lost and Found Web Application is designed to streamline the recovery of lost items using advanced technologies. The platform allows users to report lost items by providing descriptions or uploading images, which are then converted into 3D images or matched with found items using AI. Finders can upload images of found items, which are matched with the database of lost items. The application also supports reporting stolen items to authorities. Privacy features ensure finders can remain anonymous, and unclaimed items are donated to charity after a set period. The app will be secure, user-friendly, and scalable, ensuring efficient item recovery and reporting.
 Key Features
1. Voice-to-Text Conversion: 
2. AI-Powered 3D Image Generation:
3. Image-to-Image Matching and discription to image matching.
4. Proof of Ownership Verification:
5. Privacy Protection for Finders:
6. Reporting to Authorities: 
7. Geolocation Tagging: 
8. Real-Time Notifications:
9. Community Alerts:
10. In-App Messaging:</v>
      </c>
      <c r="D219" s="12" t="str">
        <f ca="1">IFERROR(__xludf.DUMMYFUNCTION("""COMPUTED_VALUE"""),"Mr. Shams Farooq")</f>
        <v>Mr. Shams Farooq</v>
      </c>
      <c r="E219" s="12"/>
      <c r="F219" s="12" t="str">
        <f ca="1">IFERROR(__xludf.DUMMYFUNCTION("""COMPUTED_VALUE"""),"Muhammad shahnawaz")</f>
        <v>Muhammad shahnawaz</v>
      </c>
      <c r="G219" s="12" t="str">
        <f ca="1">IFERROR(__xludf.DUMMYFUNCTION("""COMPUTED_VALUE"""),"i210895")</f>
        <v>i210895</v>
      </c>
      <c r="H219" s="12" t="str">
        <f ca="1">IFERROR(__xludf.DUMMYFUNCTION("""COMPUTED_VALUE"""),"Minhaj khalil ")</f>
        <v xml:space="preserve">Minhaj khalil </v>
      </c>
      <c r="I219" s="12" t="str">
        <f ca="1">IFERROR(__xludf.DUMMYFUNCTION("""COMPUTED_VALUE"""),"i210827")</f>
        <v>i210827</v>
      </c>
      <c r="J219" s="12" t="str">
        <f ca="1">IFERROR(__xludf.DUMMYFUNCTION("""COMPUTED_VALUE"""),"Muhammad Aetzaz Ashraf")</f>
        <v>Muhammad Aetzaz Ashraf</v>
      </c>
      <c r="K219" s="12" t="str">
        <f ca="1">IFERROR(__xludf.DUMMYFUNCTION("""COMPUTED_VALUE"""),"i200964")</f>
        <v>i200964</v>
      </c>
    </row>
    <row r="220" spans="1:11" ht="293.25">
      <c r="A220" s="12" t="str">
        <f ca="1">IFERROR(__xludf.DUMMYFUNCTION("""COMPUTED_VALUE"""),"F24-220-R-Nazar")</f>
        <v>F24-220-R-Nazar</v>
      </c>
      <c r="B220" s="13" t="str">
        <f ca="1">IFERROR(__xludf.DUMMYFUNCTION("""COMPUTED_VALUE"""),"Nazar: AI based Smartphone Cataract screening Application")</f>
        <v>Nazar: AI based Smartphone Cataract screening Application</v>
      </c>
      <c r="C220" s="14" t="str">
        <f ca="1">IFERROR(__xludf.DUMMYFUNCTION("""COMPUTED_VALUE"""),"This project aims to develop a cost-effective, accessible, and accurate cataract screening application that can be used on smartphones to address the high prevalence of cataract-induced blindness in Pakistan, particularly in rural areas. The application w"&amp;"ill allow for self-screening or assisted screening using smartphone cameras. The project will focus on implementing advanced image processing techniques and machine learning algorithms to detect cataracts at various stages with high accuracy, thereby redu"&amp;"cing the need for expensive and time-consuming visits to ophthalmologists. The goal is to create a user-friendly and reliable tool that can be deployed widely, especially in underserved regions.
1. The application will be compatible with both iOS and And"&amp;"roid devices.
2. Simple and intuitive UI/UX design to facilitate easy use by non-experts.
3. Utilizes SVM-based AI models to detect cataracts with over 95% accuracy.
4. Capable of functioning effectively under varying lighting and environmental conditions"&amp;" with minimal impact on accuracy.
5. The method works accurately at a distance of 10 to 50 cm from the eye.
6. Built-in image filtering, cropping, and segmentation to enhance detection accuracy.
7. Converts images to luminance values for precise classific"&amp;"ation of cataract presence and type.
8. Identifies the stage of the cataract (mature, immature, etc.) for better treatment planning.
9. Allows the application to function without an internet connection, making it ideal for remote areas.
10. Significantly "&amp;"reduces the cost of cataract screening by eliminating the need for specialized equipment and multiple clinical visits.")</f>
        <v>This project aims to develop a cost-effective, accessible, and accurate cataract screening application that can be used on smartphones to address the high prevalence of cataract-induced blindness in Pakistan, particularly in rural areas. The application will allow for self-screening or assisted screening using smartphone cameras. The project will focus on implementing advanced image processing techniques and machine learning algorithms to detect cataracts at various stages with high accuracy, thereby reducing the need for expensive and time-consuming visits to ophthalmologists. The goal is to create a user-friendly and reliable tool that can be deployed widely, especially in underserved regions.
1. The application will be compatible with both iOS and Android devices.
2. Simple and intuitive UI/UX design to facilitate easy use by non-experts.
3. Utilizes SVM-based AI models to detect cataracts with over 95% accuracy.
4. Capable of functioning effectively under varying lighting and environmental conditions with minimal impact on accuracy.
5. The method works accurately at a distance of 10 to 50 cm from the eye.
6. Built-in image filtering, cropping, and segmentation to enhance detection accuracy.
7. Converts images to luminance values for precise classification of cataract presence and type.
8. Identifies the stage of the cataract (mature, immature, etc.) for better treatment planning.
9. Allows the application to function without an internet connection, making it ideal for remote areas.
10. Significantly reduces the cost of cataract screening by eliminating the need for specialized equipment and multiple clinical visits.</v>
      </c>
      <c r="D220" s="12" t="str">
        <f ca="1">IFERROR(__xludf.DUMMYFUNCTION("""COMPUTED_VALUE"""),"Dr. Isma ul Hassan")</f>
        <v>Dr. Isma ul Hassan</v>
      </c>
      <c r="E220" s="12"/>
      <c r="F220" s="12" t="str">
        <f ca="1">IFERROR(__xludf.DUMMYFUNCTION("""COMPUTED_VALUE"""),"Taha Ahmed Pirzada ")</f>
        <v xml:space="preserve">Taha Ahmed Pirzada </v>
      </c>
      <c r="G220" s="12" t="str">
        <f ca="1">IFERROR(__xludf.DUMMYFUNCTION("""COMPUTED_VALUE"""),"i210570")</f>
        <v>i210570</v>
      </c>
      <c r="H220" s="12" t="str">
        <f ca="1">IFERROR(__xludf.DUMMYFUNCTION("""COMPUTED_VALUE"""),"Tauheed Akbar")</f>
        <v>Tauheed Akbar</v>
      </c>
      <c r="I220" s="12" t="str">
        <f ca="1">IFERROR(__xludf.DUMMYFUNCTION("""COMPUTED_VALUE"""),"i210723")</f>
        <v>i210723</v>
      </c>
      <c r="J220" s="12" t="str">
        <f ca="1">IFERROR(__xludf.DUMMYFUNCTION("""COMPUTED_VALUE"""),"Nouman Ahmad")</f>
        <v>Nouman Ahmad</v>
      </c>
      <c r="K220" s="12" t="str">
        <f ca="1">IFERROR(__xludf.DUMMYFUNCTION("""COMPUTED_VALUE"""),"i210727")</f>
        <v>i210727</v>
      </c>
    </row>
    <row r="221" spans="1:11" ht="229.5">
      <c r="A221" s="12" t="str">
        <f ca="1">IFERROR(__xludf.DUMMYFUNCTION("""COMPUTED_VALUE"""),"F24-221-D-DashGrab")</f>
        <v>F24-221-D-DashGrab</v>
      </c>
      <c r="B221" s="13" t="str">
        <f ca="1">IFERROR(__xludf.DUMMYFUNCTION("""COMPUTED_VALUE"""),"DashGrab - shop swiftly ")</f>
        <v xml:space="preserve">DashGrab - shop swiftly </v>
      </c>
      <c r="C221" s="14" t="str">
        <f ca="1">IFERROR(__xludf.DUMMYFUNCTION("""COMPUTED_VALUE"""),"DashGrab is an AI-powered cashier-less clothing retail store which offer a seamless and secure shopping experience tailored for fashion enthusiasts. Utilizing advanced computer vision, machine learning, and IoT technologies, DashGrab automates the entire "&amp;"shopping process where you just enter the store scanning your account, pick up stuff and just go. Also incorporating enhanced security measures.
Features:
1. AI-Powered Item Detection: Uses advanced cameras to automatically detect items picked up by custo"&amp;"mers.
2. Seamless Checkout: Customers simply walk out after shopping, with automatic billing through their linked accounts.
3. Real-Time Cart Updates: The app tracks what customers pick up or put back in real-time.
4. Insufficient Balance Alerts: Security"&amp;" notified if a customer with insufficient balance attempts to leave.
5. Pre-Authorization of Payment: Ensures customers have sufficient funds before they begin shopping.
6. Camera Blindspot Notification: Security is alerted if camera coverage is insuffici"&amp;"ent.
7. Minimizing employees: reducing the number of employees needed to run the store.
8. Minimizing shopping time : no more waiting in lines for check-out and payment. ")</f>
        <v xml:space="preserve">DashGrab is an AI-powered cashier-less clothing retail store which offer a seamless and secure shopping experience tailored for fashion enthusiasts. Utilizing advanced computer vision, machine learning, and IoT technologies, DashGrab automates the entire shopping process where you just enter the store scanning your account, pick up stuff and just go. Also incorporating enhanced security measures.
Features:
1. AI-Powered Item Detection: Uses advanced cameras to automatically detect items picked up by customers.
2. Seamless Checkout: Customers simply walk out after shopping, with automatic billing through their linked accounts.
3. Real-Time Cart Updates: The app tracks what customers pick up or put back in real-time.
4. Insufficient Balance Alerts: Security notified if a customer with insufficient balance attempts to leave.
5. Pre-Authorization of Payment: Ensures customers have sufficient funds before they begin shopping.
6. Camera Blindspot Notification: Security is alerted if camera coverage is insufficient.
7. Minimizing employees: reducing the number of employees needed to run the store.
8. Minimizing shopping time : no more waiting in lines for check-out and payment. </v>
      </c>
      <c r="D221" s="12" t="str">
        <f ca="1">IFERROR(__xludf.DUMMYFUNCTION("""COMPUTED_VALUE"""),"Mr. Ahmad Raza")</f>
        <v>Mr. Ahmad Raza</v>
      </c>
      <c r="E221" s="12"/>
      <c r="F221" s="12" t="str">
        <f ca="1">IFERROR(__xludf.DUMMYFUNCTION("""COMPUTED_VALUE"""),"Ammar Saleem ")</f>
        <v xml:space="preserve">Ammar Saleem </v>
      </c>
      <c r="G221" s="12" t="str">
        <f ca="1">IFERROR(__xludf.DUMMYFUNCTION("""COMPUTED_VALUE"""),"i210327")</f>
        <v>i210327</v>
      </c>
      <c r="H221" s="12" t="str">
        <f ca="1">IFERROR(__xludf.DUMMYFUNCTION("""COMPUTED_VALUE"""),"Noor ul Hudda")</f>
        <v>Noor ul Hudda</v>
      </c>
      <c r="I221" s="12" t="str">
        <f ca="1">IFERROR(__xludf.DUMMYFUNCTION("""COMPUTED_VALUE"""),"i200823")</f>
        <v>i200823</v>
      </c>
      <c r="J221" s="12" t="str">
        <f ca="1">IFERROR(__xludf.DUMMYFUNCTION("""COMPUTED_VALUE"""),"Mudassar Manzoor ")</f>
        <v xml:space="preserve">Mudassar Manzoor </v>
      </c>
      <c r="K221" s="12" t="str">
        <f ca="1">IFERROR(__xludf.DUMMYFUNCTION("""COMPUTED_VALUE"""),"i210325")</f>
        <v>i210325</v>
      </c>
    </row>
    <row r="222" spans="1:11" ht="280.5">
      <c r="A222" s="12" t="str">
        <f ca="1">IFERROR(__xludf.DUMMYFUNCTION("""COMPUTED_VALUE"""),"F24-222-D-3D AutoMod")</f>
        <v>F24-222-D-3D AutoMod</v>
      </c>
      <c r="B222" s="13" t="str">
        <f ca="1">IFERROR(__xludf.DUMMYFUNCTION("""COMPUTED_VALUE"""),"3D AutoMod: Real-Time Car Customization &amp; Mechanic Bidding Hub")</f>
        <v>3D AutoMod: Real-Time Car Customization &amp; Mechanic Bidding Hub</v>
      </c>
      <c r="C222" s="14" t="str">
        <f ca="1">IFERROR(__xludf.DUMMYFUNCTION("""COMPUTED_VALUE"""),"The 3D AutoMod platform aims to simplify car customization by providing users with a seamless interface for visualizing real-time modifications on 3D car models. The system enables users to upload images of their cars, which are then converted into 3D mod"&amp;"els. Through an intuitive interface, users can modify various aspects of their cars, such as rims, mirrors, and paint, etc. These changes are instantly reflected on the 3D model in real time. The platform also connects users with a network of mechanics, w"&amp;"ho can provide quotes based on the selected modifications. The platform fosters communication between users and mechanics, allowing them to negotiate and finalize deals efficiently. This project focuses on real-time 3D rendering, user interaction, and an "&amp;"integrated marketplace for custom auto modifications.
Key Features:
1. Conversion of uploaded car images into 3D models.
2. Real-time 3D visualization of car modifications.
3. Intuitive UI for customizing car features like rims, mirrors, and paint, etc.
"&amp;"4. Integrated mechanic bidding system for custom modifications.
5. Detailed modification specs sent to mechanics for tailored offers.
6. Easy-to-use filters for sorting mechanic offers by price, rating, and location.
7. Chat functionality for direct commu"&amp;"nication between users and mechanics.
8. Option to finalize deals and manage transactions through the platform.
9. Secure user accounts with modification history and preferences.
10. Notifications and alerts for new offers and mechanic responses.")</f>
        <v>The 3D AutoMod platform aims to simplify car customization by providing users with a seamless interface for visualizing real-time modifications on 3D car models. The system enables users to upload images of their cars, which are then converted into 3D models. Through an intuitive interface, users can modify various aspects of their cars, such as rims, mirrors, and paint, etc. These changes are instantly reflected on the 3D model in real time. The platform also connects users with a network of mechanics, who can provide quotes based on the selected modifications. The platform fosters communication between users and mechanics, allowing them to negotiate and finalize deals efficiently. This project focuses on real-time 3D rendering, user interaction, and an integrated marketplace for custom auto modifications.
Key Features:
1. Conversion of uploaded car images into 3D models.
2. Real-time 3D visualization of car modifications.
3. Intuitive UI for customizing car features like rims, mirrors, and paint, etc.
4. Integrated mechanic bidding system for custom modifications.
5. Detailed modification specs sent to mechanics for tailored offers.
6. Easy-to-use filters for sorting mechanic offers by price, rating, and location.
7. Chat functionality for direct communication between users and mechanics.
8. Option to finalize deals and manage transactions through the platform.
9. Secure user accounts with modification history and preferences.
10. Notifications and alerts for new offers and mechanic responses.</v>
      </c>
      <c r="D222" s="12" t="str">
        <f ca="1">IFERROR(__xludf.DUMMYFUNCTION("""COMPUTED_VALUE"""),"Mr. Irfan Ullah")</f>
        <v>Mr. Irfan Ullah</v>
      </c>
      <c r="E222" s="12"/>
      <c r="F222" s="12" t="str">
        <f ca="1">IFERROR(__xludf.DUMMYFUNCTION("""COMPUTED_VALUE"""),"Sakheen Mumtaz ")</f>
        <v xml:space="preserve">Sakheen Mumtaz </v>
      </c>
      <c r="G222" s="12" t="str">
        <f ca="1">IFERROR(__xludf.DUMMYFUNCTION("""COMPUTED_VALUE"""),"i210275")</f>
        <v>i210275</v>
      </c>
      <c r="H222" s="12" t="str">
        <f ca="1">IFERROR(__xludf.DUMMYFUNCTION("""COMPUTED_VALUE"""),"Ahmad Mujahid ")</f>
        <v xml:space="preserve">Ahmad Mujahid </v>
      </c>
      <c r="I222" s="12" t="str">
        <f ca="1">IFERROR(__xludf.DUMMYFUNCTION("""COMPUTED_VALUE"""),"i200849")</f>
        <v>i200849</v>
      </c>
      <c r="J222" s="12" t="str">
        <f ca="1">IFERROR(__xludf.DUMMYFUNCTION("""COMPUTED_VALUE"""),"Muhammad Nabeel Zaheer ")</f>
        <v xml:space="preserve">Muhammad Nabeel Zaheer </v>
      </c>
      <c r="K222" s="12" t="str">
        <f ca="1">IFERROR(__xludf.DUMMYFUNCTION("""COMPUTED_VALUE"""),"i200999")</f>
        <v>i200999</v>
      </c>
    </row>
    <row r="223" spans="1:11" ht="204">
      <c r="A223" s="12" t="str">
        <f ca="1">IFERROR(__xludf.DUMMYFUNCTION("""COMPUTED_VALUE"""),"F24-223-D-FloodVis")</f>
        <v>F24-223-D-FloodVis</v>
      </c>
      <c r="B223" s="13" t="str">
        <f ca="1">IFERROR(__xludf.DUMMYFUNCTION("""COMPUTED_VALUE"""),"Deep Learning In UAV For Flood Monitoring, Inundation Mapping And Loss Assessment ")</f>
        <v xml:space="preserve">Deep Learning In UAV For Flood Monitoring, Inundation Mapping And Loss Assessment </v>
      </c>
      <c r="C223" s="14" t="str">
        <f ca="1">IFERROR(__xludf.DUMMYFUNCTION("""COMPUTED_VALUE"""),"Scope:
This project aims to develop a deep learning-based system using Unmanned Aerial Vehicles (UAVs) as an alternative to satellite remote-sensing for flood monitoring and disaster response. The focus is on automated detection of flooded areas and ident"&amp;"ification of affected people. By integrating UAV technology with advanced deep learning models, the project seeks to provide a more accurate and timely solution for flood detection and emergency response, ultimately enhancing disaster management efforts a"&amp;"nd saving lives.
List of Features:
1. Detection of floods.
2. Monitoring flood progression.
3. Evaluates damages caused by floods.
4. Capability to map flooded areas.
5. Detection of flood survivors.
6. Generate a report summarizing flood extent, damages"&amp;", and potential risks for decision-makers.")</f>
        <v>Scope:
This project aims to develop a deep learning-based system using Unmanned Aerial Vehicles (UAVs) as an alternative to satellite remote-sensing for flood monitoring and disaster response. The focus is on automated detection of flooded areas and identification of affected people. By integrating UAV technology with advanced deep learning models, the project seeks to provide a more accurate and timely solution for flood detection and emergency response, ultimately enhancing disaster management efforts and saving lives.
List of Features:
1. Detection of floods.
2. Monitoring flood progression.
3. Evaluates damages caused by floods.
4. Capability to map flooded areas.
5. Detection of flood survivors.
6. Generate a report summarizing flood extent, damages, and potential risks for decision-makers.</v>
      </c>
      <c r="D223" s="12" t="str">
        <f ca="1">IFERROR(__xludf.DUMMYFUNCTION("""COMPUTED_VALUE"""),"Dr. Javaria Imtiaz")</f>
        <v>Dr. Javaria Imtiaz</v>
      </c>
      <c r="E223" s="12" t="str">
        <f ca="1">IFERROR(__xludf.DUMMYFUNCTION("""COMPUTED_VALUE"""),"Ms. Noor ul Ain")</f>
        <v>Ms. Noor ul Ain</v>
      </c>
      <c r="F223" s="12" t="str">
        <f ca="1">IFERROR(__xludf.DUMMYFUNCTION("""COMPUTED_VALUE"""),"Amna Usman")</f>
        <v>Amna Usman</v>
      </c>
      <c r="G223" s="12" t="str">
        <f ca="1">IFERROR(__xludf.DUMMYFUNCTION("""COMPUTED_VALUE"""),"i212555")</f>
        <v>i212555</v>
      </c>
      <c r="H223" s="12" t="str">
        <f ca="1">IFERROR(__xludf.DUMMYFUNCTION("""COMPUTED_VALUE"""),"Hamza Adnan")</f>
        <v>Hamza Adnan</v>
      </c>
      <c r="I223" s="12" t="str">
        <f ca="1">IFERROR(__xludf.DUMMYFUNCTION("""COMPUTED_VALUE"""),"i210495")</f>
        <v>i210495</v>
      </c>
      <c r="J223" s="12" t="str">
        <f ca="1">IFERROR(__xludf.DUMMYFUNCTION("""COMPUTED_VALUE"""),"Fatima Athar Khan")</f>
        <v>Fatima Athar Khan</v>
      </c>
      <c r="K223" s="12" t="str">
        <f ca="1">IFERROR(__xludf.DUMMYFUNCTION("""COMPUTED_VALUE"""),"i210385")</f>
        <v>i210385</v>
      </c>
    </row>
    <row r="224" spans="1:11" ht="255">
      <c r="A224" s="12" t="str">
        <f ca="1">IFERROR(__xludf.DUMMYFUNCTION("""COMPUTED_VALUE"""),"F24-224-D-IlmMate")</f>
        <v>F24-224-D-IlmMate</v>
      </c>
      <c r="B224" s="13" t="str">
        <f ca="1">IFERROR(__xludf.DUMMYFUNCTION("""COMPUTED_VALUE"""),"ILLMATE: Illuminating the future through an AI powered learning experience for all Customization")</f>
        <v>ILLMATE: Illuminating the future through an AI powered learning experience for all Customization</v>
      </c>
      <c r="C224" s="14" t="str">
        <f ca="1">IFERROR(__xludf.DUMMYFUNCTION("""COMPUTED_VALUE"""),"Ilmate is an innovative platform independent educational chatbot designed specifically for Pakistani students. The app leverages AI to provide personalized learning experiences, offering detailed explanations of curriculum topics, customized practice ques"&amp;"tions, and progress reports.
Features of Ilmate:
- Advanced RAG Pipeline that utilizes textbook data from Pakistani curriculum textbooks for students of grades 9
- Providing scraped resources in the form of video links and textual summaries on specific to"&amp;"pics within the curriculum of the student
- Providing detailed and specific explanations from textbooks to queries students may have.
- Entertaining voice and text queries
- Providing AI generated questions for each topic and customized for each students'"&amp;" unique way of learning.
- Generating AI reports on students' learning progress to their parents, teachers and themselves.
- Helping students achieve Learning objectives by identifying through assessments where they were lacking and providing more resourc"&amp;"es to better understand those Learning objectives.
-Facilitates easy access and communication by integrating with WhatsApp, allowing students to receive resources, and support directly on the platform.")</f>
        <v>Ilmate is an innovative platform independent educational chatbot designed specifically for Pakistani students. The app leverages AI to provide personalized learning experiences, offering detailed explanations of curriculum topics, customized practice questions, and progress reports.
Features of Ilmate:
- Advanced RAG Pipeline that utilizes textbook data from Pakistani curriculum textbooks for students of grades 9
- Providing scraped resources in the form of video links and textual summaries on specific topics within the curriculum of the student
- Providing detailed and specific explanations from textbooks to queries students may have.
- Entertaining voice and text queries
- Providing AI generated questions for each topic and customized for each students' unique way of learning.
- Generating AI reports on students' learning progress to their parents, teachers and themselves.
- Helping students achieve Learning objectives by identifying through assessments where they were lacking and providing more resources to better understand those Learning objectives.
-Facilitates easy access and communication by integrating with WhatsApp, allowing students to receive resources, and support directly on the platform.</v>
      </c>
      <c r="D224" s="12" t="str">
        <f ca="1">IFERROR(__xludf.DUMMYFUNCTION("""COMPUTED_VALUE"""),"Mr. Adil Majeed")</f>
        <v>Mr. Adil Majeed</v>
      </c>
      <c r="E224" s="12"/>
      <c r="F224" s="12" t="str">
        <f ca="1">IFERROR(__xludf.DUMMYFUNCTION("""COMPUTED_VALUE"""),"Isaam Ansari")</f>
        <v>Isaam Ansari</v>
      </c>
      <c r="G224" s="12" t="str">
        <f ca="1">IFERROR(__xludf.DUMMYFUNCTION("""COMPUTED_VALUE"""),"i210299")</f>
        <v>i210299</v>
      </c>
      <c r="H224" s="12" t="str">
        <f ca="1">IFERROR(__xludf.DUMMYFUNCTION("""COMPUTED_VALUE"""),"Syed Muhammad Oaun")</f>
        <v>Syed Muhammad Oaun</v>
      </c>
      <c r="I224" s="12" t="str">
        <f ca="1">IFERROR(__xludf.DUMMYFUNCTION("""COMPUTED_VALUE"""),"i212702")</f>
        <v>i212702</v>
      </c>
      <c r="J224" s="12" t="str">
        <f ca="1">IFERROR(__xludf.DUMMYFUNCTION("""COMPUTED_VALUE"""),"Shehroz Ali")</f>
        <v>Shehroz Ali</v>
      </c>
      <c r="K224" s="12" t="str">
        <f ca="1">IFERROR(__xludf.DUMMYFUNCTION("""COMPUTED_VALUE"""),"i210252")</f>
        <v>i210252</v>
      </c>
    </row>
    <row r="225" spans="1:11" ht="76.5">
      <c r="A225" s="12" t="str">
        <f ca="1">IFERROR(__xludf.DUMMYFUNCTION("""COMPUTED_VALUE"""),"F24-225-D-Watch")</f>
        <v>F24-225-D-Watch</v>
      </c>
      <c r="B225" s="13" t="str">
        <f ca="1">IFERROR(__xludf.DUMMYFUNCTION("""COMPUTED_VALUE"""),"Real-Time Worker Safety and Productivity Monitoring System")</f>
        <v>Real-Time Worker Safety and Productivity Monitoring System</v>
      </c>
      <c r="C225" s="14" t="str">
        <f ca="1">IFERROR(__xludf.DUMMYFUNCTION("""COMPUTED_VALUE"""),"Real-Time Worker Safety and Productivity Monitoring System Description: Develop a multi-agent, real-time object detection system designed for factories or workplaces. The system utilizes multiple cameras to monitor worker productivity, ensure compliance w"&amp;"ith safety regulations (like wearing helmets, goggles, caps), and track movements within the facility. The collaborative nature of the system allows for multiple cameras to work together, sharing data to enhance detection accuracy and provide a comprehens"&amp;"ive view of the workplace.")</f>
        <v>Real-Time Worker Safety and Productivity Monitoring System Description: Develop a multi-agent, real-time object detection system designed for factories or workplaces. The system utilizes multiple cameras to monitor worker productivity, ensure compliance with safety regulations (like wearing helmets, goggles, caps), and track movements within the facility. The collaborative nature of the system allows for multiple cameras to work together, sharing data to enhance detection accuracy and provide a comprehensive view of the workplace.</v>
      </c>
      <c r="D225" s="12" t="str">
        <f ca="1">IFERROR(__xludf.DUMMYFUNCTION("""COMPUTED_VALUE"""),"Ms. Sidra Khalid")</f>
        <v>Ms. Sidra Khalid</v>
      </c>
      <c r="E225" s="12" t="str">
        <f ca="1">IFERROR(__xludf.DUMMYFUNCTION("""COMPUTED_VALUE"""),"Mr. M. Aadil Ur Rehman")</f>
        <v>Mr. M. Aadil Ur Rehman</v>
      </c>
      <c r="F225" s="12" t="str">
        <f ca="1">IFERROR(__xludf.DUMMYFUNCTION("""COMPUTED_VALUE"""),"Saman Ali Ahmed")</f>
        <v>Saman Ali Ahmed</v>
      </c>
      <c r="G225" s="12" t="str">
        <f ca="1">IFERROR(__xludf.DUMMYFUNCTION("""COMPUTED_VALUE"""),"i212499")</f>
        <v>i212499</v>
      </c>
      <c r="H225" s="12" t="str">
        <f ca="1">IFERROR(__xludf.DUMMYFUNCTION("""COMPUTED_VALUE"""),"Syed Mohammad Ali Ammar")</f>
        <v>Syed Mohammad Ali Ammar</v>
      </c>
      <c r="I225" s="12" t="str">
        <f ca="1">IFERROR(__xludf.DUMMYFUNCTION("""COMPUTED_VALUE"""),"i210598")</f>
        <v>i210598</v>
      </c>
      <c r="J225" s="12" t="str">
        <f ca="1">IFERROR(__xludf.DUMMYFUNCTION("""COMPUTED_VALUE"""),"Ali Shayan")</f>
        <v>Ali Shayan</v>
      </c>
      <c r="K225" s="12" t="str">
        <f ca="1">IFERROR(__xludf.DUMMYFUNCTION("""COMPUTED_VALUE"""),"i210589")</f>
        <v>i210589</v>
      </c>
    </row>
    <row r="226" spans="1:11" ht="191.25">
      <c r="A226" s="12" t="str">
        <f ca="1">IFERROR(__xludf.DUMMYFUNCTION("""COMPUTED_VALUE"""),"F24-226-D-ProdigyPal")</f>
        <v>F24-226-D-ProdigyPal</v>
      </c>
      <c r="B226" s="13" t="str">
        <f ca="1">IFERROR(__xludf.DUMMYFUNCTION("""COMPUTED_VALUE"""),"Personalized Interactive Online Learning Platform")</f>
        <v>Personalized Interactive Online Learning Platform</v>
      </c>
      <c r="C226" s="14" t="str">
        <f ca="1">IFERROR(__xludf.DUMMYFUNCTION("""COMPUTED_VALUE"""),"Our project aims to create a dynamic, adaptive, and interactive online learning platform tailored for young students, providing tools and resources to enhance both teaching and learning experiences. The platform will dynamically generate interactive works"&amp;"heets based on prompts provided by teachers through a chatbot interface. Teachers can input specific topics, difficulty levels, and types of exercises they need, it will also offer gamified elements such as points and leaderboards to maintain engagement. "&amp;"It will feature a chatbot assistant for teachers to help create resources, worksheets, and questions, as well as a student assistant chatbot that provides AI-based hints and resources tailored to each student's needs. The platform will dynamically create "&amp;"worksheets and questions, it will diagnose student progress and skills proficiency, and offer real-time feedback to both teachers and students. Student diagnostics will allow for a detailed analysis of progress, identifying areas where improvement is need"&amp;"ed and providing actionable insights for teachers. This comprehensive solution aims to create an engaging, personalized, and effective learning environment that adapts to each student's unique needs and supports teachers in delivering impactful educationa"&amp;"l experiences.")</f>
        <v>Our project aims to create a dynamic, adaptive, and interactive online learning platform tailored for young students, providing tools and resources to enhance both teaching and learning experiences. The platform will dynamically generate interactive worksheets based on prompts provided by teachers through a chatbot interface. Teachers can input specific topics, difficulty levels, and types of exercises they need, it will also offer gamified elements such as points and leaderboards to maintain engagement. It will feature a chatbot assistant for teachers to help create resources, worksheets, and questions, as well as a student assistant chatbot that provides AI-based hints and resources tailored to each student's needs. The platform will dynamically create worksheets and questions, it will diagnose student progress and skills proficiency, and offer real-time feedback to both teachers and students. Student diagnostics will allow for a detailed analysis of progress, identifying areas where improvement is needed and providing actionable insights for teachers. This comprehensive solution aims to create an engaging, personalized, and effective learning environment that adapts to each student's unique needs and supports teachers in delivering impactful educational experiences.</v>
      </c>
      <c r="D226" s="12" t="str">
        <f ca="1">IFERROR(__xludf.DUMMYFUNCTION("""COMPUTED_VALUE"""),"Dr. Javaria Imtiaz")</f>
        <v>Dr. Javaria Imtiaz</v>
      </c>
      <c r="E226" s="12"/>
      <c r="F226" s="12" t="str">
        <f ca="1">IFERROR(__xludf.DUMMYFUNCTION("""COMPUTED_VALUE"""),"Hisham Hasan")</f>
        <v>Hisham Hasan</v>
      </c>
      <c r="G226" s="12" t="str">
        <f ca="1">IFERROR(__xludf.DUMMYFUNCTION("""COMPUTED_VALUE"""),"i222419")</f>
        <v>i222419</v>
      </c>
      <c r="H226" s="12" t="str">
        <f ca="1">IFERROR(__xludf.DUMMYFUNCTION("""COMPUTED_VALUE"""),"Nabeel Shabbir")</f>
        <v>Nabeel Shabbir</v>
      </c>
      <c r="I226" s="12" t="str">
        <f ca="1">IFERROR(__xludf.DUMMYFUNCTION("""COMPUTED_VALUE"""),"i210443")</f>
        <v>i210443</v>
      </c>
      <c r="J226" s="12" t="str">
        <f ca="1">IFERROR(__xludf.DUMMYFUNCTION("""COMPUTED_VALUE"""),"Zain Saleem")</f>
        <v>Zain Saleem</v>
      </c>
      <c r="K226" s="12" t="str">
        <f ca="1">IFERROR(__xludf.DUMMYFUNCTION("""COMPUTED_VALUE"""),"i210389")</f>
        <v>i210389</v>
      </c>
    </row>
    <row r="227" spans="1:11" ht="153">
      <c r="A227" s="12" t="str">
        <f ca="1">IFERROR(__xludf.DUMMYFUNCTION("""COMPUTED_VALUE"""),"F24-227-D-LUCY")</f>
        <v>F24-227-D-LUCY</v>
      </c>
      <c r="B227" s="13" t="str">
        <f ca="1">IFERROR(__xludf.DUMMYFUNCTION("""COMPUTED_VALUE"""),"LUCY - AI-based banking assistant")</f>
        <v>LUCY - AI-based banking assistant</v>
      </c>
      <c r="C227" s="14" t="str">
        <f ca="1">IFERROR(__xludf.DUMMYFUNCTION("""COMPUTED_VALUE"""),"PROJECT: LUCY - AI-based banking assistant		
Objective:
Develop Lucy, an AI-powered virtual assistant for customer-service in the banking industry.
Key features:
-understands urdu and replies in urdu
-Real-time handling of queries
-Reduces bank-staf"&amp;"f workload
-Available 24/7
-no long waiting time for customers
-security verification through security questions
-understand most of dialects
-deal with background noise")</f>
        <v>PROJECT: LUCY - AI-based banking assistant		
Objective:
Develop Lucy, an AI-powered virtual assistant for customer-service in the banking industry.
Key features:
-understands urdu and replies in urdu
-Real-time handling of queries
-Reduces bank-staff workload
-Available 24/7
-no long waiting time for customers
-security verification through security questions
-understand most of dialects
-deal with background noise</v>
      </c>
      <c r="D227" s="12" t="str">
        <f ca="1">IFERROR(__xludf.DUMMYFUNCTION("""COMPUTED_VALUE"""),"Dr. Mehreen Alam")</f>
        <v>Dr. Mehreen Alam</v>
      </c>
      <c r="E227" s="12" t="str">
        <f ca="1">IFERROR(__xludf.DUMMYFUNCTION("""COMPUTED_VALUE"""),"Mr. Pir Sami Ullah Shah")</f>
        <v>Mr. Pir Sami Ullah Shah</v>
      </c>
      <c r="F227" s="12" t="str">
        <f ca="1">IFERROR(__xludf.DUMMYFUNCTION("""COMPUTED_VALUE"""),"Youneeb Musa")</f>
        <v>Youneeb Musa</v>
      </c>
      <c r="G227" s="12" t="str">
        <f ca="1">IFERROR(__xludf.DUMMYFUNCTION("""COMPUTED_VALUE"""),"l202915")</f>
        <v>l202915</v>
      </c>
      <c r="H227" s="12" t="str">
        <f ca="1">IFERROR(__xludf.DUMMYFUNCTION("""COMPUTED_VALUE"""),"Nouman Tariq")</f>
        <v>Nouman Tariq</v>
      </c>
      <c r="I227" s="12" t="str">
        <f ca="1">IFERROR(__xludf.DUMMYFUNCTION("""COMPUTED_VALUE"""),"i202495")</f>
        <v>i202495</v>
      </c>
      <c r="J227" s="12"/>
      <c r="K227" s="12"/>
    </row>
    <row r="228" spans="1:11" ht="357">
      <c r="A228" s="12" t="str">
        <f ca="1">IFERROR(__xludf.DUMMYFUNCTION("""COMPUTED_VALUE"""),"F24-228-D-Vision311")</f>
        <v>F24-228-D-Vision311</v>
      </c>
      <c r="B228" s="13" t="str">
        <f ca="1">IFERROR(__xludf.DUMMYFUNCTION("""COMPUTED_VALUE"""),"Vision311:Transforming City Services with AI-Driven Automation")</f>
        <v>Vision311:Transforming City Services with AI-Driven Automation</v>
      </c>
      <c r="C228" s="14" t="str">
        <f ca="1">IFERROR(__xludf.DUMMYFUNCTION("""COMPUTED_VALUE"""),"Project Scope:
	The 311 system is used to facilitate the residents of a city for non-emergency services. The current process relies on the resident submitting a report detailing the type of problem and other relevant details. This has led to misallocation"&amp;" of the resources causing problems for the administration and the public. Vision311 aims to implement a Computer Vision based system that will allow the resident to simply snap a picture and the system will infer the problem and generate a report automati"&amp;"cally.
	It will consist of a mobile app where the resident can register, launch a complaint via the Vision311 system and track his complaints status. The system will also contain an analytics portal for the administration where they can monitor and analyz"&amp;"e all the service requests to make informed, data driven decisions.
The features of our Project are listed below.
1.	The mobile app will facilitate the user to login and launch complaints.
2.	The app will employ state of the art computer vision algorithm"&amp;"s to predict correct problem from the submitted image.
3.	The app will automatically generate a report based on the identified problem.
4.	The app will provide efficient tracking for open service requests.
5.	This app will provide real-time service predic"&amp;"tion improving response time by the city departments.
6.	The analytics dashboard for the authorities will help analyze all the service requests and effectively monitor the parameters of interest for the officials.
7.	It will provide a way for the users to"&amp;" submit their feedback to help improve the city services.
8.	The software project will be scalable and will be able to handle large volume of requests ensuring scalability.
9.	The Computer Vision model will ensure correct problem inference to minimize the"&amp;" misallocation of resources.
")</f>
        <v xml:space="preserve">Project Scope:
	The 311 system is used to facilitate the residents of a city for non-emergency services. The current process relies on the resident submitting a report detailing the type of problem and other relevant details. This has led to misallocation of the resources causing problems for the administration and the public. Vision311 aims to implement a Computer Vision based system that will allow the resident to simply snap a picture and the system will infer the problem and generate a report automatically.
	It will consist of a mobile app where the resident can register, launch a complaint via the Vision311 system and track his complaints status. The system will also contain an analytics portal for the administration where they can monitor and analyze all the service requests to make informed, data driven decisions.
The features of our Project are listed below.
1.	The mobile app will facilitate the user to login and launch complaints.
2.	The app will employ state of the art computer vision algorithms to predict correct problem from the submitted image.
3.	The app will automatically generate a report based on the identified problem.
4.	The app will provide efficient tracking for open service requests.
5.	This app will provide real-time service prediction improving response time by the city departments.
6.	The analytics dashboard for the authorities will help analyze all the service requests and effectively monitor the parameters of interest for the officials.
7.	It will provide a way for the users to submit their feedback to help improve the city services.
8.	The software project will be scalable and will be able to handle large volume of requests ensuring scalability.
9.	The Computer Vision model will ensure correct problem inference to minimize the misallocation of resources.
</v>
      </c>
      <c r="D228" s="12" t="str">
        <f ca="1">IFERROR(__xludf.DUMMYFUNCTION("""COMPUTED_VALUE"""),"Ms. Urooj Ghani")</f>
        <v>Ms. Urooj Ghani</v>
      </c>
      <c r="E228" s="12" t="str">
        <f ca="1">IFERROR(__xludf.DUMMYFUNCTION("""COMPUTED_VALUE"""),"Ms. Khadija Mahmood")</f>
        <v>Ms. Khadija Mahmood</v>
      </c>
      <c r="F228" s="12" t="str">
        <f ca="1">IFERROR(__xludf.DUMMYFUNCTION("""COMPUTED_VALUE"""),"Huzaifa Saleem Awan ")</f>
        <v xml:space="preserve">Huzaifa Saleem Awan </v>
      </c>
      <c r="G228" s="12" t="str">
        <f ca="1">IFERROR(__xludf.DUMMYFUNCTION("""COMPUTED_VALUE"""),"i200608")</f>
        <v>i200608</v>
      </c>
      <c r="H228" s="12" t="str">
        <f ca="1">IFERROR(__xludf.DUMMYFUNCTION("""COMPUTED_VALUE"""),"Bilal Ahmed")</f>
        <v>Bilal Ahmed</v>
      </c>
      <c r="I228" s="12" t="str">
        <f ca="1">IFERROR(__xludf.DUMMYFUNCTION("""COMPUTED_VALUE"""),"i200730")</f>
        <v>i200730</v>
      </c>
      <c r="J228" s="12" t="str">
        <f ca="1">IFERROR(__xludf.DUMMYFUNCTION("""COMPUTED_VALUE"""),"Hamza Rashid")</f>
        <v>Hamza Rashid</v>
      </c>
      <c r="K228" s="12" t="str">
        <f ca="1">IFERROR(__xludf.DUMMYFUNCTION("""COMPUTED_VALUE"""),"i200622")</f>
        <v>i200622</v>
      </c>
    </row>
    <row r="229" spans="1:11" ht="204">
      <c r="A229" s="12" t="str">
        <f ca="1">IFERROR(__xludf.DUMMYFUNCTION("""COMPUTED_VALUE"""),"F24-229-D-AutoWise")</f>
        <v>F24-229-D-AutoWise</v>
      </c>
      <c r="B229" s="13" t="str">
        <f ca="1">IFERROR(__xludf.DUMMYFUNCTION("""COMPUTED_VALUE"""),"AutoWise")</f>
        <v>AutoWise</v>
      </c>
      <c r="C229" s="14" t="str">
        <f ca="1">IFERROR(__xludf.DUMMYFUNCTION("""COMPUTED_VALUE"""),"An AI-powered solution designed to assist car owners in managing vehicle maintenance and monitoring fuel efficiency &amp; consumption. The app will intergrate machine learning and data analytics to provide personalized maintenance reminders, diagnose potentia"&amp;"l issues, offer insights on fuel consumption and provide optimized routes to user in order to avoid traffic congestions to help user optimize their driving pattern for better fuel efficiency.
Key Features
*Optimized Routes for drivers
*Predictive Diagnos"&amp;"is 
*Fuel Efficiency Monitoring 
*AI-Based Reminders
*Cost Tracking and Optimization 
*Integration with smart devices
*Driving Behavior Analysis 
*Sharing information with people on same route through messages 
*User-friendly Dashboard 
")</f>
        <v xml:space="preserve">An AI-powered solution designed to assist car owners in managing vehicle maintenance and monitoring fuel efficiency &amp; consumption. The app will intergrate machine learning and data analytics to provide personalized maintenance reminders, diagnose potential issues, offer insights on fuel consumption and provide optimized routes to user in order to avoid traffic congestions to help user optimize their driving pattern for better fuel efficiency.
Key Features
*Optimized Routes for drivers
*Predictive Diagnosis 
*Fuel Efficiency Monitoring 
*AI-Based Reminders
*Cost Tracking and Optimization 
*Integration with smart devices
*Driving Behavior Analysis 
*Sharing information with people on same route through messages 
*User-friendly Dashboard 
</v>
      </c>
      <c r="D229" s="12" t="str">
        <f ca="1">IFERROR(__xludf.DUMMYFUNCTION("""COMPUTED_VALUE"""),"Mr. Irfan Ullah")</f>
        <v>Mr. Irfan Ullah</v>
      </c>
      <c r="E229" s="12"/>
      <c r="F229" s="12" t="str">
        <f ca="1">IFERROR(__xludf.DUMMYFUNCTION("""COMPUTED_VALUE"""),"Muhammad Dawood Minhas ")</f>
        <v xml:space="preserve">Muhammad Dawood Minhas </v>
      </c>
      <c r="G229" s="12" t="str">
        <f ca="1">IFERROR(__xludf.DUMMYFUNCTION("""COMPUTED_VALUE"""),"i170362")</f>
        <v>i170362</v>
      </c>
      <c r="H229" s="12" t="str">
        <f ca="1">IFERROR(__xludf.DUMMYFUNCTION("""COMPUTED_VALUE"""),"Muhammad Hannan Nadeem")</f>
        <v>Muhammad Hannan Nadeem</v>
      </c>
      <c r="I229" s="12" t="str">
        <f ca="1">IFERROR(__xludf.DUMMYFUNCTION("""COMPUTED_VALUE"""),"i200743")</f>
        <v>i200743</v>
      </c>
      <c r="J229" s="12"/>
      <c r="K229" s="12"/>
    </row>
    <row r="230" spans="1:11" ht="293.25">
      <c r="A230" s="12" t="str">
        <f ca="1">IFERROR(__xludf.DUMMYFUNCTION("""COMPUTED_VALUE"""),"F24-230-D-Q-Sec")</f>
        <v>F24-230-D-Q-Sec</v>
      </c>
      <c r="B230" s="13" t="str">
        <f ca="1">IFERROR(__xludf.DUMMYFUNCTION("""COMPUTED_VALUE"""),"Quantum Secure Chat: Leveraging Quantum Key Distribution with AES")</f>
        <v>Quantum Secure Chat: Leveraging Quantum Key Distribution with AES</v>
      </c>
      <c r="C230" s="14" t="str">
        <f ca="1">IFERROR(__xludf.DUMMYFUNCTION("""COMPUTED_VALUE"""),"The scope of this project is to develop a web-based chat application that integrates quantum cryptography to secure communications. The project will employ the BB84 protocol for quantum key distribution combined with AES encryption to safeguard messages a"&amp;"gainst both classical and post quantum threats. This dual approach ensures that the encryption keys are exchanged in an unconditionally secure manner, while the robustness of AES secures the transmission against contemporary attacks.
Key Features:
1.	Qua"&amp;"ntum Key Distribution Module: Implements the BB84 protocol to generate and distribute encryption keys securely between parties.
2.	Encryption Module: Utilizes AES to encrypt and decrypt messages using the keys generated by the QKD module.
3.	User Interfac"&amp;"e Module: A responsive web interface that allows users to send and receive encrypted messages.
4.	Network Communication Module: Manages secure socket connections for real-time message exchange.
5.	Authentication Module: Ensures that only authorized users "&amp;"can access the chat application.
6.	Key Renewal and Rotation Mechanism: Automatically renews and rotates encryption keys after a set period or upon detecting potential threats, minimizing the risk of key compromise.
7.	Key Management and Storage Module: S"&amp;"ecurely stores and manages cryptographic keys, ensuring that they are protected from unauthorized access and potential breaches.")</f>
        <v>The scope of this project is to develop a web-based chat application that integrates quantum cryptography to secure communications. The project will employ the BB84 protocol for quantum key distribution combined with AES encryption to safeguard messages against both classical and post quantum threats. This dual approach ensures that the encryption keys are exchanged in an unconditionally secure manner, while the robustness of AES secures the transmission against contemporary attacks.
Key Features:
1.	Quantum Key Distribution Module: Implements the BB84 protocol to generate and distribute encryption keys securely between parties.
2.	Encryption Module: Utilizes AES to encrypt and decrypt messages using the keys generated by the QKD module.
3.	User Interface Module: A responsive web interface that allows users to send and receive encrypted messages.
4.	Network Communication Module: Manages secure socket connections for real-time message exchange.
5.	Authentication Module: Ensures that only authorized users can access the chat application.
6.	Key Renewal and Rotation Mechanism: Automatically renews and rotates encryption keys after a set period or upon detecting potential threats, minimizing the risk of key compromise.
7.	Key Management and Storage Module: Securely stores and manages cryptographic keys, ensuring that they are protected from unauthorized access and potential breaches.</v>
      </c>
      <c r="D230" s="12" t="str">
        <f ca="1">IFERROR(__xludf.DUMMYFUNCTION("""COMPUTED_VALUE"""),"Mr. Jawad Hassan")</f>
        <v>Mr. Jawad Hassan</v>
      </c>
      <c r="E230" s="12" t="str">
        <f ca="1">IFERROR(__xludf.DUMMYFUNCTION("""COMPUTED_VALUE"""),"Mr. Jawad Hassan")</f>
        <v>Mr. Jawad Hassan</v>
      </c>
      <c r="F230" s="12" t="str">
        <f ca="1">IFERROR(__xludf.DUMMYFUNCTION("""COMPUTED_VALUE"""),"Muhammad Maaz")</f>
        <v>Muhammad Maaz</v>
      </c>
      <c r="G230" s="12" t="str">
        <f ca="1">IFERROR(__xludf.DUMMYFUNCTION("""COMPUTED_VALUE"""),"i200837")</f>
        <v>i200837</v>
      </c>
      <c r="H230" s="12" t="str">
        <f ca="1">IFERROR(__xludf.DUMMYFUNCTION("""COMPUTED_VALUE"""),"Basim Ahmad")</f>
        <v>Basim Ahmad</v>
      </c>
      <c r="I230" s="12" t="str">
        <f ca="1">IFERROR(__xludf.DUMMYFUNCTION("""COMPUTED_VALUE"""),"i202456")</f>
        <v>i202456</v>
      </c>
      <c r="J230" s="12" t="str">
        <f ca="1">IFERROR(__xludf.DUMMYFUNCTION("""COMPUTED_VALUE"""),"Sarib Aftab")</f>
        <v>Sarib Aftab</v>
      </c>
      <c r="K230" s="12" t="str">
        <f ca="1">IFERROR(__xludf.DUMMYFUNCTION("""COMPUTED_VALUE"""),"i202706")</f>
        <v>i202706</v>
      </c>
    </row>
    <row r="231" spans="1:11" ht="12.75">
      <c r="A231" s="12"/>
      <c r="B231" s="13"/>
      <c r="C231" s="14"/>
      <c r="D231" s="12"/>
      <c r="E231" s="12"/>
      <c r="F231" s="12"/>
      <c r="G231" s="12"/>
      <c r="H231" s="12"/>
      <c r="I231" s="12"/>
      <c r="J231" s="12"/>
      <c r="K231" s="12"/>
    </row>
    <row r="232" spans="1:11" ht="12.75">
      <c r="A232" s="12"/>
      <c r="B232" s="13"/>
      <c r="C232" s="14"/>
      <c r="D232" s="12"/>
      <c r="E232" s="12"/>
      <c r="F232" s="12"/>
      <c r="G232" s="12"/>
      <c r="H232" s="12"/>
      <c r="I232" s="12"/>
      <c r="J232" s="12"/>
      <c r="K232" s="12"/>
    </row>
    <row r="233" spans="1:11" ht="12.75">
      <c r="A233" s="12"/>
      <c r="B233" s="13"/>
      <c r="C233" s="14"/>
      <c r="D233" s="12"/>
      <c r="E233" s="12"/>
      <c r="F233" s="12"/>
      <c r="G233" s="12"/>
      <c r="H233" s="12"/>
      <c r="I233" s="12"/>
      <c r="J233" s="12"/>
      <c r="K233" s="12"/>
    </row>
    <row r="234" spans="1:11" ht="12.75">
      <c r="A234" s="12"/>
      <c r="B234" s="13"/>
      <c r="C234" s="14"/>
      <c r="D234" s="12"/>
      <c r="E234" s="12"/>
      <c r="F234" s="12"/>
      <c r="G234" s="12"/>
      <c r="H234" s="12"/>
      <c r="I234" s="12"/>
      <c r="J234" s="12"/>
      <c r="K234" s="12"/>
    </row>
    <row r="235" spans="1:11" ht="12.75">
      <c r="A235" s="12"/>
      <c r="B235" s="13"/>
      <c r="C235" s="14"/>
      <c r="D235" s="12"/>
      <c r="E235" s="12"/>
      <c r="F235" s="12"/>
      <c r="G235" s="12"/>
      <c r="H235" s="12"/>
      <c r="I235" s="12"/>
      <c r="J235" s="12"/>
      <c r="K235" s="12"/>
    </row>
    <row r="236" spans="1:11" ht="12.75">
      <c r="A236" s="12"/>
      <c r="B236" s="13"/>
      <c r="C236" s="14"/>
      <c r="D236" s="12"/>
      <c r="E236" s="12"/>
      <c r="F236" s="12"/>
      <c r="G236" s="12"/>
      <c r="H236" s="12"/>
      <c r="I236" s="12"/>
      <c r="J236" s="12"/>
      <c r="K236" s="12"/>
    </row>
    <row r="237" spans="1:11" ht="12.75">
      <c r="A237" s="12"/>
      <c r="B237" s="13"/>
      <c r="C237" s="14"/>
      <c r="D237" s="12"/>
      <c r="E237" s="12"/>
      <c r="F237" s="12"/>
      <c r="G237" s="12"/>
      <c r="H237" s="12"/>
      <c r="I237" s="12"/>
      <c r="J237" s="12"/>
      <c r="K237" s="12"/>
    </row>
    <row r="238" spans="1:11" ht="12.75">
      <c r="A238" s="12"/>
      <c r="B238" s="13"/>
      <c r="C238" s="14"/>
      <c r="D238" s="12"/>
      <c r="E238" s="12"/>
      <c r="F238" s="12"/>
      <c r="G238" s="12"/>
      <c r="H238" s="12"/>
      <c r="I238" s="12"/>
      <c r="J238" s="12"/>
      <c r="K238" s="12"/>
    </row>
    <row r="239" spans="1:11" ht="12.75">
      <c r="A239" s="12"/>
      <c r="B239" s="13"/>
      <c r="C239" s="14"/>
      <c r="D239" s="12"/>
      <c r="E239" s="12"/>
      <c r="F239" s="12"/>
      <c r="G239" s="12"/>
      <c r="H239" s="12"/>
      <c r="I239" s="12"/>
      <c r="J239" s="12"/>
      <c r="K239" s="12"/>
    </row>
    <row r="240" spans="1:11" ht="12.75">
      <c r="A240" s="12"/>
      <c r="B240" s="13"/>
      <c r="C240" s="14"/>
      <c r="D240" s="12"/>
      <c r="E240" s="12"/>
      <c r="F240" s="12"/>
      <c r="G240" s="12"/>
      <c r="H240" s="12"/>
      <c r="I240" s="12"/>
      <c r="J240" s="12"/>
      <c r="K240" s="12"/>
    </row>
    <row r="241" spans="1:11" ht="12.75">
      <c r="A241" s="12"/>
      <c r="B241" s="13"/>
      <c r="C241" s="14"/>
      <c r="D241" s="12"/>
      <c r="E241" s="12"/>
      <c r="F241" s="12"/>
      <c r="G241" s="12"/>
      <c r="H241" s="12"/>
      <c r="I241" s="12"/>
      <c r="J241" s="12"/>
      <c r="K241" s="12"/>
    </row>
    <row r="242" spans="1:11" ht="12.75">
      <c r="A242" s="12"/>
      <c r="B242" s="13"/>
      <c r="C242" s="14"/>
      <c r="D242" s="12"/>
      <c r="E242" s="12"/>
      <c r="F242" s="12"/>
      <c r="G242" s="12"/>
      <c r="H242" s="12"/>
      <c r="I242" s="12"/>
      <c r="J242" s="12"/>
      <c r="K242" s="12"/>
    </row>
    <row r="243" spans="1:11" ht="12.75">
      <c r="A243" s="12"/>
      <c r="B243" s="13"/>
      <c r="C243" s="14"/>
      <c r="D243" s="12"/>
      <c r="E243" s="12"/>
      <c r="F243" s="12"/>
      <c r="G243" s="12"/>
      <c r="H243" s="12"/>
      <c r="I243" s="12"/>
      <c r="J243" s="12"/>
      <c r="K243" s="12"/>
    </row>
    <row r="244" spans="1:11" ht="12.75">
      <c r="A244" s="12"/>
      <c r="B244" s="13"/>
      <c r="C244" s="14"/>
      <c r="D244" s="12"/>
      <c r="E244" s="12"/>
      <c r="F244" s="12"/>
      <c r="G244" s="12"/>
      <c r="H244" s="12"/>
      <c r="I244" s="12"/>
      <c r="J244" s="12"/>
      <c r="K244" s="12"/>
    </row>
    <row r="245" spans="1:11" ht="12.75">
      <c r="A245" s="12"/>
      <c r="B245" s="13"/>
      <c r="C245" s="14"/>
      <c r="D245" s="12"/>
      <c r="E245" s="12"/>
      <c r="F245" s="12"/>
      <c r="G245" s="12"/>
      <c r="H245" s="12"/>
      <c r="I245" s="12"/>
      <c r="J245" s="12"/>
      <c r="K245" s="12"/>
    </row>
    <row r="246" spans="1:11" ht="12.75">
      <c r="A246" s="12"/>
      <c r="B246" s="13"/>
      <c r="C246" s="14"/>
      <c r="D246" s="12"/>
      <c r="E246" s="12"/>
      <c r="F246" s="12"/>
      <c r="G246" s="12"/>
      <c r="H246" s="12"/>
      <c r="I246" s="12"/>
      <c r="J246" s="12"/>
      <c r="K246" s="12"/>
    </row>
    <row r="247" spans="1:11" ht="12.75">
      <c r="A247" s="12"/>
      <c r="B247" s="13"/>
      <c r="C247" s="14"/>
      <c r="D247" s="12"/>
      <c r="E247" s="12"/>
      <c r="F247" s="12"/>
      <c r="G247" s="12"/>
      <c r="H247" s="12"/>
      <c r="I247" s="12"/>
      <c r="J247" s="12"/>
      <c r="K247" s="12"/>
    </row>
    <row r="248" spans="1:11" ht="12.75">
      <c r="A248" s="12"/>
      <c r="B248" s="13"/>
      <c r="C248" s="14"/>
      <c r="D248" s="12"/>
      <c r="E248" s="12"/>
      <c r="F248" s="12"/>
      <c r="G248" s="12"/>
      <c r="H248" s="12"/>
      <c r="I248" s="12"/>
      <c r="J248" s="12"/>
      <c r="K248" s="12"/>
    </row>
    <row r="249" spans="1:11" ht="12.75">
      <c r="A249" s="12"/>
      <c r="B249" s="13"/>
      <c r="C249" s="14"/>
      <c r="D249" s="12"/>
      <c r="E249" s="12"/>
      <c r="F249" s="12"/>
      <c r="G249" s="12"/>
      <c r="H249" s="12"/>
      <c r="I249" s="12"/>
      <c r="J249" s="12"/>
      <c r="K249" s="12"/>
    </row>
    <row r="250" spans="1:11" ht="12.75">
      <c r="A250" s="12"/>
      <c r="B250" s="13"/>
      <c r="C250" s="14"/>
      <c r="D250" s="12"/>
      <c r="E250" s="12"/>
      <c r="F250" s="12"/>
      <c r="G250" s="12"/>
      <c r="H250" s="12"/>
      <c r="I250" s="12"/>
      <c r="J250" s="12"/>
      <c r="K250" s="12"/>
    </row>
    <row r="251" spans="1:11" ht="12.75">
      <c r="A251" s="12"/>
      <c r="B251" s="13"/>
      <c r="C251" s="14"/>
      <c r="D251" s="12"/>
      <c r="E251" s="12"/>
      <c r="F251" s="12"/>
      <c r="G251" s="12"/>
      <c r="H251" s="12"/>
      <c r="I251" s="12"/>
      <c r="J251" s="12"/>
      <c r="K251" s="12"/>
    </row>
    <row r="252" spans="1:11" ht="12.75">
      <c r="A252" s="12"/>
      <c r="B252" s="13"/>
      <c r="C252" s="14"/>
      <c r="D252" s="12"/>
      <c r="E252" s="12"/>
      <c r="F252" s="12"/>
      <c r="G252" s="12"/>
      <c r="H252" s="12"/>
      <c r="I252" s="12"/>
      <c r="J252" s="12"/>
      <c r="K252" s="12"/>
    </row>
    <row r="253" spans="1:11" ht="12.75">
      <c r="A253" s="12"/>
      <c r="B253" s="13"/>
      <c r="C253" s="14"/>
      <c r="D253" s="12"/>
      <c r="E253" s="12"/>
      <c r="F253" s="12"/>
      <c r="G253" s="12"/>
      <c r="H253" s="12"/>
      <c r="I253" s="12"/>
      <c r="J253" s="12"/>
      <c r="K253" s="12"/>
    </row>
    <row r="254" spans="1:11" ht="12.75">
      <c r="A254" s="12"/>
      <c r="B254" s="13"/>
      <c r="C254" s="14"/>
      <c r="D254" s="12"/>
      <c r="E254" s="12"/>
      <c r="F254" s="12"/>
      <c r="G254" s="12"/>
      <c r="H254" s="12"/>
      <c r="I254" s="12"/>
      <c r="J254" s="12"/>
      <c r="K254" s="12"/>
    </row>
    <row r="255" spans="1:11" ht="12.75">
      <c r="A255" s="12"/>
      <c r="B255" s="13"/>
      <c r="C255" s="14"/>
      <c r="D255" s="12"/>
      <c r="E255" s="12"/>
      <c r="F255" s="12"/>
      <c r="G255" s="12"/>
      <c r="H255" s="12"/>
      <c r="I255" s="12"/>
      <c r="J255" s="12"/>
      <c r="K255" s="12"/>
    </row>
    <row r="256" spans="1:11" ht="12.75">
      <c r="A256" s="12"/>
      <c r="B256" s="13"/>
      <c r="C256" s="14"/>
      <c r="D256" s="12"/>
      <c r="E256" s="12"/>
      <c r="F256" s="12"/>
      <c r="G256" s="12"/>
      <c r="H256" s="12"/>
      <c r="I256" s="12"/>
      <c r="J256" s="12"/>
      <c r="K256" s="12"/>
    </row>
    <row r="257" spans="1:11" ht="12.75">
      <c r="A257" s="12"/>
      <c r="B257" s="13"/>
      <c r="C257" s="14"/>
      <c r="D257" s="12"/>
      <c r="E257" s="12"/>
      <c r="F257" s="12"/>
      <c r="G257" s="12"/>
      <c r="H257" s="12"/>
      <c r="I257" s="12"/>
      <c r="J257" s="12"/>
      <c r="K257" s="12"/>
    </row>
    <row r="258" spans="1:11" ht="12.75">
      <c r="A258" s="12"/>
      <c r="B258" s="13"/>
      <c r="C258" s="14"/>
      <c r="D258" s="12"/>
      <c r="E258" s="12"/>
      <c r="F258" s="12"/>
      <c r="G258" s="12"/>
      <c r="H258" s="12"/>
      <c r="I258" s="12"/>
      <c r="J258" s="12"/>
      <c r="K258" s="12"/>
    </row>
    <row r="259" spans="1:11" ht="12.75">
      <c r="A259" s="12"/>
      <c r="B259" s="13"/>
      <c r="C259" s="14"/>
      <c r="D259" s="12"/>
      <c r="E259" s="12"/>
      <c r="F259" s="12"/>
      <c r="G259" s="12"/>
      <c r="H259" s="12"/>
      <c r="I259" s="12"/>
      <c r="J259" s="12"/>
      <c r="K259" s="12"/>
    </row>
    <row r="260" spans="1:11" ht="12.75">
      <c r="A260" s="12"/>
      <c r="B260" s="13"/>
      <c r="C260" s="14"/>
      <c r="D260" s="12"/>
      <c r="E260" s="12"/>
      <c r="F260" s="12"/>
      <c r="G260" s="12"/>
      <c r="H260" s="12"/>
      <c r="I260" s="12"/>
      <c r="J260" s="12"/>
      <c r="K260" s="12"/>
    </row>
    <row r="261" spans="1:11" ht="12.75">
      <c r="A261" s="12"/>
      <c r="B261" s="13"/>
      <c r="C261" s="14"/>
      <c r="D261" s="12"/>
      <c r="E261" s="12"/>
      <c r="F261" s="12"/>
      <c r="G261" s="12"/>
      <c r="H261" s="12"/>
      <c r="I261" s="12"/>
      <c r="J261" s="12"/>
      <c r="K261" s="12"/>
    </row>
    <row r="262" spans="1:11" ht="12.75">
      <c r="A262" s="12"/>
      <c r="B262" s="13"/>
      <c r="C262" s="14"/>
      <c r="D262" s="12"/>
      <c r="E262" s="12"/>
      <c r="F262" s="12"/>
      <c r="G262" s="12"/>
      <c r="H262" s="12"/>
      <c r="I262" s="12"/>
      <c r="J262" s="12"/>
      <c r="K262" s="12"/>
    </row>
    <row r="263" spans="1:11" ht="12.75">
      <c r="A263" s="12"/>
      <c r="B263" s="13"/>
      <c r="C263" s="14"/>
      <c r="D263" s="12"/>
      <c r="E263" s="12"/>
      <c r="F263" s="12"/>
      <c r="G263" s="12"/>
      <c r="H263" s="12"/>
      <c r="I263" s="12"/>
      <c r="J263" s="12"/>
      <c r="K263" s="12"/>
    </row>
    <row r="264" spans="1:11" ht="12.75">
      <c r="A264" s="12"/>
      <c r="B264" s="13"/>
      <c r="C264" s="14"/>
      <c r="D264" s="12"/>
      <c r="E264" s="12"/>
      <c r="F264" s="12"/>
      <c r="G264" s="12"/>
      <c r="H264" s="12"/>
      <c r="I264" s="12"/>
      <c r="J264" s="12"/>
      <c r="K264" s="12"/>
    </row>
    <row r="265" spans="1:11" ht="12.75">
      <c r="A265" s="12"/>
      <c r="B265" s="13"/>
      <c r="C265" s="14"/>
      <c r="D265" s="12"/>
      <c r="E265" s="12"/>
      <c r="F265" s="12"/>
      <c r="G265" s="12"/>
      <c r="H265" s="12"/>
      <c r="I265" s="12"/>
      <c r="J265" s="12"/>
      <c r="K265" s="12"/>
    </row>
    <row r="266" spans="1:11" ht="12.75">
      <c r="A266" s="12"/>
      <c r="B266" s="13"/>
      <c r="C266" s="14"/>
      <c r="D266" s="12"/>
      <c r="E266" s="12"/>
      <c r="F266" s="12"/>
      <c r="G266" s="12"/>
      <c r="H266" s="12"/>
      <c r="I266" s="12"/>
      <c r="J266" s="12"/>
      <c r="K266" s="12"/>
    </row>
    <row r="267" spans="1:11" ht="12.75">
      <c r="A267" s="12"/>
      <c r="B267" s="13"/>
      <c r="C267" s="14"/>
      <c r="D267" s="12"/>
      <c r="E267" s="12"/>
      <c r="F267" s="12"/>
      <c r="G267" s="12"/>
      <c r="H267" s="12"/>
      <c r="I267" s="12"/>
      <c r="J267" s="12"/>
      <c r="K267" s="12"/>
    </row>
    <row r="268" spans="1:11" ht="12.75">
      <c r="A268" s="12"/>
      <c r="B268" s="13"/>
      <c r="C268" s="14"/>
      <c r="D268" s="12"/>
      <c r="E268" s="12"/>
      <c r="F268" s="12"/>
      <c r="G268" s="12"/>
      <c r="H268" s="12"/>
      <c r="I268" s="12"/>
      <c r="J268" s="12"/>
      <c r="K268" s="12"/>
    </row>
    <row r="269" spans="1:11" ht="12.75">
      <c r="A269" s="12"/>
      <c r="B269" s="13"/>
      <c r="C269" s="14"/>
      <c r="D269" s="12"/>
      <c r="E269" s="12"/>
      <c r="F269" s="12"/>
      <c r="G269" s="12"/>
      <c r="H269" s="12"/>
      <c r="I269" s="12"/>
      <c r="J269" s="12"/>
      <c r="K269" s="12"/>
    </row>
    <row r="270" spans="1:11" ht="12.75">
      <c r="A270" s="12"/>
      <c r="B270" s="13"/>
      <c r="C270" s="14"/>
      <c r="D270" s="12"/>
      <c r="E270" s="12"/>
      <c r="F270" s="12"/>
      <c r="G270" s="12"/>
      <c r="H270" s="12"/>
      <c r="I270" s="12"/>
      <c r="J270" s="12"/>
      <c r="K270" s="12"/>
    </row>
    <row r="271" spans="1:11" ht="12.75">
      <c r="A271" s="12"/>
      <c r="B271" s="13"/>
      <c r="C271" s="14"/>
      <c r="D271" s="12"/>
      <c r="E271" s="12"/>
      <c r="F271" s="12"/>
      <c r="G271" s="12"/>
      <c r="H271" s="12"/>
      <c r="I271" s="12"/>
      <c r="J271" s="12"/>
      <c r="K271" s="12"/>
    </row>
    <row r="272" spans="1:11" ht="12.75">
      <c r="A272" s="12"/>
      <c r="B272" s="13"/>
      <c r="C272" s="14"/>
      <c r="D272" s="12"/>
      <c r="E272" s="12"/>
      <c r="F272" s="12"/>
      <c r="G272" s="12"/>
      <c r="H272" s="12"/>
      <c r="I272" s="12"/>
      <c r="J272" s="12"/>
      <c r="K272" s="12"/>
    </row>
    <row r="273" spans="1:11" ht="12.75">
      <c r="A273" s="12"/>
      <c r="B273" s="13"/>
      <c r="C273" s="14"/>
      <c r="D273" s="12"/>
      <c r="E273" s="12"/>
      <c r="F273" s="12"/>
      <c r="G273" s="12"/>
      <c r="H273" s="12"/>
      <c r="I273" s="12"/>
      <c r="J273" s="12"/>
      <c r="K273" s="12"/>
    </row>
    <row r="274" spans="1:11" ht="12.75">
      <c r="A274" s="12"/>
      <c r="B274" s="13"/>
      <c r="C274" s="14"/>
      <c r="D274" s="12"/>
      <c r="E274" s="12"/>
      <c r="F274" s="12"/>
      <c r="G274" s="12"/>
      <c r="H274" s="12"/>
      <c r="I274" s="12"/>
      <c r="J274" s="12"/>
      <c r="K274" s="12"/>
    </row>
    <row r="275" spans="1:11" ht="12.75">
      <c r="A275" s="12"/>
      <c r="B275" s="13"/>
      <c r="C275" s="14"/>
      <c r="D275" s="12"/>
      <c r="E275" s="12"/>
      <c r="F275" s="12"/>
      <c r="G275" s="12"/>
      <c r="H275" s="12"/>
      <c r="I275" s="12"/>
      <c r="J275" s="12"/>
      <c r="K275" s="12"/>
    </row>
    <row r="276" spans="1:11" ht="12.75">
      <c r="A276" s="12"/>
      <c r="B276" s="13"/>
      <c r="C276" s="14"/>
      <c r="D276" s="12"/>
      <c r="E276" s="12"/>
      <c r="F276" s="12"/>
      <c r="G276" s="12"/>
      <c r="H276" s="12"/>
      <c r="I276" s="12"/>
      <c r="J276" s="12"/>
      <c r="K276" s="12"/>
    </row>
    <row r="277" spans="1:11" ht="12.75">
      <c r="A277" s="12"/>
      <c r="B277" s="13"/>
      <c r="C277" s="14"/>
      <c r="D277" s="12"/>
      <c r="E277" s="12"/>
      <c r="F277" s="12"/>
      <c r="G277" s="12"/>
      <c r="H277" s="12"/>
      <c r="I277" s="12"/>
      <c r="J277" s="12"/>
      <c r="K277" s="12"/>
    </row>
    <row r="278" spans="1:11" ht="12.75">
      <c r="A278" s="12"/>
      <c r="B278" s="13"/>
      <c r="C278" s="14"/>
      <c r="D278" s="12"/>
      <c r="E278" s="12"/>
      <c r="F278" s="12"/>
      <c r="G278" s="12"/>
      <c r="H278" s="12"/>
      <c r="I278" s="12"/>
      <c r="J278" s="12"/>
      <c r="K278" s="12"/>
    </row>
    <row r="279" spans="1:11" ht="12.75">
      <c r="A279" s="12"/>
      <c r="B279" s="13"/>
      <c r="C279" s="14"/>
      <c r="D279" s="12"/>
      <c r="E279" s="12"/>
      <c r="F279" s="12"/>
      <c r="G279" s="12"/>
      <c r="H279" s="12"/>
      <c r="I279" s="12"/>
      <c r="J279" s="12"/>
      <c r="K279" s="12"/>
    </row>
    <row r="280" spans="1:11" ht="12.75">
      <c r="A280" s="12"/>
      <c r="B280" s="13"/>
      <c r="C280" s="14"/>
      <c r="D280" s="12"/>
      <c r="E280" s="12"/>
      <c r="F280" s="12"/>
      <c r="G280" s="12"/>
      <c r="H280" s="12"/>
      <c r="I280" s="12"/>
      <c r="J280" s="12"/>
      <c r="K280" s="12"/>
    </row>
    <row r="281" spans="1:11" ht="12.75">
      <c r="A281" s="12"/>
      <c r="B281" s="13"/>
      <c r="C281" s="14"/>
      <c r="D281" s="12"/>
      <c r="E281" s="12"/>
      <c r="F281" s="12"/>
      <c r="G281" s="12"/>
      <c r="H281" s="12"/>
      <c r="I281" s="12"/>
      <c r="J281" s="12"/>
      <c r="K281" s="12"/>
    </row>
    <row r="282" spans="1:11" ht="12.75">
      <c r="A282" s="12"/>
      <c r="B282" s="13"/>
      <c r="C282" s="14"/>
      <c r="D282" s="12"/>
      <c r="E282" s="12"/>
      <c r="F282" s="12"/>
      <c r="G282" s="12"/>
      <c r="H282" s="12"/>
      <c r="I282" s="12"/>
      <c r="J282" s="12"/>
      <c r="K282" s="12"/>
    </row>
    <row r="283" spans="1:11" ht="12.75">
      <c r="A283" s="12"/>
      <c r="B283" s="13"/>
      <c r="C283" s="14"/>
      <c r="D283" s="12"/>
      <c r="E283" s="12"/>
      <c r="F283" s="12"/>
      <c r="G283" s="12"/>
      <c r="H283" s="12"/>
      <c r="I283" s="12"/>
      <c r="J283" s="12"/>
      <c r="K283" s="12"/>
    </row>
    <row r="284" spans="1:11" ht="12.75">
      <c r="A284" s="12"/>
      <c r="B284" s="13"/>
      <c r="C284" s="14"/>
      <c r="D284" s="12"/>
      <c r="E284" s="12"/>
      <c r="F284" s="12"/>
      <c r="G284" s="12"/>
      <c r="H284" s="12"/>
      <c r="I284" s="12"/>
      <c r="J284" s="12"/>
      <c r="K284" s="12"/>
    </row>
    <row r="285" spans="1:11" ht="12.75">
      <c r="A285" s="12"/>
      <c r="B285" s="13"/>
      <c r="C285" s="14"/>
      <c r="D285" s="12"/>
      <c r="E285" s="12"/>
      <c r="F285" s="12"/>
      <c r="G285" s="12"/>
      <c r="H285" s="12"/>
      <c r="I285" s="12"/>
      <c r="J285" s="12"/>
      <c r="K285" s="12"/>
    </row>
    <row r="286" spans="1:11" ht="12.75">
      <c r="A286" s="12"/>
      <c r="B286" s="13"/>
      <c r="C286" s="14"/>
      <c r="D286" s="12"/>
      <c r="E286" s="12"/>
      <c r="F286" s="12"/>
      <c r="G286" s="12"/>
      <c r="H286" s="12"/>
      <c r="I286" s="12"/>
      <c r="J286" s="12"/>
      <c r="K286" s="12"/>
    </row>
    <row r="287" spans="1:11" ht="12.75">
      <c r="A287" s="12"/>
      <c r="B287" s="13"/>
      <c r="C287" s="14"/>
      <c r="D287" s="12"/>
      <c r="E287" s="12"/>
      <c r="F287" s="12"/>
      <c r="G287" s="12"/>
      <c r="H287" s="12"/>
      <c r="I287" s="12"/>
      <c r="J287" s="12"/>
      <c r="K287" s="12"/>
    </row>
    <row r="288" spans="1:11" ht="12.75">
      <c r="A288" s="12"/>
      <c r="B288" s="13"/>
      <c r="C288" s="14"/>
      <c r="D288" s="12"/>
      <c r="E288" s="12"/>
      <c r="F288" s="12"/>
      <c r="G288" s="12"/>
      <c r="H288" s="12"/>
      <c r="I288" s="12"/>
      <c r="J288" s="12"/>
      <c r="K288" s="12"/>
    </row>
    <row r="289" spans="1:11" ht="12.75">
      <c r="A289" s="12"/>
      <c r="B289" s="13"/>
      <c r="C289" s="14"/>
      <c r="D289" s="12"/>
      <c r="E289" s="12"/>
      <c r="F289" s="12"/>
      <c r="G289" s="12"/>
      <c r="H289" s="12"/>
      <c r="I289" s="12"/>
      <c r="J289" s="12"/>
      <c r="K289" s="12"/>
    </row>
    <row r="290" spans="1:11" ht="12.75">
      <c r="A290" s="12"/>
      <c r="B290" s="13"/>
      <c r="C290" s="14"/>
      <c r="D290" s="12"/>
      <c r="E290" s="12"/>
      <c r="F290" s="12"/>
      <c r="G290" s="12"/>
      <c r="H290" s="12"/>
      <c r="I290" s="12"/>
      <c r="J290" s="12"/>
      <c r="K290" s="12"/>
    </row>
    <row r="291" spans="1:11" ht="12.75">
      <c r="A291" s="12"/>
      <c r="B291" s="13"/>
      <c r="C291" s="14"/>
      <c r="D291" s="12"/>
      <c r="E291" s="12"/>
      <c r="F291" s="12"/>
      <c r="G291" s="12"/>
      <c r="H291" s="12"/>
      <c r="I291" s="12"/>
      <c r="J291" s="12"/>
      <c r="K291" s="12"/>
    </row>
    <row r="292" spans="1:11" ht="12.75">
      <c r="A292" s="12"/>
      <c r="B292" s="13"/>
      <c r="C292" s="14"/>
      <c r="D292" s="12"/>
      <c r="E292" s="12"/>
      <c r="F292" s="12"/>
      <c r="G292" s="12"/>
      <c r="H292" s="12"/>
      <c r="I292" s="12"/>
      <c r="J292" s="12"/>
      <c r="K292" s="12"/>
    </row>
    <row r="293" spans="1:11" ht="12.75">
      <c r="A293" s="12"/>
      <c r="B293" s="13"/>
      <c r="C293" s="14"/>
      <c r="D293" s="12"/>
      <c r="E293" s="12"/>
      <c r="F293" s="12"/>
      <c r="G293" s="12"/>
      <c r="H293" s="12"/>
      <c r="I293" s="12"/>
      <c r="J293" s="12"/>
      <c r="K293" s="12"/>
    </row>
    <row r="294" spans="1:11" ht="12.75">
      <c r="A294" s="12"/>
      <c r="B294" s="13"/>
      <c r="C294" s="14"/>
      <c r="D294" s="12"/>
      <c r="E294" s="12"/>
      <c r="F294" s="12"/>
      <c r="G294" s="12"/>
      <c r="H294" s="12"/>
      <c r="I294" s="12"/>
      <c r="J294" s="12"/>
      <c r="K294" s="12"/>
    </row>
    <row r="295" spans="1:11" ht="12.75">
      <c r="A295" s="12"/>
      <c r="B295" s="13"/>
      <c r="C295" s="14"/>
      <c r="D295" s="12"/>
      <c r="E295" s="12"/>
      <c r="F295" s="12"/>
      <c r="G295" s="12"/>
      <c r="H295" s="12"/>
      <c r="I295" s="12"/>
      <c r="J295" s="12"/>
      <c r="K295" s="12"/>
    </row>
    <row r="296" spans="1:11" ht="12.75">
      <c r="A296" s="12"/>
      <c r="B296" s="13"/>
      <c r="C296" s="14"/>
      <c r="D296" s="12"/>
      <c r="E296" s="12"/>
      <c r="F296" s="12"/>
      <c r="G296" s="12"/>
      <c r="H296" s="12"/>
      <c r="I296" s="12"/>
      <c r="J296" s="12"/>
      <c r="K296" s="12"/>
    </row>
    <row r="297" spans="1:11" ht="12.75">
      <c r="A297" s="12"/>
      <c r="B297" s="13"/>
      <c r="C297" s="14"/>
      <c r="D297" s="12"/>
      <c r="E297" s="12"/>
      <c r="F297" s="12"/>
      <c r="G297" s="12"/>
      <c r="H297" s="12"/>
      <c r="I297" s="12"/>
      <c r="J297" s="12"/>
      <c r="K297" s="12"/>
    </row>
    <row r="298" spans="1:11" ht="12.75">
      <c r="A298" s="12"/>
      <c r="B298" s="13"/>
      <c r="C298" s="14"/>
      <c r="D298" s="12"/>
      <c r="E298" s="12"/>
      <c r="F298" s="12"/>
      <c r="G298" s="12"/>
      <c r="H298" s="12"/>
      <c r="I298" s="12"/>
      <c r="J298" s="12"/>
      <c r="K298" s="12"/>
    </row>
    <row r="299" spans="1:11" ht="12.75">
      <c r="A299" s="12"/>
      <c r="B299" s="13"/>
      <c r="C299" s="14"/>
      <c r="D299" s="12"/>
      <c r="E299" s="12"/>
      <c r="F299" s="12"/>
      <c r="G299" s="12"/>
      <c r="H299" s="12"/>
      <c r="I299" s="12"/>
      <c r="J299" s="12"/>
      <c r="K299" s="12"/>
    </row>
    <row r="300" spans="1:11" ht="12.75">
      <c r="A300" s="12"/>
      <c r="B300" s="13"/>
      <c r="C300" s="14"/>
      <c r="D300" s="12"/>
      <c r="E300" s="12"/>
      <c r="F300" s="12"/>
      <c r="G300" s="12"/>
      <c r="H300" s="12"/>
      <c r="I300" s="12"/>
      <c r="J300" s="12"/>
      <c r="K300" s="12"/>
    </row>
    <row r="301" spans="1:11" ht="12.75">
      <c r="A301" s="12"/>
      <c r="B301" s="13"/>
      <c r="C301" s="14"/>
      <c r="D301" s="12"/>
      <c r="E301" s="12"/>
      <c r="F301" s="12"/>
      <c r="G301" s="12"/>
      <c r="H301" s="12"/>
      <c r="I301" s="12"/>
      <c r="J301" s="12"/>
      <c r="K301" s="12"/>
    </row>
    <row r="302" spans="1:11" ht="12.75">
      <c r="A302" s="16"/>
      <c r="B302" s="17"/>
      <c r="C302" s="2"/>
      <c r="D302" s="16"/>
      <c r="E302" s="16"/>
      <c r="F302" s="16"/>
      <c r="G302" s="16"/>
      <c r="H302" s="16"/>
      <c r="I302" s="16"/>
      <c r="J302" s="16"/>
      <c r="K302" s="16"/>
    </row>
    <row r="303" spans="1:11" ht="12.75">
      <c r="A303" s="16"/>
      <c r="B303" s="17"/>
      <c r="C303" s="2"/>
      <c r="D303" s="16"/>
      <c r="E303" s="16"/>
      <c r="F303" s="16"/>
      <c r="G303" s="16"/>
      <c r="H303" s="16"/>
      <c r="I303" s="16"/>
      <c r="J303" s="16"/>
      <c r="K303" s="16"/>
    </row>
    <row r="304" spans="1:11" ht="12.75">
      <c r="A304" s="16"/>
      <c r="B304" s="17"/>
      <c r="C304" s="2"/>
      <c r="D304" s="16"/>
      <c r="E304" s="16"/>
      <c r="F304" s="16"/>
      <c r="G304" s="16"/>
      <c r="H304" s="16"/>
      <c r="I304" s="16"/>
      <c r="J304" s="16"/>
      <c r="K304" s="16"/>
    </row>
    <row r="305" spans="1:11" ht="12.75">
      <c r="A305" s="16"/>
      <c r="B305" s="17"/>
      <c r="C305" s="2"/>
      <c r="D305" s="16"/>
      <c r="E305" s="16"/>
      <c r="F305" s="16"/>
      <c r="G305" s="16"/>
      <c r="H305" s="16"/>
      <c r="I305" s="16"/>
      <c r="J305" s="16"/>
      <c r="K305" s="16"/>
    </row>
    <row r="306" spans="1:11" ht="12.75">
      <c r="A306" s="16"/>
      <c r="B306" s="17"/>
      <c r="C306" s="2"/>
      <c r="D306" s="16"/>
      <c r="E306" s="16"/>
      <c r="F306" s="16"/>
      <c r="G306" s="16"/>
      <c r="H306" s="16"/>
      <c r="I306" s="16"/>
      <c r="J306" s="16"/>
      <c r="K306" s="16"/>
    </row>
    <row r="307" spans="1:11" ht="12.75">
      <c r="A307" s="16"/>
      <c r="B307" s="17"/>
      <c r="C307" s="2"/>
      <c r="D307" s="16"/>
      <c r="E307" s="16"/>
      <c r="F307" s="16"/>
      <c r="G307" s="16"/>
      <c r="H307" s="16"/>
      <c r="I307" s="16"/>
      <c r="J307" s="16"/>
      <c r="K307" s="16"/>
    </row>
    <row r="308" spans="1:11" ht="12.75">
      <c r="A308" s="16"/>
      <c r="B308" s="17"/>
      <c r="C308" s="2"/>
      <c r="D308" s="16"/>
      <c r="E308" s="16"/>
      <c r="F308" s="16"/>
      <c r="G308" s="16"/>
      <c r="H308" s="16"/>
      <c r="I308" s="16"/>
      <c r="J308" s="16"/>
      <c r="K308" s="16"/>
    </row>
    <row r="309" spans="1:11" ht="12.75">
      <c r="A309" s="16"/>
      <c r="B309" s="17"/>
      <c r="C309" s="2"/>
      <c r="D309" s="16"/>
      <c r="E309" s="16"/>
      <c r="F309" s="16"/>
      <c r="G309" s="16"/>
      <c r="H309" s="16"/>
      <c r="I309" s="16"/>
      <c r="J309" s="16"/>
      <c r="K309" s="16"/>
    </row>
    <row r="310" spans="1:11" ht="12.75">
      <c r="A310" s="16"/>
      <c r="B310" s="17"/>
      <c r="C310" s="2"/>
      <c r="D310" s="16"/>
      <c r="E310" s="16"/>
      <c r="F310" s="16"/>
      <c r="G310" s="16"/>
      <c r="H310" s="16"/>
      <c r="I310" s="16"/>
      <c r="J310" s="16"/>
      <c r="K310" s="16"/>
    </row>
    <row r="311" spans="1:11" ht="12.75">
      <c r="A311" s="16"/>
      <c r="B311" s="17"/>
      <c r="C311" s="2"/>
      <c r="D311" s="16"/>
      <c r="E311" s="16"/>
      <c r="F311" s="16"/>
      <c r="G311" s="16"/>
      <c r="H311" s="16"/>
      <c r="I311" s="16"/>
      <c r="J311" s="16"/>
      <c r="K311" s="16"/>
    </row>
    <row r="312" spans="1:11" ht="12.75">
      <c r="A312" s="16"/>
      <c r="B312" s="17"/>
      <c r="C312" s="2"/>
      <c r="D312" s="16"/>
      <c r="E312" s="16"/>
      <c r="F312" s="16"/>
      <c r="G312" s="16"/>
      <c r="H312" s="16"/>
      <c r="I312" s="16"/>
      <c r="J312" s="16"/>
      <c r="K312" s="16"/>
    </row>
    <row r="313" spans="1:11" ht="12.75">
      <c r="A313" s="16"/>
      <c r="B313" s="17"/>
      <c r="C313" s="2"/>
      <c r="D313" s="16"/>
      <c r="E313" s="16"/>
      <c r="F313" s="16"/>
      <c r="G313" s="16"/>
      <c r="H313" s="16"/>
      <c r="I313" s="16"/>
      <c r="J313" s="16"/>
      <c r="K313" s="16"/>
    </row>
    <row r="314" spans="1:11" ht="12.75">
      <c r="A314" s="16"/>
      <c r="B314" s="17"/>
      <c r="C314" s="2"/>
      <c r="D314" s="16"/>
      <c r="E314" s="16"/>
      <c r="F314" s="16"/>
      <c r="G314" s="16"/>
      <c r="H314" s="16"/>
      <c r="I314" s="16"/>
      <c r="J314" s="16"/>
      <c r="K314" s="16"/>
    </row>
    <row r="315" spans="1:11" ht="12.75">
      <c r="A315" s="16"/>
      <c r="B315" s="17"/>
      <c r="C315" s="2"/>
      <c r="D315" s="16"/>
      <c r="E315" s="16"/>
      <c r="F315" s="16"/>
      <c r="G315" s="16"/>
      <c r="H315" s="16"/>
      <c r="I315" s="16"/>
      <c r="J315" s="16"/>
      <c r="K315" s="16"/>
    </row>
    <row r="316" spans="1:11" ht="12.75">
      <c r="A316" s="16"/>
      <c r="B316" s="17"/>
      <c r="C316" s="2"/>
      <c r="D316" s="16"/>
      <c r="E316" s="16"/>
      <c r="F316" s="16"/>
      <c r="G316" s="16"/>
      <c r="H316" s="16"/>
      <c r="I316" s="16"/>
      <c r="J316" s="16"/>
      <c r="K316" s="16"/>
    </row>
    <row r="317" spans="1:11" ht="12.75">
      <c r="A317" s="16"/>
      <c r="B317" s="17"/>
      <c r="C317" s="2"/>
      <c r="D317" s="16"/>
      <c r="E317" s="16"/>
      <c r="F317" s="16"/>
      <c r="G317" s="16"/>
      <c r="H317" s="16"/>
      <c r="I317" s="16"/>
      <c r="J317" s="16"/>
      <c r="K317" s="16"/>
    </row>
    <row r="318" spans="1:11" ht="12.75">
      <c r="A318" s="16"/>
      <c r="B318" s="17"/>
      <c r="C318" s="2"/>
      <c r="D318" s="16"/>
      <c r="E318" s="16"/>
      <c r="F318" s="16"/>
      <c r="G318" s="16"/>
      <c r="H318" s="16"/>
      <c r="I318" s="16"/>
      <c r="J318" s="16"/>
      <c r="K318" s="16"/>
    </row>
    <row r="319" spans="1:11" ht="12.75">
      <c r="A319" s="16"/>
      <c r="B319" s="17"/>
      <c r="C319" s="2"/>
      <c r="D319" s="16"/>
      <c r="E319" s="16"/>
      <c r="F319" s="16"/>
      <c r="G319" s="16"/>
      <c r="H319" s="16"/>
      <c r="I319" s="16"/>
      <c r="J319" s="16"/>
      <c r="K319" s="16"/>
    </row>
    <row r="320" spans="1:11" ht="12.75">
      <c r="A320" s="16"/>
      <c r="B320" s="17"/>
      <c r="C320" s="2"/>
      <c r="D320" s="16"/>
      <c r="E320" s="16"/>
      <c r="F320" s="16"/>
      <c r="G320" s="16"/>
      <c r="H320" s="16"/>
      <c r="I320" s="16"/>
      <c r="J320" s="16"/>
      <c r="K320" s="16"/>
    </row>
    <row r="321" spans="1:11" ht="12.75">
      <c r="A321" s="16"/>
      <c r="B321" s="17"/>
      <c r="C321" s="2"/>
      <c r="D321" s="16"/>
      <c r="E321" s="16"/>
      <c r="F321" s="16"/>
      <c r="G321" s="16"/>
      <c r="H321" s="16"/>
      <c r="I321" s="16"/>
      <c r="J321" s="16"/>
      <c r="K321" s="16"/>
    </row>
    <row r="322" spans="1:11" ht="12.75">
      <c r="A322" s="16"/>
      <c r="B322" s="17"/>
      <c r="C322" s="2"/>
      <c r="D322" s="16"/>
      <c r="E322" s="16"/>
      <c r="F322" s="16"/>
      <c r="G322" s="16"/>
      <c r="H322" s="16"/>
      <c r="I322" s="16"/>
      <c r="J322" s="16"/>
      <c r="K322" s="16"/>
    </row>
    <row r="323" spans="1:11" ht="12.75">
      <c r="A323" s="16"/>
      <c r="B323" s="17"/>
      <c r="C323" s="2"/>
      <c r="D323" s="16"/>
      <c r="E323" s="16"/>
      <c r="F323" s="16"/>
      <c r="G323" s="16"/>
      <c r="H323" s="16"/>
      <c r="I323" s="16"/>
      <c r="J323" s="16"/>
      <c r="K323" s="16"/>
    </row>
    <row r="324" spans="1:11" ht="12.75">
      <c r="A324" s="16"/>
      <c r="B324" s="17"/>
      <c r="C324" s="2"/>
      <c r="D324" s="16"/>
      <c r="E324" s="16"/>
      <c r="F324" s="16"/>
      <c r="G324" s="16"/>
      <c r="H324" s="16"/>
      <c r="I324" s="16"/>
      <c r="J324" s="16"/>
      <c r="K324" s="16"/>
    </row>
    <row r="325" spans="1:11" ht="12.75">
      <c r="A325" s="16"/>
      <c r="B325" s="17"/>
      <c r="C325" s="2"/>
      <c r="D325" s="16"/>
      <c r="E325" s="16"/>
      <c r="F325" s="16"/>
      <c r="G325" s="16"/>
      <c r="H325" s="16"/>
      <c r="I325" s="16"/>
      <c r="J325" s="16"/>
      <c r="K325" s="16"/>
    </row>
    <row r="326" spans="1:11" ht="12.75">
      <c r="A326" s="16"/>
      <c r="B326" s="17"/>
      <c r="C326" s="2"/>
      <c r="D326" s="16"/>
      <c r="E326" s="16"/>
      <c r="F326" s="16"/>
      <c r="G326" s="16"/>
      <c r="H326" s="16"/>
      <c r="I326" s="16"/>
      <c r="J326" s="16"/>
      <c r="K326" s="16"/>
    </row>
    <row r="327" spans="1:11" ht="12.75">
      <c r="A327" s="16"/>
      <c r="B327" s="17"/>
      <c r="C327" s="2"/>
      <c r="D327" s="16"/>
      <c r="E327" s="16"/>
      <c r="F327" s="16"/>
      <c r="G327" s="16"/>
      <c r="H327" s="16"/>
      <c r="I327" s="16"/>
      <c r="J327" s="16"/>
      <c r="K327" s="16"/>
    </row>
    <row r="328" spans="1:11" ht="12.75">
      <c r="A328" s="16"/>
      <c r="B328" s="17"/>
      <c r="C328" s="2"/>
      <c r="D328" s="16"/>
      <c r="E328" s="16"/>
      <c r="F328" s="16"/>
      <c r="G328" s="16"/>
      <c r="H328" s="16"/>
      <c r="I328" s="16"/>
      <c r="J328" s="16"/>
      <c r="K328" s="16"/>
    </row>
    <row r="329" spans="1:11" ht="12.75">
      <c r="A329" s="16"/>
      <c r="B329" s="17"/>
      <c r="C329" s="2"/>
      <c r="D329" s="16"/>
      <c r="E329" s="16"/>
      <c r="F329" s="16"/>
      <c r="G329" s="16"/>
      <c r="H329" s="16"/>
      <c r="I329" s="16"/>
      <c r="J329" s="16"/>
      <c r="K329" s="16"/>
    </row>
    <row r="330" spans="1:11" ht="12.75">
      <c r="A330" s="16"/>
      <c r="B330" s="17"/>
      <c r="C330" s="2"/>
      <c r="D330" s="16"/>
      <c r="E330" s="16"/>
      <c r="F330" s="16"/>
      <c r="G330" s="16"/>
      <c r="H330" s="16"/>
      <c r="I330" s="16"/>
      <c r="J330" s="16"/>
      <c r="K330" s="16"/>
    </row>
    <row r="331" spans="1:11" ht="12.75">
      <c r="A331" s="16"/>
      <c r="B331" s="17"/>
      <c r="C331" s="2"/>
      <c r="D331" s="16"/>
      <c r="E331" s="16"/>
      <c r="F331" s="16"/>
      <c r="G331" s="16"/>
      <c r="H331" s="16"/>
      <c r="I331" s="16"/>
      <c r="J331" s="16"/>
      <c r="K331" s="16"/>
    </row>
    <row r="332" spans="1:11" ht="12.75">
      <c r="A332" s="16"/>
      <c r="B332" s="17"/>
      <c r="C332" s="2"/>
      <c r="D332" s="16"/>
      <c r="E332" s="16"/>
      <c r="F332" s="16"/>
      <c r="G332" s="16"/>
      <c r="H332" s="16"/>
      <c r="I332" s="16"/>
      <c r="J332" s="16"/>
      <c r="K332" s="16"/>
    </row>
    <row r="333" spans="1:11" ht="12.75">
      <c r="A333" s="16"/>
      <c r="B333" s="17"/>
      <c r="C333" s="2"/>
      <c r="D333" s="16"/>
      <c r="E333" s="16"/>
      <c r="F333" s="16"/>
      <c r="G333" s="16"/>
      <c r="H333" s="16"/>
      <c r="I333" s="16"/>
      <c r="J333" s="16"/>
      <c r="K333" s="16"/>
    </row>
    <row r="334" spans="1:11" ht="12.75">
      <c r="A334" s="16"/>
      <c r="B334" s="17"/>
      <c r="C334" s="2"/>
      <c r="D334" s="16"/>
      <c r="E334" s="16"/>
      <c r="F334" s="16"/>
      <c r="G334" s="16"/>
      <c r="H334" s="16"/>
      <c r="I334" s="16"/>
      <c r="J334" s="16"/>
      <c r="K334" s="16"/>
    </row>
    <row r="335" spans="1:11" ht="12.75">
      <c r="A335" s="16"/>
      <c r="B335" s="17"/>
      <c r="C335" s="2"/>
      <c r="D335" s="16"/>
      <c r="E335" s="16"/>
      <c r="F335" s="16"/>
      <c r="G335" s="16"/>
      <c r="H335" s="16"/>
      <c r="I335" s="16"/>
      <c r="J335" s="16"/>
      <c r="K335" s="16"/>
    </row>
    <row r="336" spans="1:11" ht="12.75">
      <c r="A336" s="16"/>
      <c r="B336" s="17"/>
      <c r="C336" s="2"/>
      <c r="D336" s="16"/>
      <c r="E336" s="16"/>
      <c r="F336" s="16"/>
      <c r="G336" s="16"/>
      <c r="H336" s="16"/>
      <c r="I336" s="16"/>
      <c r="J336" s="16"/>
      <c r="K336" s="16"/>
    </row>
    <row r="337" spans="1:11" ht="12.75">
      <c r="A337" s="16"/>
      <c r="B337" s="17"/>
      <c r="C337" s="2"/>
      <c r="D337" s="16"/>
      <c r="E337" s="16"/>
      <c r="F337" s="16"/>
      <c r="G337" s="16"/>
      <c r="H337" s="16"/>
      <c r="I337" s="16"/>
      <c r="J337" s="16"/>
      <c r="K337" s="16"/>
    </row>
    <row r="338" spans="1:11" ht="12.75">
      <c r="A338" s="16"/>
      <c r="B338" s="17"/>
      <c r="C338" s="2"/>
      <c r="D338" s="16"/>
      <c r="E338" s="16"/>
      <c r="F338" s="16"/>
      <c r="G338" s="16"/>
      <c r="H338" s="16"/>
      <c r="I338" s="16"/>
      <c r="J338" s="16"/>
      <c r="K338" s="16"/>
    </row>
    <row r="339" spans="1:11" ht="12.75">
      <c r="A339" s="16"/>
      <c r="B339" s="17"/>
      <c r="C339" s="2"/>
      <c r="D339" s="16"/>
      <c r="E339" s="16"/>
      <c r="F339" s="16"/>
      <c r="G339" s="16"/>
      <c r="H339" s="16"/>
      <c r="I339" s="16"/>
      <c r="J339" s="16"/>
      <c r="K339" s="16"/>
    </row>
    <row r="340" spans="1:11" ht="12.75">
      <c r="A340" s="16"/>
      <c r="B340" s="17"/>
      <c r="C340" s="2"/>
      <c r="D340" s="16"/>
      <c r="E340" s="16"/>
      <c r="F340" s="16"/>
      <c r="G340" s="16"/>
      <c r="H340" s="16"/>
      <c r="I340" s="16"/>
      <c r="J340" s="16"/>
      <c r="K340" s="16"/>
    </row>
    <row r="341" spans="1:11" ht="12.75">
      <c r="A341" s="16"/>
      <c r="B341" s="17"/>
      <c r="C341" s="2"/>
      <c r="D341" s="16"/>
      <c r="E341" s="16"/>
      <c r="F341" s="16"/>
      <c r="G341" s="16"/>
      <c r="H341" s="16"/>
      <c r="I341" s="16"/>
      <c r="J341" s="16"/>
      <c r="K341" s="16"/>
    </row>
    <row r="342" spans="1:11" ht="12.75">
      <c r="A342" s="16"/>
      <c r="B342" s="17"/>
      <c r="C342" s="2"/>
      <c r="D342" s="16"/>
      <c r="E342" s="16"/>
      <c r="F342" s="16"/>
      <c r="G342" s="16"/>
      <c r="H342" s="16"/>
      <c r="I342" s="16"/>
      <c r="J342" s="16"/>
      <c r="K342" s="16"/>
    </row>
    <row r="343" spans="1:11" ht="12.75">
      <c r="A343" s="16"/>
      <c r="B343" s="17"/>
      <c r="C343" s="2"/>
      <c r="D343" s="16"/>
      <c r="E343" s="16"/>
      <c r="F343" s="16"/>
      <c r="G343" s="16"/>
      <c r="H343" s="16"/>
      <c r="I343" s="16"/>
      <c r="J343" s="16"/>
      <c r="K343" s="16"/>
    </row>
    <row r="344" spans="1:11" ht="12.75">
      <c r="A344" s="16"/>
      <c r="B344" s="17"/>
      <c r="C344" s="2"/>
      <c r="D344" s="16"/>
      <c r="E344" s="16"/>
      <c r="F344" s="16"/>
      <c r="G344" s="16"/>
      <c r="H344" s="16"/>
      <c r="I344" s="16"/>
      <c r="J344" s="16"/>
      <c r="K344" s="16"/>
    </row>
    <row r="345" spans="1:11" ht="12.75">
      <c r="A345" s="16"/>
      <c r="B345" s="17"/>
      <c r="C345" s="2"/>
      <c r="D345" s="16"/>
      <c r="E345" s="16"/>
      <c r="F345" s="16"/>
      <c r="G345" s="16"/>
      <c r="H345" s="16"/>
      <c r="I345" s="16"/>
      <c r="J345" s="16"/>
      <c r="K345" s="16"/>
    </row>
    <row r="346" spans="1:11" ht="12.75">
      <c r="A346" s="16"/>
      <c r="B346" s="17"/>
      <c r="C346" s="2"/>
      <c r="D346" s="16"/>
      <c r="E346" s="16"/>
      <c r="F346" s="16"/>
      <c r="G346" s="16"/>
      <c r="H346" s="16"/>
      <c r="I346" s="16"/>
      <c r="J346" s="16"/>
      <c r="K346" s="16"/>
    </row>
    <row r="347" spans="1:11" ht="12.75">
      <c r="A347" s="16"/>
      <c r="B347" s="17"/>
      <c r="C347" s="2"/>
      <c r="D347" s="16"/>
      <c r="E347" s="16"/>
      <c r="F347" s="16"/>
      <c r="G347" s="16"/>
      <c r="H347" s="16"/>
      <c r="I347" s="16"/>
      <c r="J347" s="16"/>
      <c r="K347" s="16"/>
    </row>
    <row r="348" spans="1:11" ht="12.75">
      <c r="A348" s="16"/>
      <c r="B348" s="17"/>
      <c r="C348" s="2"/>
      <c r="D348" s="16"/>
      <c r="E348" s="16"/>
      <c r="F348" s="16"/>
      <c r="G348" s="16"/>
      <c r="H348" s="16"/>
      <c r="I348" s="16"/>
      <c r="J348" s="16"/>
      <c r="K348" s="16"/>
    </row>
    <row r="349" spans="1:11" ht="12.75">
      <c r="A349" s="16"/>
      <c r="B349" s="17"/>
      <c r="C349" s="2"/>
      <c r="D349" s="16"/>
      <c r="E349" s="16"/>
      <c r="F349" s="16"/>
      <c r="G349" s="16"/>
      <c r="H349" s="16"/>
      <c r="I349" s="16"/>
      <c r="J349" s="16"/>
      <c r="K349" s="16"/>
    </row>
    <row r="350" spans="1:11" ht="12.75">
      <c r="A350" s="16"/>
      <c r="B350" s="17"/>
      <c r="C350" s="2"/>
      <c r="D350" s="16"/>
      <c r="E350" s="16"/>
      <c r="F350" s="16"/>
      <c r="G350" s="16"/>
      <c r="H350" s="16"/>
      <c r="I350" s="16"/>
      <c r="J350" s="16"/>
      <c r="K350" s="16"/>
    </row>
    <row r="351" spans="1:11" ht="12.75">
      <c r="A351" s="16"/>
      <c r="B351" s="17"/>
      <c r="C351" s="2"/>
      <c r="D351" s="16"/>
      <c r="E351" s="16"/>
      <c r="F351" s="16"/>
      <c r="G351" s="16"/>
      <c r="H351" s="16"/>
      <c r="I351" s="16"/>
      <c r="J351" s="16"/>
      <c r="K351" s="16"/>
    </row>
    <row r="352" spans="1:11" ht="12.75">
      <c r="A352" s="16"/>
      <c r="B352" s="17"/>
      <c r="C352" s="2"/>
      <c r="D352" s="16"/>
      <c r="E352" s="16"/>
      <c r="F352" s="16"/>
      <c r="G352" s="16"/>
      <c r="H352" s="16"/>
      <c r="I352" s="16"/>
      <c r="J352" s="16"/>
      <c r="K352" s="16"/>
    </row>
    <row r="353" spans="1:11" ht="12.75">
      <c r="A353" s="16"/>
      <c r="B353" s="17"/>
      <c r="C353" s="2"/>
      <c r="D353" s="16"/>
      <c r="E353" s="16"/>
      <c r="F353" s="16"/>
      <c r="G353" s="16"/>
      <c r="H353" s="16"/>
      <c r="I353" s="16"/>
      <c r="J353" s="16"/>
      <c r="K353" s="16"/>
    </row>
    <row r="354" spans="1:11" ht="12.75">
      <c r="A354" s="16"/>
      <c r="B354" s="17"/>
      <c r="C354" s="2"/>
      <c r="D354" s="16"/>
      <c r="E354" s="16"/>
      <c r="F354" s="16"/>
      <c r="G354" s="16"/>
      <c r="H354" s="16"/>
      <c r="I354" s="16"/>
      <c r="J354" s="16"/>
      <c r="K354" s="16"/>
    </row>
    <row r="355" spans="1:11" ht="12.75">
      <c r="A355" s="16"/>
      <c r="B355" s="17"/>
      <c r="C355" s="2"/>
      <c r="D355" s="16"/>
      <c r="E355" s="16"/>
      <c r="F355" s="16"/>
      <c r="G355" s="16"/>
      <c r="H355" s="16"/>
      <c r="I355" s="16"/>
      <c r="J355" s="16"/>
      <c r="K355" s="16"/>
    </row>
    <row r="356" spans="1:11" ht="12.75">
      <c r="A356" s="16"/>
      <c r="B356" s="17"/>
      <c r="C356" s="2"/>
      <c r="D356" s="16"/>
      <c r="E356" s="16"/>
      <c r="F356" s="16"/>
      <c r="G356" s="16"/>
      <c r="H356" s="16"/>
      <c r="I356" s="16"/>
      <c r="J356" s="16"/>
      <c r="K356" s="16"/>
    </row>
    <row r="357" spans="1:11" ht="12.75">
      <c r="A357" s="16"/>
      <c r="B357" s="17"/>
      <c r="C357" s="2"/>
      <c r="D357" s="16"/>
      <c r="E357" s="16"/>
      <c r="F357" s="16"/>
      <c r="G357" s="16"/>
      <c r="H357" s="16"/>
      <c r="I357" s="16"/>
      <c r="J357" s="16"/>
      <c r="K357" s="16"/>
    </row>
    <row r="358" spans="1:11" ht="12.75">
      <c r="A358" s="16"/>
      <c r="B358" s="17"/>
      <c r="C358" s="2"/>
      <c r="D358" s="16"/>
      <c r="E358" s="16"/>
      <c r="F358" s="16"/>
      <c r="G358" s="16"/>
      <c r="H358" s="16"/>
      <c r="I358" s="16"/>
      <c r="J358" s="16"/>
      <c r="K358" s="16"/>
    </row>
    <row r="359" spans="1:11" ht="12.75">
      <c r="A359" s="16"/>
      <c r="B359" s="17"/>
      <c r="C359" s="2"/>
      <c r="D359" s="16"/>
      <c r="E359" s="16"/>
      <c r="F359" s="16"/>
      <c r="G359" s="16"/>
      <c r="H359" s="16"/>
      <c r="I359" s="16"/>
      <c r="J359" s="16"/>
      <c r="K359" s="16"/>
    </row>
    <row r="360" spans="1:11" ht="12.75">
      <c r="A360" s="16"/>
      <c r="B360" s="17"/>
      <c r="C360" s="2"/>
      <c r="D360" s="16"/>
      <c r="E360" s="16"/>
      <c r="F360" s="16"/>
      <c r="G360" s="16"/>
      <c r="H360" s="16"/>
      <c r="I360" s="16"/>
      <c r="J360" s="16"/>
      <c r="K360" s="16"/>
    </row>
    <row r="361" spans="1:11" ht="12.75">
      <c r="A361" s="16"/>
      <c r="B361" s="17"/>
      <c r="C361" s="2"/>
      <c r="D361" s="16"/>
      <c r="E361" s="16"/>
      <c r="F361" s="16"/>
      <c r="G361" s="16"/>
      <c r="H361" s="16"/>
      <c r="I361" s="16"/>
      <c r="J361" s="16"/>
      <c r="K361" s="16"/>
    </row>
    <row r="362" spans="1:11" ht="12.75">
      <c r="A362" s="16"/>
      <c r="B362" s="17"/>
      <c r="C362" s="2"/>
      <c r="D362" s="16"/>
      <c r="E362" s="16"/>
      <c r="F362" s="16"/>
      <c r="G362" s="16"/>
      <c r="H362" s="16"/>
      <c r="I362" s="16"/>
      <c r="J362" s="16"/>
      <c r="K362" s="16"/>
    </row>
    <row r="363" spans="1:11" ht="12.75">
      <c r="A363" s="16"/>
      <c r="B363" s="17"/>
      <c r="C363" s="2"/>
      <c r="D363" s="16"/>
      <c r="E363" s="16"/>
      <c r="F363" s="16"/>
      <c r="G363" s="16"/>
      <c r="H363" s="16"/>
      <c r="I363" s="16"/>
      <c r="J363" s="16"/>
      <c r="K363" s="16"/>
    </row>
    <row r="364" spans="1:11" ht="12.75">
      <c r="A364" s="16"/>
      <c r="B364" s="17"/>
      <c r="C364" s="2"/>
      <c r="D364" s="16"/>
      <c r="E364" s="16"/>
      <c r="F364" s="16"/>
      <c r="G364" s="16"/>
      <c r="H364" s="16"/>
      <c r="I364" s="16"/>
      <c r="J364" s="16"/>
      <c r="K364" s="16"/>
    </row>
    <row r="365" spans="1:11" ht="12.75">
      <c r="A365" s="16"/>
      <c r="B365" s="17"/>
      <c r="C365" s="2"/>
      <c r="D365" s="16"/>
      <c r="E365" s="16"/>
      <c r="F365" s="16"/>
      <c r="G365" s="16"/>
      <c r="H365" s="16"/>
      <c r="I365" s="16"/>
      <c r="J365" s="16"/>
      <c r="K365" s="16"/>
    </row>
    <row r="366" spans="1:11" ht="12.75">
      <c r="A366" s="16"/>
      <c r="B366" s="17"/>
      <c r="C366" s="2"/>
      <c r="D366" s="16"/>
      <c r="E366" s="16"/>
      <c r="F366" s="16"/>
      <c r="G366" s="16"/>
      <c r="H366" s="16"/>
      <c r="I366" s="16"/>
      <c r="J366" s="16"/>
      <c r="K366" s="16"/>
    </row>
    <row r="367" spans="1:11" ht="12.75">
      <c r="A367" s="16"/>
      <c r="B367" s="17"/>
      <c r="C367" s="2"/>
      <c r="D367" s="16"/>
      <c r="E367" s="16"/>
      <c r="F367" s="16"/>
      <c r="G367" s="16"/>
      <c r="H367" s="16"/>
      <c r="I367" s="16"/>
      <c r="J367" s="16"/>
      <c r="K367" s="16"/>
    </row>
    <row r="368" spans="1:11" ht="12.75">
      <c r="A368" s="16"/>
      <c r="B368" s="17"/>
      <c r="C368" s="2"/>
      <c r="D368" s="16"/>
      <c r="E368" s="16"/>
      <c r="F368" s="16"/>
      <c r="G368" s="16"/>
      <c r="H368" s="16"/>
      <c r="I368" s="16"/>
      <c r="J368" s="16"/>
      <c r="K368" s="16"/>
    </row>
    <row r="369" spans="1:11" ht="12.75">
      <c r="A369" s="16"/>
      <c r="B369" s="17"/>
      <c r="C369" s="2"/>
      <c r="D369" s="16"/>
      <c r="E369" s="16"/>
      <c r="F369" s="16"/>
      <c r="G369" s="16"/>
      <c r="H369" s="16"/>
      <c r="I369" s="16"/>
      <c r="J369" s="16"/>
      <c r="K369" s="16"/>
    </row>
    <row r="370" spans="1:11" ht="12.75">
      <c r="A370" s="16"/>
      <c r="B370" s="17"/>
      <c r="C370" s="2"/>
      <c r="D370" s="16"/>
      <c r="E370" s="16"/>
      <c r="F370" s="16"/>
      <c r="G370" s="16"/>
      <c r="H370" s="16"/>
      <c r="I370" s="16"/>
      <c r="J370" s="16"/>
      <c r="K370" s="16"/>
    </row>
    <row r="371" spans="1:11" ht="12.75">
      <c r="A371" s="16"/>
      <c r="B371" s="17"/>
      <c r="C371" s="2"/>
      <c r="D371" s="16"/>
      <c r="E371" s="16"/>
      <c r="F371" s="16"/>
      <c r="G371" s="16"/>
      <c r="H371" s="16"/>
      <c r="I371" s="16"/>
      <c r="J371" s="16"/>
      <c r="K371" s="16"/>
    </row>
    <row r="372" spans="1:11" ht="12.75">
      <c r="A372" s="16"/>
      <c r="B372" s="17"/>
      <c r="C372" s="2"/>
      <c r="D372" s="16"/>
      <c r="E372" s="16"/>
      <c r="F372" s="16"/>
      <c r="G372" s="16"/>
      <c r="H372" s="16"/>
      <c r="I372" s="16"/>
      <c r="J372" s="16"/>
      <c r="K372" s="16"/>
    </row>
    <row r="373" spans="1:11" ht="12.75">
      <c r="A373" s="16"/>
      <c r="B373" s="17"/>
      <c r="C373" s="2"/>
      <c r="D373" s="16"/>
      <c r="E373" s="16"/>
      <c r="F373" s="16"/>
      <c r="G373" s="16"/>
      <c r="H373" s="16"/>
      <c r="I373" s="16"/>
      <c r="J373" s="16"/>
      <c r="K373" s="16"/>
    </row>
    <row r="374" spans="1:11" ht="12.75">
      <c r="A374" s="16"/>
      <c r="B374" s="17"/>
      <c r="C374" s="2"/>
      <c r="D374" s="16"/>
      <c r="E374" s="16"/>
      <c r="F374" s="16"/>
      <c r="G374" s="16"/>
      <c r="H374" s="16"/>
      <c r="I374" s="16"/>
      <c r="J374" s="16"/>
      <c r="K374" s="16"/>
    </row>
    <row r="375" spans="1:11" ht="12.75">
      <c r="A375" s="16"/>
      <c r="B375" s="17"/>
      <c r="C375" s="2"/>
      <c r="D375" s="16"/>
      <c r="E375" s="16"/>
      <c r="F375" s="16"/>
      <c r="G375" s="16"/>
      <c r="H375" s="16"/>
      <c r="I375" s="16"/>
      <c r="J375" s="16"/>
      <c r="K375" s="16"/>
    </row>
    <row r="376" spans="1:11" ht="12.75">
      <c r="A376" s="16"/>
      <c r="B376" s="17"/>
      <c r="C376" s="2"/>
      <c r="D376" s="16"/>
      <c r="E376" s="16"/>
      <c r="F376" s="16"/>
      <c r="G376" s="16"/>
      <c r="H376" s="16"/>
      <c r="I376" s="16"/>
      <c r="J376" s="16"/>
      <c r="K376" s="16"/>
    </row>
    <row r="377" spans="1:11" ht="12.75">
      <c r="A377" s="16"/>
      <c r="B377" s="17"/>
      <c r="C377" s="2"/>
      <c r="D377" s="16"/>
      <c r="E377" s="16"/>
      <c r="F377" s="16"/>
      <c r="G377" s="16"/>
      <c r="H377" s="16"/>
      <c r="I377" s="16"/>
      <c r="J377" s="16"/>
      <c r="K377" s="16"/>
    </row>
    <row r="378" spans="1:11" ht="12.75">
      <c r="A378" s="16"/>
      <c r="B378" s="17"/>
      <c r="C378" s="2"/>
      <c r="D378" s="16"/>
      <c r="E378" s="16"/>
      <c r="F378" s="16"/>
      <c r="G378" s="16"/>
      <c r="H378" s="16"/>
      <c r="I378" s="16"/>
      <c r="J378" s="16"/>
      <c r="K378" s="16"/>
    </row>
    <row r="379" spans="1:11" ht="12.75">
      <c r="A379" s="16"/>
      <c r="B379" s="17"/>
      <c r="C379" s="2"/>
      <c r="D379" s="16"/>
      <c r="E379" s="16"/>
      <c r="F379" s="16"/>
      <c r="G379" s="16"/>
      <c r="H379" s="16"/>
      <c r="I379" s="16"/>
      <c r="J379" s="16"/>
      <c r="K379" s="16"/>
    </row>
    <row r="380" spans="1:11" ht="12.75">
      <c r="A380" s="16"/>
      <c r="B380" s="17"/>
      <c r="C380" s="2"/>
      <c r="D380" s="16"/>
      <c r="E380" s="16"/>
      <c r="F380" s="16"/>
      <c r="G380" s="16"/>
      <c r="H380" s="16"/>
      <c r="I380" s="16"/>
      <c r="J380" s="16"/>
      <c r="K380" s="16"/>
    </row>
    <row r="381" spans="1:11" ht="12.75">
      <c r="A381" s="16"/>
      <c r="B381" s="17"/>
      <c r="C381" s="2"/>
      <c r="D381" s="16"/>
      <c r="E381" s="16"/>
      <c r="F381" s="16"/>
      <c r="G381" s="16"/>
      <c r="H381" s="16"/>
      <c r="I381" s="16"/>
      <c r="J381" s="16"/>
      <c r="K381" s="16"/>
    </row>
    <row r="382" spans="1:11" ht="12.75">
      <c r="A382" s="16"/>
      <c r="B382" s="17"/>
      <c r="C382" s="2"/>
      <c r="D382" s="16"/>
      <c r="E382" s="16"/>
      <c r="F382" s="16"/>
      <c r="G382" s="16"/>
      <c r="H382" s="16"/>
      <c r="I382" s="16"/>
      <c r="J382" s="16"/>
      <c r="K382" s="16"/>
    </row>
    <row r="383" spans="1:11" ht="12.75">
      <c r="A383" s="16"/>
      <c r="B383" s="17"/>
      <c r="C383" s="2"/>
      <c r="D383" s="16"/>
      <c r="E383" s="16"/>
      <c r="F383" s="16"/>
      <c r="G383" s="16"/>
      <c r="H383" s="16"/>
      <c r="I383" s="16"/>
      <c r="J383" s="16"/>
      <c r="K383" s="16"/>
    </row>
    <row r="384" spans="1:11" ht="12.75">
      <c r="A384" s="16"/>
      <c r="B384" s="17"/>
      <c r="C384" s="2"/>
      <c r="D384" s="16"/>
      <c r="E384" s="16"/>
      <c r="F384" s="16"/>
      <c r="G384" s="16"/>
      <c r="H384" s="16"/>
      <c r="I384" s="16"/>
      <c r="J384" s="16"/>
      <c r="K384" s="16"/>
    </row>
    <row r="385" spans="1:11" ht="12.75">
      <c r="A385" s="16"/>
      <c r="B385" s="17"/>
      <c r="C385" s="2"/>
      <c r="D385" s="16"/>
      <c r="E385" s="16"/>
      <c r="F385" s="16"/>
      <c r="G385" s="16"/>
      <c r="H385" s="16"/>
      <c r="I385" s="16"/>
      <c r="J385" s="16"/>
      <c r="K385" s="16"/>
    </row>
    <row r="386" spans="1:11" ht="12.75">
      <c r="A386" s="16"/>
      <c r="B386" s="17"/>
      <c r="C386" s="2"/>
      <c r="D386" s="16"/>
      <c r="E386" s="16"/>
      <c r="F386" s="16"/>
      <c r="G386" s="16"/>
      <c r="H386" s="16"/>
      <c r="I386" s="16"/>
      <c r="J386" s="16"/>
      <c r="K386" s="16"/>
    </row>
    <row r="387" spans="1:11" ht="12.75">
      <c r="A387" s="16"/>
      <c r="B387" s="17"/>
      <c r="C387" s="2"/>
      <c r="D387" s="16"/>
      <c r="E387" s="16"/>
      <c r="F387" s="16"/>
      <c r="G387" s="16"/>
      <c r="H387" s="16"/>
      <c r="I387" s="16"/>
      <c r="J387" s="16"/>
      <c r="K387" s="16"/>
    </row>
    <row r="388" spans="1:11" ht="12.75">
      <c r="A388" s="16"/>
      <c r="B388" s="17"/>
      <c r="C388" s="2"/>
      <c r="D388" s="16"/>
      <c r="E388" s="16"/>
      <c r="F388" s="16"/>
      <c r="G388" s="16"/>
      <c r="H388" s="16"/>
      <c r="I388" s="16"/>
      <c r="J388" s="16"/>
      <c r="K388" s="16"/>
    </row>
    <row r="389" spans="1:11" ht="12.75">
      <c r="A389" s="16"/>
      <c r="B389" s="17"/>
      <c r="C389" s="2"/>
      <c r="D389" s="16"/>
      <c r="E389" s="16"/>
      <c r="F389" s="16"/>
      <c r="G389" s="16"/>
      <c r="H389" s="16"/>
      <c r="I389" s="16"/>
      <c r="J389" s="16"/>
      <c r="K389" s="16"/>
    </row>
    <row r="390" spans="1:11" ht="12.75">
      <c r="A390" s="16"/>
      <c r="B390" s="17"/>
      <c r="C390" s="2"/>
      <c r="D390" s="16"/>
      <c r="E390" s="16"/>
      <c r="F390" s="16"/>
      <c r="G390" s="16"/>
      <c r="H390" s="16"/>
      <c r="I390" s="16"/>
      <c r="J390" s="16"/>
      <c r="K390" s="16"/>
    </row>
    <row r="391" spans="1:11" ht="12.75">
      <c r="A391" s="16"/>
      <c r="B391" s="17"/>
      <c r="C391" s="2"/>
      <c r="D391" s="16"/>
      <c r="E391" s="16"/>
      <c r="F391" s="16"/>
      <c r="G391" s="16"/>
      <c r="H391" s="16"/>
      <c r="I391" s="16"/>
      <c r="J391" s="16"/>
      <c r="K391" s="16"/>
    </row>
    <row r="392" spans="1:11" ht="12.75">
      <c r="A392" s="16"/>
      <c r="B392" s="17"/>
      <c r="C392" s="2"/>
      <c r="D392" s="16"/>
      <c r="E392" s="16"/>
      <c r="F392" s="16"/>
      <c r="G392" s="16"/>
      <c r="H392" s="16"/>
      <c r="I392" s="16"/>
      <c r="J392" s="16"/>
      <c r="K392" s="16"/>
    </row>
    <row r="393" spans="1:11" ht="12.75">
      <c r="A393" s="16"/>
      <c r="B393" s="17"/>
      <c r="C393" s="2"/>
      <c r="D393" s="16"/>
      <c r="E393" s="16"/>
      <c r="F393" s="16"/>
      <c r="G393" s="16"/>
      <c r="H393" s="16"/>
      <c r="I393" s="16"/>
      <c r="J393" s="16"/>
      <c r="K393" s="16"/>
    </row>
    <row r="394" spans="1:11" ht="12.75">
      <c r="A394" s="16"/>
      <c r="B394" s="17"/>
      <c r="C394" s="2"/>
      <c r="D394" s="16"/>
      <c r="E394" s="16"/>
      <c r="F394" s="16"/>
      <c r="G394" s="16"/>
      <c r="H394" s="16"/>
      <c r="I394" s="16"/>
      <c r="J394" s="16"/>
      <c r="K394" s="16"/>
    </row>
    <row r="395" spans="1:11" ht="12.75">
      <c r="A395" s="16"/>
      <c r="B395" s="17"/>
      <c r="C395" s="2"/>
      <c r="D395" s="16"/>
      <c r="E395" s="16"/>
      <c r="F395" s="16"/>
      <c r="G395" s="16"/>
      <c r="H395" s="16"/>
      <c r="I395" s="16"/>
      <c r="J395" s="16"/>
      <c r="K395" s="16"/>
    </row>
    <row r="396" spans="1:11" ht="12.75">
      <c r="A396" s="16"/>
      <c r="B396" s="17"/>
      <c r="C396" s="2"/>
      <c r="D396" s="16"/>
      <c r="E396" s="16"/>
      <c r="F396" s="16"/>
      <c r="G396" s="16"/>
      <c r="H396" s="16"/>
      <c r="I396" s="16"/>
      <c r="J396" s="16"/>
      <c r="K396" s="16"/>
    </row>
    <row r="397" spans="1:11" ht="12.75">
      <c r="A397" s="16"/>
      <c r="B397" s="17"/>
      <c r="C397" s="2"/>
      <c r="D397" s="16"/>
      <c r="E397" s="16"/>
      <c r="F397" s="16"/>
      <c r="G397" s="16"/>
      <c r="H397" s="16"/>
      <c r="I397" s="16"/>
      <c r="J397" s="16"/>
      <c r="K397" s="16"/>
    </row>
    <row r="398" spans="1:11" ht="12.75">
      <c r="A398" s="16"/>
      <c r="B398" s="17"/>
      <c r="C398" s="2"/>
      <c r="D398" s="16"/>
      <c r="E398" s="16"/>
      <c r="F398" s="16"/>
      <c r="G398" s="16"/>
      <c r="H398" s="16"/>
      <c r="I398" s="16"/>
      <c r="J398" s="16"/>
      <c r="K398" s="16"/>
    </row>
    <row r="399" spans="1:11" ht="12.75">
      <c r="A399" s="16"/>
      <c r="B399" s="17"/>
      <c r="C399" s="2"/>
      <c r="D399" s="16"/>
      <c r="E399" s="16"/>
      <c r="F399" s="16"/>
      <c r="G399" s="16"/>
      <c r="H399" s="16"/>
      <c r="I399" s="16"/>
      <c r="J399" s="16"/>
      <c r="K399" s="16"/>
    </row>
    <row r="400" spans="1:11" ht="12.75">
      <c r="A400" s="16"/>
      <c r="B400" s="17"/>
      <c r="C400" s="2"/>
      <c r="D400" s="16"/>
      <c r="E400" s="16"/>
      <c r="F400" s="16"/>
      <c r="G400" s="16"/>
      <c r="H400" s="16"/>
      <c r="I400" s="16"/>
      <c r="J400" s="16"/>
      <c r="K400" s="16"/>
    </row>
    <row r="401" spans="1:11" ht="12.75">
      <c r="A401" s="16"/>
      <c r="B401" s="17"/>
      <c r="C401" s="2"/>
      <c r="D401" s="16"/>
      <c r="E401" s="16"/>
      <c r="F401" s="16"/>
      <c r="G401" s="16"/>
      <c r="H401" s="16"/>
      <c r="I401" s="16"/>
      <c r="J401" s="16"/>
      <c r="K401" s="16"/>
    </row>
    <row r="402" spans="1:11" ht="12.75">
      <c r="A402" s="16"/>
      <c r="B402" s="17"/>
      <c r="C402" s="2"/>
      <c r="D402" s="16"/>
      <c r="E402" s="16"/>
      <c r="F402" s="16"/>
      <c r="G402" s="16"/>
      <c r="H402" s="16"/>
      <c r="I402" s="16"/>
      <c r="J402" s="16"/>
      <c r="K402" s="16"/>
    </row>
    <row r="403" spans="1:11" ht="12.75">
      <c r="A403" s="16"/>
      <c r="B403" s="17"/>
      <c r="C403" s="2"/>
      <c r="D403" s="16"/>
      <c r="E403" s="16"/>
      <c r="F403" s="16"/>
      <c r="G403" s="16"/>
      <c r="H403" s="16"/>
      <c r="I403" s="16"/>
      <c r="J403" s="16"/>
      <c r="K403" s="16"/>
    </row>
    <row r="404" spans="1:11" ht="12.75">
      <c r="A404" s="16"/>
      <c r="B404" s="17"/>
      <c r="C404" s="2"/>
      <c r="D404" s="16"/>
      <c r="E404" s="16"/>
      <c r="F404" s="16"/>
      <c r="G404" s="16"/>
      <c r="H404" s="16"/>
      <c r="I404" s="16"/>
      <c r="J404" s="16"/>
      <c r="K404" s="16"/>
    </row>
    <row r="405" spans="1:11" ht="12.75">
      <c r="A405" s="16"/>
      <c r="B405" s="17"/>
      <c r="C405" s="2"/>
      <c r="D405" s="16"/>
      <c r="E405" s="16"/>
      <c r="F405" s="16"/>
      <c r="G405" s="16"/>
      <c r="H405" s="16"/>
      <c r="I405" s="16"/>
      <c r="J405" s="16"/>
      <c r="K405" s="16"/>
    </row>
    <row r="406" spans="1:11" ht="12.75">
      <c r="A406" s="16"/>
      <c r="B406" s="17"/>
      <c r="C406" s="2"/>
      <c r="D406" s="16"/>
      <c r="E406" s="16"/>
      <c r="F406" s="16"/>
      <c r="G406" s="16"/>
      <c r="H406" s="16"/>
      <c r="I406" s="16"/>
      <c r="J406" s="16"/>
      <c r="K406" s="16"/>
    </row>
    <row r="407" spans="1:11" ht="12.75">
      <c r="A407" s="16"/>
      <c r="B407" s="17"/>
      <c r="C407" s="2"/>
      <c r="D407" s="16"/>
      <c r="E407" s="16"/>
      <c r="F407" s="16"/>
      <c r="G407" s="16"/>
      <c r="H407" s="16"/>
      <c r="I407" s="16"/>
      <c r="J407" s="16"/>
      <c r="K407" s="16"/>
    </row>
    <row r="408" spans="1:11" ht="12.75">
      <c r="A408" s="16"/>
      <c r="B408" s="17"/>
      <c r="C408" s="2"/>
      <c r="D408" s="16"/>
      <c r="E408" s="16"/>
      <c r="F408" s="16"/>
      <c r="G408" s="16"/>
      <c r="H408" s="16"/>
      <c r="I408" s="16"/>
      <c r="J408" s="16"/>
      <c r="K408" s="16"/>
    </row>
    <row r="409" spans="1:11" ht="12.75">
      <c r="A409" s="16"/>
      <c r="B409" s="17"/>
      <c r="C409" s="2"/>
      <c r="D409" s="16"/>
      <c r="E409" s="16"/>
      <c r="F409" s="16"/>
      <c r="G409" s="16"/>
      <c r="H409" s="16"/>
      <c r="I409" s="16"/>
      <c r="J409" s="16"/>
      <c r="K409" s="16"/>
    </row>
    <row r="410" spans="1:11" ht="12.75">
      <c r="A410" s="16"/>
      <c r="B410" s="17"/>
      <c r="C410" s="2"/>
      <c r="D410" s="16"/>
      <c r="E410" s="16"/>
      <c r="F410" s="16"/>
      <c r="G410" s="16"/>
      <c r="H410" s="16"/>
      <c r="I410" s="16"/>
      <c r="J410" s="16"/>
      <c r="K410" s="16"/>
    </row>
    <row r="411" spans="1:11" ht="12.75">
      <c r="A411" s="16"/>
      <c r="B411" s="17"/>
      <c r="C411" s="2"/>
      <c r="D411" s="16"/>
      <c r="E411" s="16"/>
      <c r="F411" s="16"/>
      <c r="G411" s="16"/>
      <c r="H411" s="16"/>
      <c r="I411" s="16"/>
      <c r="J411" s="16"/>
      <c r="K411" s="16"/>
    </row>
    <row r="412" spans="1:11" ht="12.75">
      <c r="A412" s="16"/>
      <c r="B412" s="17"/>
      <c r="C412" s="2"/>
      <c r="D412" s="16"/>
      <c r="E412" s="16"/>
      <c r="F412" s="16"/>
      <c r="G412" s="16"/>
      <c r="H412" s="16"/>
      <c r="I412" s="16"/>
      <c r="J412" s="16"/>
      <c r="K412" s="16"/>
    </row>
    <row r="413" spans="1:11" ht="12.75">
      <c r="A413" s="16"/>
      <c r="B413" s="17"/>
      <c r="C413" s="2"/>
      <c r="D413" s="16"/>
      <c r="E413" s="16"/>
      <c r="F413" s="16"/>
      <c r="G413" s="16"/>
      <c r="H413" s="16"/>
      <c r="I413" s="16"/>
      <c r="J413" s="16"/>
      <c r="K413" s="16"/>
    </row>
    <row r="414" spans="1:11" ht="12.75">
      <c r="A414" s="16"/>
      <c r="B414" s="17"/>
      <c r="C414" s="2"/>
      <c r="D414" s="16"/>
      <c r="E414" s="16"/>
      <c r="F414" s="16"/>
      <c r="G414" s="16"/>
      <c r="H414" s="16"/>
      <c r="I414" s="16"/>
      <c r="J414" s="16"/>
      <c r="K414" s="16"/>
    </row>
    <row r="415" spans="1:11" ht="12.75">
      <c r="A415" s="16"/>
      <c r="B415" s="17"/>
      <c r="C415" s="2"/>
      <c r="D415" s="16"/>
      <c r="E415" s="16"/>
      <c r="F415" s="16"/>
      <c r="G415" s="16"/>
      <c r="H415" s="16"/>
      <c r="I415" s="16"/>
      <c r="J415" s="16"/>
      <c r="K415" s="16"/>
    </row>
    <row r="416" spans="1:11" ht="12.75">
      <c r="A416" s="16"/>
      <c r="B416" s="17"/>
      <c r="C416" s="2"/>
      <c r="D416" s="16"/>
      <c r="E416" s="16"/>
      <c r="F416" s="16"/>
      <c r="G416" s="16"/>
      <c r="H416" s="16"/>
      <c r="I416" s="16"/>
      <c r="J416" s="16"/>
      <c r="K416" s="16"/>
    </row>
    <row r="417" spans="1:11" ht="12.75">
      <c r="A417" s="16"/>
      <c r="B417" s="17"/>
      <c r="C417" s="2"/>
      <c r="D417" s="16"/>
      <c r="E417" s="16"/>
      <c r="F417" s="16"/>
      <c r="G417" s="16"/>
      <c r="H417" s="16"/>
      <c r="I417" s="16"/>
      <c r="J417" s="16"/>
      <c r="K417" s="16"/>
    </row>
    <row r="418" spans="1:11" ht="12.75">
      <c r="A418" s="16"/>
      <c r="B418" s="17"/>
      <c r="C418" s="2"/>
      <c r="D418" s="16"/>
      <c r="E418" s="16"/>
      <c r="F418" s="16"/>
      <c r="G418" s="16"/>
      <c r="H418" s="16"/>
      <c r="I418" s="16"/>
      <c r="J418" s="16"/>
      <c r="K418" s="16"/>
    </row>
    <row r="419" spans="1:11" ht="12.75">
      <c r="A419" s="16"/>
      <c r="B419" s="17"/>
      <c r="C419" s="2"/>
      <c r="D419" s="16"/>
      <c r="E419" s="16"/>
      <c r="F419" s="16"/>
      <c r="G419" s="16"/>
      <c r="H419" s="16"/>
      <c r="I419" s="16"/>
      <c r="J419" s="16"/>
      <c r="K419" s="16"/>
    </row>
    <row r="420" spans="1:11" ht="12.75">
      <c r="A420" s="16"/>
      <c r="B420" s="17"/>
      <c r="C420" s="2"/>
      <c r="D420" s="16"/>
      <c r="E420" s="16"/>
      <c r="F420" s="16"/>
      <c r="G420" s="16"/>
      <c r="H420" s="16"/>
      <c r="I420" s="16"/>
      <c r="J420" s="16"/>
      <c r="K420" s="16"/>
    </row>
    <row r="421" spans="1:11" ht="12.75">
      <c r="A421" s="16"/>
      <c r="B421" s="17"/>
      <c r="C421" s="2"/>
      <c r="D421" s="16"/>
      <c r="E421" s="16"/>
      <c r="F421" s="16"/>
      <c r="G421" s="16"/>
      <c r="H421" s="16"/>
      <c r="I421" s="16"/>
      <c r="J421" s="16"/>
      <c r="K421" s="16"/>
    </row>
    <row r="422" spans="1:11" ht="12.75">
      <c r="A422" s="16"/>
      <c r="B422" s="17"/>
      <c r="C422" s="2"/>
      <c r="D422" s="16"/>
      <c r="E422" s="16"/>
      <c r="F422" s="16"/>
      <c r="G422" s="16"/>
      <c r="H422" s="16"/>
      <c r="I422" s="16"/>
      <c r="J422" s="16"/>
      <c r="K422" s="16"/>
    </row>
    <row r="423" spans="1:11" ht="12.75">
      <c r="A423" s="16"/>
      <c r="B423" s="17"/>
      <c r="C423" s="2"/>
      <c r="D423" s="16"/>
      <c r="E423" s="16"/>
      <c r="F423" s="16"/>
      <c r="G423" s="16"/>
      <c r="H423" s="16"/>
      <c r="I423" s="16"/>
      <c r="J423" s="16"/>
      <c r="K423" s="16"/>
    </row>
    <row r="424" spans="1:11" ht="12.75">
      <c r="A424" s="16"/>
      <c r="B424" s="17"/>
      <c r="C424" s="2"/>
      <c r="D424" s="16"/>
      <c r="E424" s="16"/>
      <c r="F424" s="16"/>
      <c r="G424" s="16"/>
      <c r="H424" s="16"/>
      <c r="I424" s="16"/>
      <c r="J424" s="16"/>
      <c r="K424" s="16"/>
    </row>
    <row r="425" spans="1:11" ht="12.75">
      <c r="A425" s="16"/>
      <c r="B425" s="17"/>
      <c r="C425" s="2"/>
      <c r="D425" s="16"/>
      <c r="E425" s="16"/>
      <c r="F425" s="16"/>
      <c r="G425" s="16"/>
      <c r="H425" s="16"/>
      <c r="I425" s="16"/>
      <c r="J425" s="16"/>
      <c r="K425" s="16"/>
    </row>
    <row r="426" spans="1:11" ht="12.75">
      <c r="A426" s="16"/>
      <c r="B426" s="17"/>
      <c r="C426" s="2"/>
      <c r="D426" s="16"/>
      <c r="E426" s="16"/>
      <c r="F426" s="16"/>
      <c r="G426" s="16"/>
      <c r="H426" s="16"/>
      <c r="I426" s="16"/>
      <c r="J426" s="16"/>
      <c r="K426" s="16"/>
    </row>
    <row r="427" spans="1:11" ht="12.75">
      <c r="A427" s="16"/>
      <c r="B427" s="17"/>
      <c r="C427" s="2"/>
      <c r="D427" s="16"/>
      <c r="E427" s="16"/>
      <c r="F427" s="16"/>
      <c r="G427" s="16"/>
      <c r="H427" s="16"/>
      <c r="I427" s="16"/>
      <c r="J427" s="16"/>
      <c r="K427" s="16"/>
    </row>
    <row r="428" spans="1:11" ht="12.75">
      <c r="A428" s="16"/>
      <c r="B428" s="17"/>
      <c r="C428" s="2"/>
      <c r="D428" s="16"/>
      <c r="E428" s="16"/>
      <c r="F428" s="16"/>
      <c r="G428" s="16"/>
      <c r="H428" s="16"/>
      <c r="I428" s="16"/>
      <c r="J428" s="16"/>
      <c r="K428" s="16"/>
    </row>
    <row r="429" spans="1:11" ht="12.75">
      <c r="A429" s="16"/>
      <c r="B429" s="17"/>
      <c r="C429" s="2"/>
      <c r="D429" s="16"/>
      <c r="E429" s="16"/>
      <c r="F429" s="16"/>
      <c r="G429" s="16"/>
      <c r="H429" s="16"/>
      <c r="I429" s="16"/>
      <c r="J429" s="16"/>
      <c r="K429" s="16"/>
    </row>
    <row r="430" spans="1:11" ht="12.75">
      <c r="A430" s="16"/>
      <c r="B430" s="17"/>
      <c r="C430" s="2"/>
      <c r="D430" s="16"/>
      <c r="E430" s="16"/>
      <c r="F430" s="16"/>
      <c r="G430" s="16"/>
      <c r="H430" s="16"/>
      <c r="I430" s="16"/>
      <c r="J430" s="16"/>
      <c r="K430" s="16"/>
    </row>
    <row r="431" spans="1:11" ht="12.75">
      <c r="A431" s="16"/>
      <c r="B431" s="17"/>
      <c r="C431" s="2"/>
      <c r="D431" s="16"/>
      <c r="E431" s="16"/>
      <c r="F431" s="16"/>
      <c r="G431" s="16"/>
      <c r="H431" s="16"/>
      <c r="I431" s="16"/>
      <c r="J431" s="16"/>
      <c r="K431" s="16"/>
    </row>
    <row r="432" spans="1:11" ht="12.75">
      <c r="A432" s="16"/>
      <c r="B432" s="17"/>
      <c r="C432" s="2"/>
      <c r="D432" s="16"/>
      <c r="E432" s="16"/>
      <c r="F432" s="16"/>
      <c r="G432" s="16"/>
      <c r="H432" s="16"/>
      <c r="I432" s="16"/>
      <c r="J432" s="16"/>
      <c r="K432" s="16"/>
    </row>
    <row r="433" spans="1:11" ht="12.75">
      <c r="A433" s="16"/>
      <c r="B433" s="17"/>
      <c r="C433" s="2"/>
      <c r="D433" s="16"/>
      <c r="E433" s="16"/>
      <c r="F433" s="16"/>
      <c r="G433" s="16"/>
      <c r="H433" s="16"/>
      <c r="I433" s="16"/>
      <c r="J433" s="16"/>
      <c r="K433" s="16"/>
    </row>
    <row r="434" spans="1:11" ht="12.75">
      <c r="A434" s="16"/>
      <c r="B434" s="17"/>
      <c r="C434" s="2"/>
      <c r="D434" s="16"/>
      <c r="E434" s="16"/>
      <c r="F434" s="16"/>
      <c r="G434" s="16"/>
      <c r="H434" s="16"/>
      <c r="I434" s="16"/>
      <c r="J434" s="16"/>
      <c r="K434" s="16"/>
    </row>
    <row r="435" spans="1:11" ht="12.75">
      <c r="A435" s="16"/>
      <c r="B435" s="17"/>
      <c r="C435" s="2"/>
      <c r="D435" s="16"/>
      <c r="E435" s="16"/>
      <c r="F435" s="16"/>
      <c r="G435" s="16"/>
      <c r="H435" s="16"/>
      <c r="I435" s="16"/>
      <c r="J435" s="16"/>
      <c r="K435" s="16"/>
    </row>
    <row r="436" spans="1:11" ht="12.75">
      <c r="A436" s="16"/>
      <c r="B436" s="17"/>
      <c r="C436" s="2"/>
      <c r="D436" s="16"/>
      <c r="E436" s="16"/>
      <c r="F436" s="16"/>
      <c r="G436" s="16"/>
      <c r="H436" s="16"/>
      <c r="I436" s="16"/>
      <c r="J436" s="16"/>
      <c r="K436" s="16"/>
    </row>
    <row r="437" spans="1:11" ht="12.75">
      <c r="A437" s="16"/>
      <c r="B437" s="17"/>
      <c r="C437" s="2"/>
      <c r="D437" s="16"/>
      <c r="E437" s="16"/>
      <c r="F437" s="16"/>
      <c r="G437" s="16"/>
      <c r="H437" s="16"/>
      <c r="I437" s="16"/>
      <c r="J437" s="16"/>
      <c r="K437" s="16"/>
    </row>
    <row r="438" spans="1:11" ht="12.75">
      <c r="A438" s="16"/>
      <c r="B438" s="17"/>
      <c r="C438" s="2"/>
      <c r="D438" s="16"/>
      <c r="E438" s="16"/>
      <c r="F438" s="16"/>
      <c r="G438" s="16"/>
      <c r="H438" s="16"/>
      <c r="I438" s="16"/>
      <c r="J438" s="16"/>
      <c r="K438" s="16"/>
    </row>
    <row r="439" spans="1:11" ht="12.75">
      <c r="A439" s="16"/>
      <c r="B439" s="17"/>
      <c r="C439" s="2"/>
      <c r="D439" s="16"/>
      <c r="E439" s="16"/>
      <c r="F439" s="16"/>
      <c r="G439" s="16"/>
      <c r="H439" s="16"/>
      <c r="I439" s="16"/>
      <c r="J439" s="16"/>
      <c r="K439" s="16"/>
    </row>
    <row r="440" spans="1:11" ht="12.75">
      <c r="A440" s="16"/>
      <c r="B440" s="17"/>
      <c r="C440" s="2"/>
      <c r="D440" s="16"/>
      <c r="E440" s="16"/>
      <c r="F440" s="16"/>
      <c r="G440" s="16"/>
      <c r="H440" s="16"/>
      <c r="I440" s="16"/>
      <c r="J440" s="16"/>
      <c r="K440" s="16"/>
    </row>
    <row r="441" spans="1:11" ht="12.75">
      <c r="A441" s="16"/>
      <c r="B441" s="17"/>
      <c r="C441" s="2"/>
      <c r="D441" s="16"/>
      <c r="E441" s="16"/>
      <c r="F441" s="16"/>
      <c r="G441" s="16"/>
      <c r="H441" s="16"/>
      <c r="I441" s="16"/>
      <c r="J441" s="16"/>
      <c r="K441" s="16"/>
    </row>
    <row r="442" spans="1:11" ht="12.75">
      <c r="A442" s="16"/>
      <c r="B442" s="17"/>
      <c r="C442" s="2"/>
      <c r="D442" s="16"/>
      <c r="E442" s="16"/>
      <c r="F442" s="16"/>
      <c r="G442" s="16"/>
      <c r="H442" s="16"/>
      <c r="I442" s="16"/>
      <c r="J442" s="16"/>
      <c r="K442" s="16"/>
    </row>
    <row r="443" spans="1:11" ht="12.75">
      <c r="A443" s="16"/>
      <c r="B443" s="17"/>
      <c r="C443" s="2"/>
      <c r="D443" s="16"/>
      <c r="E443" s="16"/>
      <c r="F443" s="16"/>
      <c r="G443" s="16"/>
      <c r="H443" s="16"/>
      <c r="I443" s="16"/>
      <c r="J443" s="16"/>
      <c r="K443" s="16"/>
    </row>
    <row r="444" spans="1:11" ht="12.75">
      <c r="A444" s="16"/>
      <c r="B444" s="17"/>
      <c r="C444" s="2"/>
      <c r="D444" s="16"/>
      <c r="E444" s="16"/>
      <c r="F444" s="16"/>
      <c r="G444" s="16"/>
      <c r="H444" s="16"/>
      <c r="I444" s="16"/>
      <c r="J444" s="16"/>
      <c r="K444" s="16"/>
    </row>
    <row r="445" spans="1:11" ht="12.75">
      <c r="A445" s="16"/>
      <c r="B445" s="17"/>
      <c r="C445" s="2"/>
      <c r="D445" s="16"/>
      <c r="E445" s="16"/>
      <c r="F445" s="16"/>
      <c r="G445" s="16"/>
      <c r="H445" s="16"/>
      <c r="I445" s="16"/>
      <c r="J445" s="16"/>
      <c r="K445" s="16"/>
    </row>
    <row r="446" spans="1:11" ht="12.75">
      <c r="A446" s="16"/>
      <c r="B446" s="17"/>
      <c r="C446" s="2"/>
      <c r="D446" s="16"/>
      <c r="E446" s="16"/>
      <c r="F446" s="16"/>
      <c r="G446" s="16"/>
      <c r="H446" s="16"/>
      <c r="I446" s="16"/>
      <c r="J446" s="16"/>
      <c r="K446" s="16"/>
    </row>
    <row r="447" spans="1:11" ht="12.75">
      <c r="A447" s="16"/>
      <c r="B447" s="17"/>
      <c r="C447" s="2"/>
      <c r="D447" s="16"/>
      <c r="E447" s="16"/>
      <c r="F447" s="16"/>
      <c r="G447" s="16"/>
      <c r="H447" s="16"/>
      <c r="I447" s="16"/>
      <c r="J447" s="16"/>
      <c r="K447" s="16"/>
    </row>
    <row r="448" spans="1:11" ht="12.75">
      <c r="A448" s="16"/>
      <c r="B448" s="17"/>
      <c r="C448" s="2"/>
      <c r="D448" s="16"/>
      <c r="E448" s="16"/>
      <c r="F448" s="16"/>
      <c r="G448" s="16"/>
      <c r="H448" s="16"/>
      <c r="I448" s="16"/>
      <c r="J448" s="16"/>
      <c r="K448" s="16"/>
    </row>
    <row r="449" spans="1:11" ht="12.75">
      <c r="A449" s="16"/>
      <c r="B449" s="17"/>
      <c r="C449" s="2"/>
      <c r="D449" s="16"/>
      <c r="E449" s="16"/>
      <c r="F449" s="16"/>
      <c r="G449" s="16"/>
      <c r="H449" s="16"/>
      <c r="I449" s="16"/>
      <c r="J449" s="16"/>
      <c r="K449" s="16"/>
    </row>
    <row r="450" spans="1:11" ht="12.75">
      <c r="A450" s="16"/>
      <c r="B450" s="17"/>
      <c r="C450" s="2"/>
      <c r="D450" s="16"/>
      <c r="E450" s="16"/>
      <c r="F450" s="16"/>
      <c r="G450" s="16"/>
      <c r="H450" s="16"/>
      <c r="I450" s="16"/>
      <c r="J450" s="16"/>
      <c r="K450" s="16"/>
    </row>
    <row r="451" spans="1:11" ht="12.75">
      <c r="A451" s="16"/>
      <c r="B451" s="17"/>
      <c r="C451" s="2"/>
      <c r="D451" s="16"/>
      <c r="E451" s="16"/>
      <c r="F451" s="16"/>
      <c r="G451" s="16"/>
      <c r="H451" s="16"/>
      <c r="I451" s="16"/>
      <c r="J451" s="16"/>
      <c r="K451" s="16"/>
    </row>
    <row r="452" spans="1:11" ht="12.75">
      <c r="A452" s="16"/>
      <c r="B452" s="17"/>
      <c r="C452" s="2"/>
      <c r="D452" s="16"/>
      <c r="E452" s="16"/>
      <c r="F452" s="16"/>
      <c r="G452" s="16"/>
      <c r="H452" s="16"/>
      <c r="I452" s="16"/>
      <c r="J452" s="16"/>
      <c r="K452" s="16"/>
    </row>
    <row r="453" spans="1:11" ht="12.75">
      <c r="A453" s="16"/>
      <c r="B453" s="17"/>
      <c r="C453" s="2"/>
      <c r="D453" s="16"/>
      <c r="E453" s="16"/>
      <c r="F453" s="16"/>
      <c r="G453" s="16"/>
      <c r="H453" s="16"/>
      <c r="I453" s="16"/>
      <c r="J453" s="16"/>
      <c r="K453" s="16"/>
    </row>
    <row r="454" spans="1:11" ht="12.75">
      <c r="A454" s="16"/>
      <c r="B454" s="17"/>
      <c r="C454" s="2"/>
      <c r="D454" s="16"/>
      <c r="E454" s="16"/>
      <c r="F454" s="16"/>
      <c r="G454" s="16"/>
      <c r="H454" s="16"/>
      <c r="I454" s="16"/>
      <c r="J454" s="16"/>
      <c r="K454" s="16"/>
    </row>
    <row r="455" spans="1:11" ht="12.75">
      <c r="A455" s="16"/>
      <c r="B455" s="17"/>
      <c r="C455" s="2"/>
      <c r="D455" s="16"/>
      <c r="E455" s="16"/>
      <c r="F455" s="16"/>
      <c r="G455" s="16"/>
      <c r="H455" s="16"/>
      <c r="I455" s="16"/>
      <c r="J455" s="16"/>
      <c r="K455" s="16"/>
    </row>
    <row r="456" spans="1:11" ht="12.75">
      <c r="A456" s="16"/>
      <c r="B456" s="17"/>
      <c r="C456" s="2"/>
      <c r="D456" s="16"/>
      <c r="E456" s="16"/>
      <c r="F456" s="16"/>
      <c r="G456" s="16"/>
      <c r="H456" s="16"/>
      <c r="I456" s="16"/>
      <c r="J456" s="16"/>
      <c r="K456" s="16"/>
    </row>
    <row r="457" spans="1:11" ht="12.75">
      <c r="A457" s="16"/>
      <c r="B457" s="17"/>
      <c r="C457" s="2"/>
      <c r="D457" s="16"/>
      <c r="E457" s="16"/>
      <c r="F457" s="16"/>
      <c r="G457" s="16"/>
      <c r="H457" s="16"/>
      <c r="I457" s="16"/>
      <c r="J457" s="16"/>
      <c r="K457" s="16"/>
    </row>
    <row r="458" spans="1:11" ht="12.75">
      <c r="A458" s="16"/>
      <c r="B458" s="17"/>
      <c r="C458" s="2"/>
      <c r="D458" s="16"/>
      <c r="E458" s="16"/>
      <c r="F458" s="16"/>
      <c r="G458" s="16"/>
      <c r="H458" s="16"/>
      <c r="I458" s="16"/>
      <c r="J458" s="16"/>
      <c r="K458" s="16"/>
    </row>
    <row r="459" spans="1:11" ht="12.75">
      <c r="A459" s="16"/>
      <c r="B459" s="17"/>
      <c r="C459" s="2"/>
      <c r="D459" s="16"/>
      <c r="E459" s="16"/>
      <c r="F459" s="16"/>
      <c r="G459" s="16"/>
      <c r="H459" s="16"/>
      <c r="I459" s="16"/>
      <c r="J459" s="16"/>
      <c r="K459" s="16"/>
    </row>
    <row r="460" spans="1:11" ht="12.75">
      <c r="A460" s="16"/>
      <c r="B460" s="17"/>
      <c r="C460" s="2"/>
      <c r="D460" s="16"/>
      <c r="E460" s="16"/>
      <c r="F460" s="16"/>
      <c r="G460" s="16"/>
      <c r="H460" s="16"/>
      <c r="I460" s="16"/>
      <c r="J460" s="16"/>
      <c r="K460" s="16"/>
    </row>
    <row r="461" spans="1:11" ht="12.75">
      <c r="A461" s="16"/>
      <c r="B461" s="17"/>
      <c r="C461" s="2"/>
      <c r="D461" s="16"/>
      <c r="E461" s="16"/>
      <c r="F461" s="16"/>
      <c r="G461" s="16"/>
      <c r="H461" s="16"/>
      <c r="I461" s="16"/>
      <c r="J461" s="16"/>
      <c r="K461" s="16"/>
    </row>
    <row r="462" spans="1:11" ht="12.75">
      <c r="A462" s="16"/>
      <c r="B462" s="17"/>
      <c r="C462" s="2"/>
      <c r="D462" s="16"/>
      <c r="E462" s="16"/>
      <c r="F462" s="16"/>
      <c r="G462" s="16"/>
      <c r="H462" s="16"/>
      <c r="I462" s="16"/>
      <c r="J462" s="16"/>
      <c r="K462" s="16"/>
    </row>
    <row r="463" spans="1:11" ht="12.75">
      <c r="A463" s="16"/>
      <c r="B463" s="17"/>
      <c r="C463" s="2"/>
      <c r="D463" s="16"/>
      <c r="E463" s="16"/>
      <c r="F463" s="16"/>
      <c r="G463" s="16"/>
      <c r="H463" s="16"/>
      <c r="I463" s="16"/>
      <c r="J463" s="16"/>
      <c r="K463" s="16"/>
    </row>
    <row r="464" spans="1:11" ht="12.75">
      <c r="A464" s="16"/>
      <c r="B464" s="17"/>
      <c r="C464" s="2"/>
      <c r="D464" s="16"/>
      <c r="E464" s="16"/>
      <c r="F464" s="16"/>
      <c r="G464" s="16"/>
      <c r="H464" s="16"/>
      <c r="I464" s="16"/>
      <c r="J464" s="16"/>
      <c r="K464" s="16"/>
    </row>
    <row r="465" spans="1:11" ht="12.75">
      <c r="A465" s="16"/>
      <c r="B465" s="17"/>
      <c r="C465" s="2"/>
      <c r="D465" s="16"/>
      <c r="E465" s="16"/>
      <c r="F465" s="16"/>
      <c r="G465" s="16"/>
      <c r="H465" s="16"/>
      <c r="I465" s="16"/>
      <c r="J465" s="16"/>
      <c r="K465" s="16"/>
    </row>
    <row r="466" spans="1:11" ht="12.75">
      <c r="A466" s="16"/>
      <c r="B466" s="17"/>
      <c r="C466" s="2"/>
      <c r="D466" s="16"/>
      <c r="E466" s="16"/>
      <c r="F466" s="16"/>
      <c r="G466" s="16"/>
      <c r="H466" s="16"/>
      <c r="I466" s="16"/>
      <c r="J466" s="16"/>
      <c r="K466" s="16"/>
    </row>
    <row r="467" spans="1:11" ht="12.75">
      <c r="A467" s="16"/>
      <c r="B467" s="17"/>
      <c r="C467" s="2"/>
      <c r="D467" s="16"/>
      <c r="E467" s="16"/>
      <c r="F467" s="16"/>
      <c r="G467" s="16"/>
      <c r="H467" s="16"/>
      <c r="I467" s="16"/>
      <c r="J467" s="16"/>
      <c r="K467" s="16"/>
    </row>
    <row r="468" spans="1:11" ht="12.75">
      <c r="A468" s="16"/>
      <c r="B468" s="17"/>
      <c r="C468" s="2"/>
      <c r="D468" s="16"/>
      <c r="E468" s="16"/>
      <c r="F468" s="16"/>
      <c r="G468" s="16"/>
      <c r="H468" s="16"/>
      <c r="I468" s="16"/>
      <c r="J468" s="16"/>
      <c r="K468" s="16"/>
    </row>
    <row r="469" spans="1:11" ht="12.75">
      <c r="A469" s="16"/>
      <c r="B469" s="17"/>
      <c r="C469" s="2"/>
      <c r="D469" s="16"/>
      <c r="E469" s="16"/>
      <c r="F469" s="16"/>
      <c r="G469" s="16"/>
      <c r="H469" s="16"/>
      <c r="I469" s="16"/>
      <c r="J469" s="16"/>
      <c r="K469" s="16"/>
    </row>
    <row r="470" spans="1:11" ht="12.75">
      <c r="A470" s="16"/>
      <c r="B470" s="17"/>
      <c r="C470" s="2"/>
      <c r="D470" s="16"/>
      <c r="E470" s="16"/>
      <c r="F470" s="16"/>
      <c r="G470" s="16"/>
      <c r="H470" s="16"/>
      <c r="I470" s="16"/>
      <c r="J470" s="16"/>
      <c r="K470" s="16"/>
    </row>
    <row r="471" spans="1:11" ht="12.75">
      <c r="A471" s="16"/>
      <c r="B471" s="17"/>
      <c r="C471" s="2"/>
      <c r="D471" s="16"/>
      <c r="E471" s="16"/>
      <c r="F471" s="16"/>
      <c r="G471" s="16"/>
      <c r="H471" s="16"/>
      <c r="I471" s="16"/>
      <c r="J471" s="16"/>
      <c r="K471" s="16"/>
    </row>
    <row r="472" spans="1:11" ht="12.75">
      <c r="A472" s="16"/>
      <c r="B472" s="17"/>
      <c r="C472" s="2"/>
      <c r="D472" s="16"/>
      <c r="E472" s="16"/>
      <c r="F472" s="16"/>
      <c r="G472" s="16"/>
      <c r="H472" s="16"/>
      <c r="I472" s="16"/>
      <c r="J472" s="16"/>
      <c r="K472" s="16"/>
    </row>
    <row r="473" spans="1:11" ht="12.75">
      <c r="A473" s="16"/>
      <c r="B473" s="17"/>
      <c r="C473" s="2"/>
      <c r="D473" s="16"/>
      <c r="E473" s="16"/>
      <c r="F473" s="16"/>
      <c r="G473" s="16"/>
      <c r="H473" s="16"/>
      <c r="I473" s="16"/>
      <c r="J473" s="16"/>
      <c r="K473" s="16"/>
    </row>
    <row r="474" spans="1:11" ht="12.75">
      <c r="A474" s="16"/>
      <c r="B474" s="17"/>
      <c r="C474" s="2"/>
      <c r="D474" s="16"/>
      <c r="E474" s="16"/>
      <c r="F474" s="16"/>
      <c r="G474" s="16"/>
      <c r="H474" s="16"/>
      <c r="I474" s="16"/>
      <c r="J474" s="16"/>
      <c r="K474" s="16"/>
    </row>
    <row r="475" spans="1:11" ht="12.75">
      <c r="A475" s="16"/>
      <c r="B475" s="17"/>
      <c r="C475" s="2"/>
      <c r="D475" s="16"/>
      <c r="E475" s="16"/>
      <c r="F475" s="16"/>
      <c r="G475" s="16"/>
      <c r="H475" s="16"/>
      <c r="I475" s="16"/>
      <c r="J475" s="16"/>
      <c r="K475" s="16"/>
    </row>
    <row r="476" spans="1:11" ht="12.75">
      <c r="A476" s="16"/>
      <c r="B476" s="17"/>
      <c r="C476" s="2"/>
      <c r="D476" s="16"/>
      <c r="E476" s="16"/>
      <c r="F476" s="16"/>
      <c r="G476" s="16"/>
      <c r="H476" s="16"/>
      <c r="I476" s="16"/>
      <c r="J476" s="16"/>
      <c r="K476" s="16"/>
    </row>
    <row r="477" spans="1:11" ht="12.75">
      <c r="A477" s="16"/>
      <c r="B477" s="17"/>
      <c r="C477" s="2"/>
      <c r="D477" s="16"/>
      <c r="E477" s="16"/>
      <c r="F477" s="16"/>
      <c r="G477" s="16"/>
      <c r="H477" s="16"/>
      <c r="I477" s="16"/>
      <c r="J477" s="16"/>
      <c r="K477" s="16"/>
    </row>
    <row r="478" spans="1:11" ht="12.75">
      <c r="A478" s="16"/>
      <c r="B478" s="17"/>
      <c r="C478" s="2"/>
      <c r="D478" s="16"/>
      <c r="E478" s="16"/>
      <c r="F478" s="16"/>
      <c r="G478" s="16"/>
      <c r="H478" s="16"/>
      <c r="I478" s="16"/>
      <c r="J478" s="16"/>
      <c r="K478" s="16"/>
    </row>
    <row r="479" spans="1:11" ht="12.75">
      <c r="A479" s="16"/>
      <c r="B479" s="17"/>
      <c r="C479" s="2"/>
      <c r="D479" s="16"/>
      <c r="E479" s="16"/>
      <c r="F479" s="16"/>
      <c r="G479" s="16"/>
      <c r="H479" s="16"/>
      <c r="I479" s="16"/>
      <c r="J479" s="16"/>
      <c r="K479" s="16"/>
    </row>
    <row r="480" spans="1:11" ht="12.75">
      <c r="A480" s="16"/>
      <c r="B480" s="17"/>
      <c r="C480" s="2"/>
      <c r="D480" s="16"/>
      <c r="E480" s="16"/>
      <c r="F480" s="16"/>
      <c r="G480" s="16"/>
      <c r="H480" s="16"/>
      <c r="I480" s="16"/>
      <c r="J480" s="16"/>
      <c r="K480" s="16"/>
    </row>
    <row r="481" spans="1:11" ht="12.75">
      <c r="A481" s="16"/>
      <c r="B481" s="17"/>
      <c r="C481" s="2"/>
      <c r="D481" s="16"/>
      <c r="E481" s="16"/>
      <c r="F481" s="16"/>
      <c r="G481" s="16"/>
      <c r="H481" s="16"/>
      <c r="I481" s="16"/>
      <c r="J481" s="16"/>
      <c r="K481" s="16"/>
    </row>
    <row r="482" spans="1:11" ht="12.75">
      <c r="A482" s="16"/>
      <c r="B482" s="17"/>
      <c r="C482" s="2"/>
      <c r="D482" s="16"/>
      <c r="E482" s="16"/>
      <c r="F482" s="16"/>
      <c r="G482" s="16"/>
      <c r="H482" s="16"/>
      <c r="I482" s="16"/>
      <c r="J482" s="16"/>
      <c r="K482" s="16"/>
    </row>
    <row r="483" spans="1:11" ht="12.75">
      <c r="A483" s="16"/>
      <c r="B483" s="17"/>
      <c r="C483" s="2"/>
      <c r="D483" s="16"/>
      <c r="E483" s="16"/>
      <c r="F483" s="16"/>
      <c r="G483" s="16"/>
      <c r="H483" s="16"/>
      <c r="I483" s="16"/>
      <c r="J483" s="16"/>
      <c r="K483" s="16"/>
    </row>
    <row r="484" spans="1:11" ht="12.75">
      <c r="A484" s="16"/>
      <c r="B484" s="17"/>
      <c r="C484" s="2"/>
      <c r="D484" s="16"/>
      <c r="E484" s="16"/>
      <c r="F484" s="16"/>
      <c r="G484" s="16"/>
      <c r="H484" s="16"/>
      <c r="I484" s="16"/>
      <c r="J484" s="16"/>
      <c r="K484" s="16"/>
    </row>
    <row r="485" spans="1:11" ht="12.75">
      <c r="A485" s="16"/>
      <c r="B485" s="17"/>
      <c r="C485" s="2"/>
      <c r="D485" s="16"/>
      <c r="E485" s="16"/>
      <c r="F485" s="16"/>
      <c r="G485" s="16"/>
      <c r="H485" s="16"/>
      <c r="I485" s="16"/>
      <c r="J485" s="16"/>
      <c r="K485" s="16"/>
    </row>
    <row r="486" spans="1:11" ht="12.75">
      <c r="A486" s="16"/>
      <c r="B486" s="17"/>
      <c r="C486" s="2"/>
      <c r="D486" s="16"/>
      <c r="E486" s="16"/>
      <c r="F486" s="16"/>
      <c r="G486" s="16"/>
      <c r="H486" s="16"/>
      <c r="I486" s="16"/>
      <c r="J486" s="16"/>
      <c r="K486" s="16"/>
    </row>
    <row r="487" spans="1:11" ht="12.75">
      <c r="A487" s="16"/>
      <c r="B487" s="17"/>
      <c r="C487" s="2"/>
      <c r="D487" s="16"/>
      <c r="E487" s="16"/>
      <c r="F487" s="16"/>
      <c r="G487" s="16"/>
      <c r="H487" s="16"/>
      <c r="I487" s="16"/>
      <c r="J487" s="16"/>
      <c r="K487" s="16"/>
    </row>
    <row r="488" spans="1:11" ht="12.75">
      <c r="A488" s="16"/>
      <c r="B488" s="17"/>
      <c r="C488" s="2"/>
      <c r="D488" s="16"/>
      <c r="E488" s="16"/>
      <c r="F488" s="16"/>
      <c r="G488" s="16"/>
      <c r="H488" s="16"/>
      <c r="I488" s="16"/>
      <c r="J488" s="16"/>
      <c r="K488" s="16"/>
    </row>
    <row r="489" spans="1:11" ht="12.75">
      <c r="A489" s="16"/>
      <c r="B489" s="17"/>
      <c r="C489" s="2"/>
      <c r="D489" s="16"/>
      <c r="E489" s="16"/>
      <c r="F489" s="16"/>
      <c r="G489" s="16"/>
      <c r="H489" s="16"/>
      <c r="I489" s="16"/>
      <c r="J489" s="16"/>
      <c r="K489" s="16"/>
    </row>
    <row r="490" spans="1:11" ht="12.75">
      <c r="A490" s="16"/>
      <c r="B490" s="17"/>
      <c r="C490" s="2"/>
      <c r="D490" s="16"/>
      <c r="E490" s="16"/>
      <c r="F490" s="16"/>
      <c r="G490" s="16"/>
      <c r="H490" s="16"/>
      <c r="I490" s="16"/>
      <c r="J490" s="16"/>
      <c r="K490" s="16"/>
    </row>
    <row r="491" spans="1:11" ht="12.75">
      <c r="A491" s="16"/>
      <c r="B491" s="17"/>
      <c r="C491" s="2"/>
      <c r="D491" s="16"/>
      <c r="E491" s="16"/>
      <c r="F491" s="16"/>
      <c r="G491" s="16"/>
      <c r="H491" s="16"/>
      <c r="I491" s="16"/>
      <c r="J491" s="16"/>
      <c r="K491" s="16"/>
    </row>
    <row r="492" spans="1:11" ht="12.75">
      <c r="A492" s="16"/>
      <c r="B492" s="17"/>
      <c r="C492" s="2"/>
      <c r="D492" s="16"/>
      <c r="E492" s="16"/>
      <c r="F492" s="16"/>
      <c r="G492" s="16"/>
      <c r="H492" s="16"/>
      <c r="I492" s="16"/>
      <c r="J492" s="16"/>
      <c r="K492" s="16"/>
    </row>
    <row r="493" spans="1:11" ht="12.75">
      <c r="A493" s="16"/>
      <c r="B493" s="17"/>
      <c r="C493" s="2"/>
      <c r="D493" s="16"/>
      <c r="E493" s="16"/>
      <c r="F493" s="16"/>
      <c r="G493" s="16"/>
      <c r="H493" s="16"/>
      <c r="I493" s="16"/>
      <c r="J493" s="16"/>
      <c r="K493" s="16"/>
    </row>
    <row r="494" spans="1:11" ht="12.75">
      <c r="A494" s="16"/>
      <c r="B494" s="17"/>
      <c r="C494" s="2"/>
      <c r="D494" s="16"/>
      <c r="E494" s="16"/>
      <c r="F494" s="16"/>
      <c r="G494" s="16"/>
      <c r="H494" s="16"/>
      <c r="I494" s="16"/>
      <c r="J494" s="16"/>
      <c r="K494" s="16"/>
    </row>
    <row r="495" spans="1:11" ht="12.75">
      <c r="A495" s="16"/>
      <c r="B495" s="17"/>
      <c r="C495" s="2"/>
      <c r="D495" s="16"/>
      <c r="E495" s="16"/>
      <c r="F495" s="16"/>
      <c r="G495" s="16"/>
      <c r="H495" s="16"/>
      <c r="I495" s="16"/>
      <c r="J495" s="16"/>
      <c r="K495" s="16"/>
    </row>
    <row r="496" spans="1:11" ht="12.75">
      <c r="A496" s="16"/>
      <c r="B496" s="17"/>
      <c r="C496" s="2"/>
      <c r="D496" s="16"/>
      <c r="E496" s="16"/>
      <c r="F496" s="16"/>
      <c r="G496" s="16"/>
      <c r="H496" s="16"/>
      <c r="I496" s="16"/>
      <c r="J496" s="16"/>
      <c r="K496" s="16"/>
    </row>
    <row r="497" spans="1:11" ht="12.75">
      <c r="A497" s="16"/>
      <c r="B497" s="17"/>
      <c r="C497" s="2"/>
      <c r="D497" s="16"/>
      <c r="E497" s="16"/>
      <c r="F497" s="16"/>
      <c r="G497" s="16"/>
      <c r="H497" s="16"/>
      <c r="I497" s="16"/>
      <c r="J497" s="16"/>
      <c r="K497" s="16"/>
    </row>
    <row r="498" spans="1:11" ht="12.75">
      <c r="A498" s="16"/>
      <c r="B498" s="17"/>
      <c r="C498" s="2"/>
      <c r="D498" s="16"/>
      <c r="E498" s="16"/>
      <c r="F498" s="16"/>
      <c r="G498" s="16"/>
      <c r="H498" s="16"/>
      <c r="I498" s="16"/>
      <c r="J498" s="16"/>
      <c r="K498" s="16"/>
    </row>
    <row r="499" spans="1:11" ht="12.75">
      <c r="A499" s="16"/>
      <c r="B499" s="17"/>
      <c r="C499" s="2"/>
      <c r="D499" s="16"/>
      <c r="E499" s="16"/>
      <c r="F499" s="16"/>
      <c r="G499" s="16"/>
      <c r="H499" s="16"/>
      <c r="I499" s="16"/>
      <c r="J499" s="16"/>
      <c r="K499" s="16"/>
    </row>
    <row r="500" spans="1:11" ht="12.75">
      <c r="A500" s="16"/>
      <c r="B500" s="17"/>
      <c r="C500" s="2"/>
      <c r="D500" s="16"/>
      <c r="E500" s="16"/>
      <c r="F500" s="16"/>
      <c r="G500" s="16"/>
      <c r="H500" s="16"/>
      <c r="I500" s="16"/>
      <c r="J500" s="16"/>
      <c r="K500" s="16"/>
    </row>
    <row r="501" spans="1:11" ht="12.75">
      <c r="A501" s="16"/>
      <c r="B501" s="17"/>
      <c r="C501" s="2"/>
      <c r="D501" s="16"/>
      <c r="E501" s="16"/>
      <c r="F501" s="16"/>
      <c r="G501" s="16"/>
      <c r="H501" s="16"/>
      <c r="I501" s="16"/>
      <c r="J501" s="16"/>
      <c r="K501" s="16"/>
    </row>
    <row r="502" spans="1:11" ht="12.75">
      <c r="A502" s="16"/>
      <c r="B502" s="17"/>
      <c r="C502" s="2"/>
      <c r="D502" s="16"/>
      <c r="E502" s="16"/>
      <c r="F502" s="16"/>
      <c r="G502" s="16"/>
      <c r="H502" s="16"/>
      <c r="I502" s="16"/>
      <c r="J502" s="16"/>
      <c r="K502" s="16"/>
    </row>
    <row r="503" spans="1:11" ht="12.75">
      <c r="A503" s="16"/>
      <c r="B503" s="17"/>
      <c r="C503" s="2"/>
      <c r="D503" s="16"/>
      <c r="E503" s="16"/>
      <c r="F503" s="16"/>
      <c r="G503" s="16"/>
      <c r="H503" s="16"/>
      <c r="I503" s="16"/>
      <c r="J503" s="16"/>
      <c r="K503" s="16"/>
    </row>
    <row r="504" spans="1:11" ht="12.75">
      <c r="A504" s="16"/>
      <c r="B504" s="17"/>
      <c r="C504" s="2"/>
      <c r="D504" s="16"/>
      <c r="E504" s="16"/>
      <c r="F504" s="16"/>
      <c r="G504" s="16"/>
      <c r="H504" s="16"/>
      <c r="I504" s="16"/>
      <c r="J504" s="16"/>
      <c r="K504" s="16"/>
    </row>
    <row r="505" spans="1:11" ht="12.75">
      <c r="A505" s="16"/>
      <c r="B505" s="17"/>
      <c r="C505" s="2"/>
      <c r="D505" s="16"/>
      <c r="E505" s="16"/>
      <c r="F505" s="16"/>
      <c r="G505" s="16"/>
      <c r="H505" s="16"/>
      <c r="I505" s="16"/>
      <c r="J505" s="16"/>
      <c r="K505" s="16"/>
    </row>
    <row r="506" spans="1:11" ht="12.75">
      <c r="A506" s="16"/>
      <c r="B506" s="17"/>
      <c r="C506" s="2"/>
      <c r="D506" s="16"/>
      <c r="E506" s="16"/>
      <c r="F506" s="16"/>
      <c r="G506" s="16"/>
      <c r="H506" s="16"/>
      <c r="I506" s="16"/>
      <c r="J506" s="16"/>
      <c r="K506" s="16"/>
    </row>
    <row r="507" spans="1:11" ht="12.75">
      <c r="A507" s="16"/>
      <c r="B507" s="17"/>
      <c r="C507" s="2"/>
      <c r="D507" s="16"/>
      <c r="E507" s="16"/>
      <c r="F507" s="16"/>
      <c r="G507" s="16"/>
      <c r="H507" s="16"/>
      <c r="I507" s="16"/>
      <c r="J507" s="16"/>
      <c r="K507" s="16"/>
    </row>
    <row r="508" spans="1:11" ht="12.75">
      <c r="A508" s="16"/>
      <c r="B508" s="17"/>
      <c r="C508" s="2"/>
      <c r="D508" s="16"/>
      <c r="E508" s="16"/>
      <c r="F508" s="16"/>
      <c r="G508" s="16"/>
      <c r="H508" s="16"/>
      <c r="I508" s="16"/>
      <c r="J508" s="16"/>
      <c r="K508" s="16"/>
    </row>
    <row r="509" spans="1:11" ht="12.75">
      <c r="A509" s="16"/>
      <c r="B509" s="17"/>
      <c r="C509" s="2"/>
      <c r="D509" s="16"/>
      <c r="E509" s="16"/>
      <c r="F509" s="16"/>
      <c r="G509" s="16"/>
      <c r="H509" s="16"/>
      <c r="I509" s="16"/>
      <c r="J509" s="16"/>
      <c r="K509" s="16"/>
    </row>
    <row r="510" spans="1:11" ht="12.75">
      <c r="A510" s="16"/>
      <c r="B510" s="17"/>
      <c r="C510" s="2"/>
      <c r="D510" s="16"/>
      <c r="E510" s="16"/>
      <c r="F510" s="16"/>
      <c r="G510" s="16"/>
      <c r="H510" s="16"/>
      <c r="I510" s="16"/>
      <c r="J510" s="16"/>
      <c r="K510" s="16"/>
    </row>
    <row r="511" spans="1:11" ht="12.75">
      <c r="A511" s="16"/>
      <c r="B511" s="17"/>
      <c r="C511" s="2"/>
      <c r="D511" s="16"/>
      <c r="E511" s="16"/>
      <c r="F511" s="16"/>
      <c r="G511" s="16"/>
      <c r="H511" s="16"/>
      <c r="I511" s="16"/>
      <c r="J511" s="16"/>
      <c r="K511" s="16"/>
    </row>
    <row r="512" spans="1:11" ht="12.75">
      <c r="A512" s="16"/>
      <c r="B512" s="17"/>
      <c r="C512" s="2"/>
      <c r="D512" s="16"/>
      <c r="E512" s="16"/>
      <c r="F512" s="16"/>
      <c r="G512" s="16"/>
      <c r="H512" s="16"/>
      <c r="I512" s="16"/>
      <c r="J512" s="16"/>
      <c r="K512" s="16"/>
    </row>
    <row r="513" spans="1:11" ht="12.75">
      <c r="A513" s="16"/>
      <c r="B513" s="17"/>
      <c r="C513" s="2"/>
      <c r="D513" s="16"/>
      <c r="E513" s="16"/>
      <c r="F513" s="16"/>
      <c r="G513" s="16"/>
      <c r="H513" s="16"/>
      <c r="I513" s="16"/>
      <c r="J513" s="16"/>
      <c r="K513" s="16"/>
    </row>
    <row r="514" spans="1:11" ht="12.75">
      <c r="A514" s="16"/>
      <c r="B514" s="17"/>
      <c r="C514" s="2"/>
      <c r="D514" s="16"/>
      <c r="E514" s="16"/>
      <c r="F514" s="16"/>
      <c r="G514" s="16"/>
      <c r="H514" s="16"/>
      <c r="I514" s="16"/>
      <c r="J514" s="16"/>
      <c r="K514" s="16"/>
    </row>
    <row r="515" spans="1:11" ht="12.75">
      <c r="A515" s="16"/>
      <c r="B515" s="17"/>
      <c r="C515" s="2"/>
      <c r="D515" s="16"/>
      <c r="E515" s="16"/>
      <c r="F515" s="16"/>
      <c r="G515" s="16"/>
      <c r="H515" s="16"/>
      <c r="I515" s="16"/>
      <c r="J515" s="16"/>
      <c r="K515" s="16"/>
    </row>
    <row r="516" spans="1:11" ht="12.75">
      <c r="A516" s="16"/>
      <c r="B516" s="17"/>
      <c r="C516" s="2"/>
      <c r="D516" s="16"/>
      <c r="E516" s="16"/>
      <c r="F516" s="16"/>
      <c r="G516" s="16"/>
      <c r="H516" s="16"/>
      <c r="I516" s="16"/>
      <c r="J516" s="16"/>
      <c r="K516" s="16"/>
    </row>
    <row r="517" spans="1:11" ht="12.75">
      <c r="A517" s="16"/>
      <c r="B517" s="17"/>
      <c r="C517" s="2"/>
      <c r="D517" s="16"/>
      <c r="E517" s="16"/>
      <c r="F517" s="16"/>
      <c r="G517" s="16"/>
      <c r="H517" s="16"/>
      <c r="I517" s="16"/>
      <c r="J517" s="16"/>
      <c r="K517" s="16"/>
    </row>
    <row r="518" spans="1:11" ht="12.75">
      <c r="A518" s="16"/>
      <c r="B518" s="17"/>
      <c r="C518" s="2"/>
      <c r="D518" s="16"/>
      <c r="E518" s="16"/>
      <c r="F518" s="16"/>
      <c r="G518" s="16"/>
      <c r="H518" s="16"/>
      <c r="I518" s="16"/>
      <c r="J518" s="16"/>
      <c r="K518" s="16"/>
    </row>
    <row r="519" spans="1:11" ht="12.75">
      <c r="A519" s="16"/>
      <c r="B519" s="17"/>
      <c r="C519" s="2"/>
      <c r="D519" s="16"/>
      <c r="E519" s="16"/>
      <c r="F519" s="16"/>
      <c r="G519" s="16"/>
      <c r="H519" s="16"/>
      <c r="I519" s="16"/>
      <c r="J519" s="16"/>
      <c r="K519" s="16"/>
    </row>
    <row r="520" spans="1:11" ht="12.75">
      <c r="A520" s="16"/>
      <c r="B520" s="17"/>
      <c r="C520" s="2"/>
      <c r="D520" s="16"/>
      <c r="E520" s="16"/>
      <c r="F520" s="16"/>
      <c r="G520" s="16"/>
      <c r="H520" s="16"/>
      <c r="I520" s="16"/>
      <c r="J520" s="16"/>
      <c r="K520" s="16"/>
    </row>
    <row r="521" spans="1:11" ht="12.75">
      <c r="A521" s="16"/>
      <c r="B521" s="17"/>
      <c r="C521" s="2"/>
      <c r="D521" s="16"/>
      <c r="E521" s="16"/>
      <c r="F521" s="16"/>
      <c r="G521" s="16"/>
      <c r="H521" s="16"/>
      <c r="I521" s="16"/>
      <c r="J521" s="16"/>
      <c r="K521" s="16"/>
    </row>
    <row r="522" spans="1:11" ht="12.75">
      <c r="A522" s="16"/>
      <c r="B522" s="17"/>
      <c r="C522" s="2"/>
      <c r="D522" s="16"/>
      <c r="E522" s="16"/>
      <c r="F522" s="16"/>
      <c r="G522" s="16"/>
      <c r="H522" s="16"/>
      <c r="I522" s="16"/>
      <c r="J522" s="16"/>
      <c r="K522" s="16"/>
    </row>
    <row r="523" spans="1:11" ht="12.75">
      <c r="A523" s="16"/>
      <c r="B523" s="17"/>
      <c r="C523" s="2"/>
      <c r="D523" s="16"/>
      <c r="E523" s="16"/>
      <c r="F523" s="16"/>
      <c r="G523" s="16"/>
      <c r="H523" s="16"/>
      <c r="I523" s="16"/>
      <c r="J523" s="16"/>
      <c r="K523" s="16"/>
    </row>
    <row r="524" spans="1:11" ht="12.75">
      <c r="A524" s="16"/>
      <c r="B524" s="17"/>
      <c r="C524" s="2"/>
      <c r="D524" s="16"/>
      <c r="E524" s="16"/>
      <c r="F524" s="16"/>
      <c r="G524" s="16"/>
      <c r="H524" s="16"/>
      <c r="I524" s="16"/>
      <c r="J524" s="16"/>
      <c r="K524" s="16"/>
    </row>
    <row r="525" spans="1:11" ht="12.75">
      <c r="A525" s="16"/>
      <c r="B525" s="17"/>
      <c r="C525" s="2"/>
      <c r="D525" s="16"/>
      <c r="E525" s="16"/>
      <c r="F525" s="16"/>
      <c r="G525" s="16"/>
      <c r="H525" s="16"/>
      <c r="I525" s="16"/>
      <c r="J525" s="16"/>
      <c r="K525" s="16"/>
    </row>
    <row r="526" spans="1:11" ht="12.75">
      <c r="A526" s="16"/>
      <c r="B526" s="17"/>
      <c r="C526" s="2"/>
      <c r="D526" s="16"/>
      <c r="E526" s="16"/>
      <c r="F526" s="16"/>
      <c r="G526" s="16"/>
      <c r="H526" s="16"/>
      <c r="I526" s="16"/>
      <c r="J526" s="16"/>
      <c r="K526" s="16"/>
    </row>
    <row r="527" spans="1:11" ht="12.75">
      <c r="A527" s="16"/>
      <c r="B527" s="17"/>
      <c r="C527" s="2"/>
      <c r="D527" s="16"/>
      <c r="E527" s="16"/>
      <c r="F527" s="16"/>
      <c r="G527" s="16"/>
      <c r="H527" s="16"/>
      <c r="I527" s="16"/>
      <c r="J527" s="16"/>
      <c r="K527" s="16"/>
    </row>
    <row r="528" spans="1:11" ht="12.75">
      <c r="A528" s="16"/>
      <c r="B528" s="17"/>
      <c r="C528" s="2"/>
      <c r="D528" s="16"/>
      <c r="E528" s="16"/>
      <c r="F528" s="16"/>
      <c r="G528" s="16"/>
      <c r="H528" s="16"/>
      <c r="I528" s="16"/>
      <c r="J528" s="16"/>
      <c r="K528" s="16"/>
    </row>
    <row r="529" spans="1:11" ht="12.75">
      <c r="A529" s="16"/>
      <c r="B529" s="17"/>
      <c r="C529" s="2"/>
      <c r="D529" s="16"/>
      <c r="E529" s="16"/>
      <c r="F529" s="16"/>
      <c r="G529" s="16"/>
      <c r="H529" s="16"/>
      <c r="I529" s="16"/>
      <c r="J529" s="16"/>
      <c r="K529" s="16"/>
    </row>
    <row r="530" spans="1:11" ht="12.75">
      <c r="A530" s="16"/>
      <c r="B530" s="17"/>
      <c r="C530" s="2"/>
      <c r="D530" s="16"/>
      <c r="E530" s="16"/>
      <c r="F530" s="16"/>
      <c r="G530" s="16"/>
      <c r="H530" s="16"/>
      <c r="I530" s="16"/>
      <c r="J530" s="16"/>
      <c r="K530" s="16"/>
    </row>
    <row r="531" spans="1:11" ht="12.75">
      <c r="A531" s="16"/>
      <c r="B531" s="17"/>
      <c r="C531" s="2"/>
      <c r="D531" s="16"/>
      <c r="E531" s="16"/>
      <c r="F531" s="16"/>
      <c r="G531" s="16"/>
      <c r="H531" s="16"/>
      <c r="I531" s="16"/>
      <c r="J531" s="16"/>
      <c r="K531" s="16"/>
    </row>
    <row r="532" spans="1:11" ht="12.75">
      <c r="A532" s="16"/>
      <c r="B532" s="17"/>
      <c r="C532" s="2"/>
      <c r="D532" s="16"/>
      <c r="E532" s="16"/>
      <c r="F532" s="16"/>
      <c r="G532" s="16"/>
      <c r="H532" s="16"/>
      <c r="I532" s="16"/>
      <c r="J532" s="16"/>
      <c r="K532" s="16"/>
    </row>
    <row r="533" spans="1:11" ht="12.75">
      <c r="A533" s="16"/>
      <c r="B533" s="17"/>
      <c r="C533" s="2"/>
      <c r="D533" s="16"/>
      <c r="E533" s="16"/>
      <c r="F533" s="16"/>
      <c r="G533" s="16"/>
      <c r="H533" s="16"/>
      <c r="I533" s="16"/>
      <c r="J533" s="16"/>
      <c r="K533" s="16"/>
    </row>
    <row r="534" spans="1:11" ht="12.75">
      <c r="A534" s="16"/>
      <c r="B534" s="17"/>
      <c r="C534" s="2"/>
      <c r="D534" s="16"/>
      <c r="E534" s="16"/>
      <c r="F534" s="16"/>
      <c r="G534" s="16"/>
      <c r="H534" s="16"/>
      <c r="I534" s="16"/>
      <c r="J534" s="16"/>
      <c r="K534" s="16"/>
    </row>
    <row r="535" spans="1:11" ht="12.75">
      <c r="A535" s="16"/>
      <c r="B535" s="17"/>
      <c r="C535" s="2"/>
      <c r="D535" s="16"/>
      <c r="E535" s="16"/>
      <c r="F535" s="16"/>
      <c r="G535" s="16"/>
      <c r="H535" s="16"/>
      <c r="I535" s="16"/>
      <c r="J535" s="16"/>
      <c r="K535" s="16"/>
    </row>
    <row r="536" spans="1:11" ht="12.75">
      <c r="A536" s="16"/>
      <c r="B536" s="17"/>
      <c r="C536" s="2"/>
      <c r="D536" s="16"/>
      <c r="E536" s="16"/>
      <c r="F536" s="16"/>
      <c r="G536" s="16"/>
      <c r="H536" s="16"/>
      <c r="I536" s="16"/>
      <c r="J536" s="16"/>
      <c r="K536" s="16"/>
    </row>
    <row r="537" spans="1:11" ht="12.75">
      <c r="A537" s="16"/>
      <c r="B537" s="17"/>
      <c r="C537" s="2"/>
      <c r="D537" s="16"/>
      <c r="E537" s="16"/>
      <c r="F537" s="16"/>
      <c r="G537" s="16"/>
      <c r="H537" s="16"/>
      <c r="I537" s="16"/>
      <c r="J537" s="16"/>
      <c r="K537" s="16"/>
    </row>
    <row r="538" spans="1:11" ht="12.75">
      <c r="A538" s="16"/>
      <c r="B538" s="17"/>
      <c r="C538" s="2"/>
      <c r="D538" s="16"/>
      <c r="E538" s="16"/>
      <c r="F538" s="16"/>
      <c r="G538" s="16"/>
      <c r="H538" s="16"/>
      <c r="I538" s="16"/>
      <c r="J538" s="16"/>
      <c r="K538" s="16"/>
    </row>
    <row r="539" spans="1:11" ht="12.75">
      <c r="A539" s="16"/>
      <c r="B539" s="17"/>
      <c r="C539" s="2"/>
      <c r="D539" s="16"/>
      <c r="E539" s="16"/>
      <c r="F539" s="16"/>
      <c r="G539" s="16"/>
      <c r="H539" s="16"/>
      <c r="I539" s="16"/>
      <c r="J539" s="16"/>
      <c r="K539" s="16"/>
    </row>
    <row r="540" spans="1:11" ht="12.75">
      <c r="A540" s="16"/>
      <c r="B540" s="17"/>
      <c r="C540" s="2"/>
      <c r="D540" s="16"/>
      <c r="E540" s="16"/>
      <c r="F540" s="16"/>
      <c r="G540" s="16"/>
      <c r="H540" s="16"/>
      <c r="I540" s="16"/>
      <c r="J540" s="16"/>
      <c r="K540" s="16"/>
    </row>
    <row r="541" spans="1:11" ht="12.75">
      <c r="A541" s="16"/>
      <c r="B541" s="17"/>
      <c r="C541" s="2"/>
      <c r="D541" s="16"/>
      <c r="E541" s="16"/>
      <c r="F541" s="16"/>
      <c r="G541" s="16"/>
      <c r="H541" s="16"/>
      <c r="I541" s="16"/>
      <c r="J541" s="16"/>
      <c r="K541" s="16"/>
    </row>
    <row r="542" spans="1:11" ht="12.75">
      <c r="A542" s="16"/>
      <c r="B542" s="17"/>
      <c r="C542" s="2"/>
      <c r="D542" s="16"/>
      <c r="E542" s="16"/>
      <c r="F542" s="16"/>
      <c r="G542" s="16"/>
      <c r="H542" s="16"/>
      <c r="I542" s="16"/>
      <c r="J542" s="16"/>
      <c r="K542" s="16"/>
    </row>
    <row r="543" spans="1:11" ht="12.75">
      <c r="A543" s="16"/>
      <c r="B543" s="17"/>
      <c r="C543" s="2"/>
      <c r="D543" s="16"/>
      <c r="E543" s="16"/>
      <c r="F543" s="16"/>
      <c r="G543" s="16"/>
      <c r="H543" s="16"/>
      <c r="I543" s="16"/>
      <c r="J543" s="16"/>
      <c r="K543" s="16"/>
    </row>
    <row r="544" spans="1:11" ht="12.75">
      <c r="A544" s="16"/>
      <c r="B544" s="17"/>
      <c r="C544" s="2"/>
      <c r="D544" s="16"/>
      <c r="E544" s="16"/>
      <c r="F544" s="16"/>
      <c r="G544" s="16"/>
      <c r="H544" s="16"/>
      <c r="I544" s="16"/>
      <c r="J544" s="16"/>
      <c r="K544" s="16"/>
    </row>
    <row r="545" spans="1:11" ht="12.75">
      <c r="A545" s="16"/>
      <c r="B545" s="17"/>
      <c r="C545" s="2"/>
      <c r="D545" s="16"/>
      <c r="E545" s="16"/>
      <c r="F545" s="16"/>
      <c r="G545" s="16"/>
      <c r="H545" s="16"/>
      <c r="I545" s="16"/>
      <c r="J545" s="16"/>
      <c r="K545" s="16"/>
    </row>
    <row r="546" spans="1:11" ht="12.75">
      <c r="A546" s="16"/>
      <c r="B546" s="17"/>
      <c r="C546" s="2"/>
      <c r="D546" s="16"/>
      <c r="E546" s="16"/>
      <c r="F546" s="16"/>
      <c r="G546" s="16"/>
      <c r="H546" s="16"/>
      <c r="I546" s="16"/>
      <c r="J546" s="16"/>
      <c r="K546" s="16"/>
    </row>
    <row r="547" spans="1:11" ht="12.75">
      <c r="A547" s="16"/>
      <c r="B547" s="17"/>
      <c r="C547" s="2"/>
      <c r="D547" s="16"/>
      <c r="E547" s="16"/>
      <c r="F547" s="16"/>
      <c r="G547" s="16"/>
      <c r="H547" s="16"/>
      <c r="I547" s="16"/>
      <c r="J547" s="16"/>
      <c r="K547" s="16"/>
    </row>
    <row r="548" spans="1:11" ht="12.75">
      <c r="A548" s="16"/>
      <c r="B548" s="17"/>
      <c r="C548" s="2"/>
      <c r="D548" s="16"/>
      <c r="E548" s="16"/>
      <c r="F548" s="16"/>
      <c r="G548" s="16"/>
      <c r="H548" s="16"/>
      <c r="I548" s="16"/>
      <c r="J548" s="16"/>
      <c r="K548" s="16"/>
    </row>
    <row r="549" spans="1:11" ht="12.75">
      <c r="A549" s="16"/>
      <c r="B549" s="17"/>
      <c r="C549" s="2"/>
      <c r="D549" s="16"/>
      <c r="E549" s="16"/>
      <c r="F549" s="16"/>
      <c r="G549" s="16"/>
      <c r="H549" s="16"/>
      <c r="I549" s="16"/>
      <c r="J549" s="16"/>
      <c r="K549" s="16"/>
    </row>
    <row r="550" spans="1:11" ht="12.75">
      <c r="A550" s="16"/>
      <c r="B550" s="17"/>
      <c r="C550" s="2"/>
      <c r="D550" s="16"/>
      <c r="E550" s="16"/>
      <c r="F550" s="16"/>
      <c r="G550" s="16"/>
      <c r="H550" s="16"/>
      <c r="I550" s="16"/>
      <c r="J550" s="16"/>
      <c r="K550" s="16"/>
    </row>
    <row r="551" spans="1:11" ht="12.75">
      <c r="A551" s="16"/>
      <c r="B551" s="17"/>
      <c r="C551" s="2"/>
      <c r="D551" s="16"/>
      <c r="E551" s="16"/>
      <c r="F551" s="16"/>
      <c r="G551" s="16"/>
      <c r="H551" s="16"/>
      <c r="I551" s="16"/>
      <c r="J551" s="16"/>
      <c r="K551" s="16"/>
    </row>
    <row r="552" spans="1:11" ht="12.75">
      <c r="A552" s="16"/>
      <c r="B552" s="17"/>
      <c r="C552" s="2"/>
      <c r="D552" s="16"/>
      <c r="E552" s="16"/>
      <c r="F552" s="16"/>
      <c r="G552" s="16"/>
      <c r="H552" s="16"/>
      <c r="I552" s="16"/>
      <c r="J552" s="16"/>
      <c r="K552" s="16"/>
    </row>
    <row r="553" spans="1:11" ht="12.75">
      <c r="A553" s="16"/>
      <c r="B553" s="17"/>
      <c r="C553" s="2"/>
      <c r="D553" s="16"/>
      <c r="E553" s="16"/>
      <c r="F553" s="16"/>
      <c r="G553" s="16"/>
      <c r="H553" s="16"/>
      <c r="I553" s="16"/>
      <c r="J553" s="16"/>
      <c r="K553" s="16"/>
    </row>
    <row r="554" spans="1:11" ht="12.75">
      <c r="A554" s="16"/>
      <c r="B554" s="17"/>
      <c r="C554" s="2"/>
      <c r="D554" s="16"/>
      <c r="E554" s="16"/>
      <c r="F554" s="16"/>
      <c r="G554" s="16"/>
      <c r="H554" s="16"/>
      <c r="I554" s="16"/>
      <c r="J554" s="16"/>
      <c r="K554" s="16"/>
    </row>
    <row r="555" spans="1:11" ht="12.75">
      <c r="A555" s="16"/>
      <c r="B555" s="17"/>
      <c r="C555" s="2"/>
      <c r="D555" s="16"/>
      <c r="E555" s="16"/>
      <c r="F555" s="16"/>
      <c r="G555" s="16"/>
      <c r="H555" s="16"/>
      <c r="I555" s="16"/>
      <c r="J555" s="16"/>
      <c r="K555" s="16"/>
    </row>
    <row r="556" spans="1:11" ht="12.75">
      <c r="A556" s="16"/>
      <c r="B556" s="17"/>
      <c r="C556" s="2"/>
      <c r="D556" s="16"/>
      <c r="E556" s="16"/>
      <c r="F556" s="16"/>
      <c r="G556" s="16"/>
      <c r="H556" s="16"/>
      <c r="I556" s="16"/>
      <c r="J556" s="16"/>
      <c r="K556" s="16"/>
    </row>
    <row r="557" spans="1:11" ht="12.75">
      <c r="A557" s="16"/>
      <c r="B557" s="17"/>
      <c r="C557" s="2"/>
      <c r="D557" s="16"/>
      <c r="E557" s="16"/>
      <c r="F557" s="16"/>
      <c r="G557" s="16"/>
      <c r="H557" s="16"/>
      <c r="I557" s="16"/>
      <c r="J557" s="16"/>
      <c r="K557" s="16"/>
    </row>
    <row r="558" spans="1:11" ht="12.75">
      <c r="A558" s="16"/>
      <c r="B558" s="17"/>
      <c r="C558" s="2"/>
      <c r="D558" s="16"/>
      <c r="E558" s="16"/>
      <c r="F558" s="16"/>
      <c r="G558" s="16"/>
      <c r="H558" s="16"/>
      <c r="I558" s="16"/>
      <c r="J558" s="16"/>
      <c r="K558" s="16"/>
    </row>
    <row r="559" spans="1:11" ht="12.75">
      <c r="A559" s="16"/>
      <c r="B559" s="17"/>
      <c r="C559" s="2"/>
      <c r="D559" s="16"/>
      <c r="E559" s="16"/>
      <c r="F559" s="16"/>
      <c r="G559" s="16"/>
      <c r="H559" s="16"/>
      <c r="I559" s="16"/>
      <c r="J559" s="16"/>
      <c r="K559" s="16"/>
    </row>
    <row r="560" spans="1:11" ht="12.75">
      <c r="A560" s="16"/>
      <c r="B560" s="17"/>
      <c r="C560" s="2"/>
      <c r="D560" s="16"/>
      <c r="E560" s="16"/>
      <c r="F560" s="16"/>
      <c r="G560" s="16"/>
      <c r="H560" s="16"/>
      <c r="I560" s="16"/>
      <c r="J560" s="16"/>
      <c r="K560" s="16"/>
    </row>
    <row r="561" spans="1:11" ht="12.75">
      <c r="A561" s="16"/>
      <c r="B561" s="17"/>
      <c r="C561" s="2"/>
      <c r="D561" s="16"/>
      <c r="E561" s="16"/>
      <c r="F561" s="16"/>
      <c r="G561" s="16"/>
      <c r="H561" s="16"/>
      <c r="I561" s="16"/>
      <c r="J561" s="16"/>
      <c r="K561" s="16"/>
    </row>
    <row r="562" spans="1:11" ht="12.75">
      <c r="A562" s="16"/>
      <c r="B562" s="17"/>
      <c r="C562" s="2"/>
      <c r="D562" s="16"/>
      <c r="E562" s="16"/>
      <c r="F562" s="16"/>
      <c r="G562" s="16"/>
      <c r="H562" s="16"/>
      <c r="I562" s="16"/>
      <c r="J562" s="16"/>
      <c r="K562" s="16"/>
    </row>
    <row r="563" spans="1:11" ht="12.75">
      <c r="A563" s="16"/>
      <c r="B563" s="17"/>
      <c r="C563" s="2"/>
      <c r="D563" s="16"/>
      <c r="E563" s="16"/>
      <c r="F563" s="16"/>
      <c r="G563" s="16"/>
      <c r="H563" s="16"/>
      <c r="I563" s="16"/>
      <c r="J563" s="16"/>
      <c r="K563" s="16"/>
    </row>
    <row r="564" spans="1:11" ht="12.75">
      <c r="A564" s="16"/>
      <c r="B564" s="17"/>
      <c r="C564" s="2"/>
      <c r="D564" s="16"/>
      <c r="E564" s="16"/>
      <c r="F564" s="16"/>
      <c r="G564" s="16"/>
      <c r="H564" s="16"/>
      <c r="I564" s="16"/>
      <c r="J564" s="16"/>
      <c r="K564" s="16"/>
    </row>
    <row r="565" spans="1:11" ht="12.75">
      <c r="A565" s="16"/>
      <c r="B565" s="17"/>
      <c r="C565" s="2"/>
      <c r="D565" s="16"/>
      <c r="E565" s="16"/>
      <c r="F565" s="16"/>
      <c r="G565" s="16"/>
      <c r="H565" s="16"/>
      <c r="I565" s="16"/>
      <c r="J565" s="16"/>
      <c r="K565" s="16"/>
    </row>
    <row r="566" spans="1:11" ht="12.75">
      <c r="A566" s="16"/>
      <c r="B566" s="17"/>
      <c r="C566" s="2"/>
      <c r="D566" s="16"/>
      <c r="E566" s="16"/>
      <c r="F566" s="16"/>
      <c r="G566" s="16"/>
      <c r="H566" s="16"/>
      <c r="I566" s="16"/>
      <c r="J566" s="16"/>
      <c r="K566" s="16"/>
    </row>
    <row r="567" spans="1:11" ht="12.75">
      <c r="A567" s="16"/>
      <c r="B567" s="17"/>
      <c r="C567" s="2"/>
      <c r="D567" s="16"/>
      <c r="E567" s="16"/>
      <c r="F567" s="16"/>
      <c r="G567" s="16"/>
      <c r="H567" s="16"/>
      <c r="I567" s="16"/>
      <c r="J567" s="16"/>
      <c r="K567" s="16"/>
    </row>
    <row r="568" spans="1:11" ht="12.75">
      <c r="A568" s="16"/>
      <c r="B568" s="17"/>
      <c r="C568" s="2"/>
      <c r="D568" s="16"/>
      <c r="E568" s="16"/>
      <c r="F568" s="16"/>
      <c r="G568" s="16"/>
      <c r="H568" s="16"/>
      <c r="I568" s="16"/>
      <c r="J568" s="16"/>
      <c r="K568" s="16"/>
    </row>
    <row r="569" spans="1:11" ht="12.75">
      <c r="A569" s="16"/>
      <c r="B569" s="17"/>
      <c r="C569" s="2"/>
      <c r="D569" s="16"/>
      <c r="E569" s="16"/>
      <c r="F569" s="16"/>
      <c r="G569" s="16"/>
      <c r="H569" s="16"/>
      <c r="I569" s="16"/>
      <c r="J569" s="16"/>
      <c r="K569" s="16"/>
    </row>
    <row r="570" spans="1:11" ht="12.75">
      <c r="A570" s="16"/>
      <c r="B570" s="17"/>
      <c r="C570" s="2"/>
      <c r="D570" s="16"/>
      <c r="E570" s="16"/>
      <c r="F570" s="16"/>
      <c r="G570" s="16"/>
      <c r="H570" s="16"/>
      <c r="I570" s="16"/>
      <c r="J570" s="16"/>
      <c r="K570" s="16"/>
    </row>
    <row r="571" spans="1:11" ht="12.75">
      <c r="A571" s="16"/>
      <c r="B571" s="17"/>
      <c r="C571" s="2"/>
      <c r="D571" s="16"/>
      <c r="E571" s="16"/>
      <c r="F571" s="16"/>
      <c r="G571" s="16"/>
      <c r="H571" s="16"/>
      <c r="I571" s="16"/>
      <c r="J571" s="16"/>
      <c r="K571" s="16"/>
    </row>
    <row r="572" spans="1:11" ht="12.75">
      <c r="A572" s="16"/>
      <c r="B572" s="17"/>
      <c r="C572" s="2"/>
      <c r="D572" s="16"/>
      <c r="E572" s="16"/>
      <c r="F572" s="16"/>
      <c r="G572" s="16"/>
      <c r="H572" s="16"/>
      <c r="I572" s="16"/>
      <c r="J572" s="16"/>
      <c r="K572" s="16"/>
    </row>
    <row r="573" spans="1:11" ht="12.75">
      <c r="A573" s="16"/>
      <c r="B573" s="17"/>
      <c r="C573" s="2"/>
      <c r="D573" s="16"/>
      <c r="E573" s="16"/>
      <c r="F573" s="16"/>
      <c r="G573" s="16"/>
      <c r="H573" s="16"/>
      <c r="I573" s="16"/>
      <c r="J573" s="16"/>
      <c r="K573" s="16"/>
    </row>
    <row r="574" spans="1:11" ht="12.75">
      <c r="A574" s="16"/>
      <c r="B574" s="17"/>
      <c r="C574" s="2"/>
      <c r="D574" s="16"/>
      <c r="E574" s="16"/>
      <c r="F574" s="16"/>
      <c r="G574" s="16"/>
      <c r="H574" s="16"/>
      <c r="I574" s="16"/>
      <c r="J574" s="16"/>
      <c r="K574" s="16"/>
    </row>
    <row r="575" spans="1:11" ht="12.75">
      <c r="A575" s="16"/>
      <c r="B575" s="17"/>
      <c r="C575" s="2"/>
      <c r="D575" s="16"/>
      <c r="E575" s="16"/>
      <c r="F575" s="16"/>
      <c r="G575" s="16"/>
      <c r="H575" s="16"/>
      <c r="I575" s="16"/>
      <c r="J575" s="16"/>
      <c r="K575" s="16"/>
    </row>
    <row r="576" spans="1:11" ht="12.75">
      <c r="A576" s="16"/>
      <c r="B576" s="17"/>
      <c r="C576" s="2"/>
      <c r="D576" s="16"/>
      <c r="E576" s="16"/>
      <c r="F576" s="16"/>
      <c r="G576" s="16"/>
      <c r="H576" s="16"/>
      <c r="I576" s="16"/>
      <c r="J576" s="16"/>
      <c r="K576" s="16"/>
    </row>
    <row r="577" spans="1:11" ht="12.75">
      <c r="A577" s="16"/>
      <c r="B577" s="17"/>
      <c r="C577" s="2"/>
      <c r="D577" s="16"/>
      <c r="E577" s="16"/>
      <c r="F577" s="16"/>
      <c r="G577" s="16"/>
      <c r="H577" s="16"/>
      <c r="I577" s="16"/>
      <c r="J577" s="16"/>
      <c r="K577" s="16"/>
    </row>
    <row r="578" spans="1:11" ht="12.75">
      <c r="A578" s="16"/>
      <c r="B578" s="17"/>
      <c r="C578" s="2"/>
      <c r="D578" s="16"/>
      <c r="E578" s="16"/>
      <c r="F578" s="16"/>
      <c r="G578" s="16"/>
      <c r="H578" s="16"/>
      <c r="I578" s="16"/>
      <c r="J578" s="16"/>
      <c r="K578" s="16"/>
    </row>
    <row r="579" spans="1:11" ht="12.75">
      <c r="A579" s="16"/>
      <c r="B579" s="17"/>
      <c r="C579" s="2"/>
      <c r="D579" s="16"/>
      <c r="E579" s="16"/>
      <c r="F579" s="16"/>
      <c r="G579" s="16"/>
      <c r="H579" s="16"/>
      <c r="I579" s="16"/>
      <c r="J579" s="16"/>
      <c r="K579" s="16"/>
    </row>
    <row r="580" spans="1:11" ht="12.75">
      <c r="A580" s="16"/>
      <c r="B580" s="17"/>
      <c r="C580" s="2"/>
      <c r="D580" s="16"/>
      <c r="E580" s="16"/>
      <c r="F580" s="16"/>
      <c r="G580" s="16"/>
      <c r="H580" s="16"/>
      <c r="I580" s="16"/>
      <c r="J580" s="16"/>
      <c r="K580" s="16"/>
    </row>
    <row r="581" spans="1:11" ht="12.75">
      <c r="A581" s="16"/>
      <c r="B581" s="17"/>
      <c r="C581" s="2"/>
      <c r="D581" s="16"/>
      <c r="E581" s="16"/>
      <c r="F581" s="16"/>
      <c r="G581" s="16"/>
      <c r="H581" s="16"/>
      <c r="I581" s="16"/>
      <c r="J581" s="16"/>
      <c r="K581" s="16"/>
    </row>
    <row r="582" spans="1:11" ht="12.75">
      <c r="A582" s="16"/>
      <c r="B582" s="17"/>
      <c r="C582" s="2"/>
      <c r="D582" s="16"/>
      <c r="E582" s="16"/>
      <c r="F582" s="16"/>
      <c r="G582" s="16"/>
      <c r="H582" s="16"/>
      <c r="I582" s="16"/>
      <c r="J582" s="16"/>
      <c r="K582" s="16"/>
    </row>
    <row r="583" spans="1:11" ht="12.75">
      <c r="A583" s="16"/>
      <c r="B583" s="17"/>
      <c r="C583" s="2"/>
      <c r="D583" s="16"/>
      <c r="E583" s="16"/>
      <c r="F583" s="16"/>
      <c r="G583" s="16"/>
      <c r="H583" s="16"/>
      <c r="I583" s="16"/>
      <c r="J583" s="16"/>
      <c r="K583" s="16"/>
    </row>
    <row r="584" spans="1:11" ht="12.75">
      <c r="A584" s="16"/>
      <c r="B584" s="17"/>
      <c r="C584" s="2"/>
      <c r="D584" s="16"/>
      <c r="E584" s="16"/>
      <c r="F584" s="16"/>
      <c r="G584" s="16"/>
      <c r="H584" s="16"/>
      <c r="I584" s="16"/>
      <c r="J584" s="16"/>
      <c r="K584" s="16"/>
    </row>
    <row r="585" spans="1:11" ht="12.75">
      <c r="A585" s="16"/>
      <c r="B585" s="17"/>
      <c r="C585" s="2"/>
      <c r="D585" s="16"/>
      <c r="E585" s="16"/>
      <c r="F585" s="16"/>
      <c r="G585" s="16"/>
      <c r="H585" s="16"/>
      <c r="I585" s="16"/>
      <c r="J585" s="16"/>
      <c r="K585" s="16"/>
    </row>
    <row r="586" spans="1:11" ht="12.75">
      <c r="A586" s="16"/>
      <c r="B586" s="17"/>
      <c r="C586" s="2"/>
      <c r="D586" s="16"/>
      <c r="E586" s="16"/>
      <c r="F586" s="16"/>
      <c r="G586" s="16"/>
      <c r="H586" s="16"/>
      <c r="I586" s="16"/>
      <c r="J586" s="16"/>
      <c r="K586" s="16"/>
    </row>
    <row r="587" spans="1:11" ht="12.75">
      <c r="A587" s="16"/>
      <c r="B587" s="17"/>
      <c r="C587" s="2"/>
      <c r="D587" s="16"/>
      <c r="E587" s="16"/>
      <c r="F587" s="16"/>
      <c r="G587" s="16"/>
      <c r="H587" s="16"/>
      <c r="I587" s="16"/>
      <c r="J587" s="16"/>
      <c r="K587" s="16"/>
    </row>
    <row r="588" spans="1:11" ht="12.75">
      <c r="A588" s="16"/>
      <c r="B588" s="17"/>
      <c r="C588" s="2"/>
      <c r="D588" s="16"/>
      <c r="E588" s="16"/>
      <c r="F588" s="16"/>
      <c r="G588" s="16"/>
      <c r="H588" s="16"/>
      <c r="I588" s="16"/>
      <c r="J588" s="16"/>
      <c r="K588" s="16"/>
    </row>
    <row r="589" spans="1:11" ht="12.75">
      <c r="A589" s="16"/>
      <c r="B589" s="17"/>
      <c r="C589" s="2"/>
      <c r="D589" s="16"/>
      <c r="E589" s="16"/>
      <c r="F589" s="16"/>
      <c r="G589" s="16"/>
      <c r="H589" s="16"/>
      <c r="I589" s="16"/>
      <c r="J589" s="16"/>
      <c r="K589" s="16"/>
    </row>
    <row r="590" spans="1:11" ht="12.75">
      <c r="A590" s="16"/>
      <c r="B590" s="17"/>
      <c r="C590" s="2"/>
      <c r="D590" s="16"/>
      <c r="E590" s="16"/>
      <c r="F590" s="16"/>
      <c r="G590" s="16"/>
      <c r="H590" s="16"/>
      <c r="I590" s="16"/>
      <c r="J590" s="16"/>
      <c r="K590" s="16"/>
    </row>
    <row r="591" spans="1:11" ht="12.75">
      <c r="A591" s="16"/>
      <c r="B591" s="17"/>
      <c r="C591" s="2"/>
      <c r="D591" s="16"/>
      <c r="E591" s="16"/>
      <c r="F591" s="16"/>
      <c r="G591" s="16"/>
      <c r="H591" s="16"/>
      <c r="I591" s="16"/>
      <c r="J591" s="16"/>
      <c r="K591" s="16"/>
    </row>
    <row r="592" spans="1:11" ht="12.75">
      <c r="A592" s="16"/>
      <c r="B592" s="17"/>
      <c r="C592" s="2"/>
      <c r="D592" s="16"/>
      <c r="E592" s="16"/>
      <c r="F592" s="16"/>
      <c r="G592" s="16"/>
      <c r="H592" s="16"/>
      <c r="I592" s="16"/>
      <c r="J592" s="16"/>
      <c r="K592" s="16"/>
    </row>
    <row r="593" spans="1:11" ht="12.75">
      <c r="A593" s="16"/>
      <c r="B593" s="17"/>
      <c r="C593" s="2"/>
      <c r="D593" s="16"/>
      <c r="E593" s="16"/>
      <c r="F593" s="16"/>
      <c r="G593" s="16"/>
      <c r="H593" s="16"/>
      <c r="I593" s="16"/>
      <c r="J593" s="16"/>
      <c r="K593" s="16"/>
    </row>
    <row r="594" spans="1:11" ht="12.75">
      <c r="A594" s="16"/>
      <c r="B594" s="17"/>
      <c r="C594" s="2"/>
      <c r="D594" s="16"/>
      <c r="E594" s="16"/>
      <c r="F594" s="16"/>
      <c r="G594" s="16"/>
      <c r="H594" s="16"/>
      <c r="I594" s="16"/>
      <c r="J594" s="16"/>
      <c r="K594" s="16"/>
    </row>
    <row r="595" spans="1:11" ht="12.75">
      <c r="A595" s="16"/>
      <c r="B595" s="17"/>
      <c r="C595" s="2"/>
      <c r="D595" s="16"/>
      <c r="E595" s="16"/>
      <c r="F595" s="16"/>
      <c r="G595" s="16"/>
      <c r="H595" s="16"/>
      <c r="I595" s="16"/>
      <c r="J595" s="16"/>
      <c r="K595" s="16"/>
    </row>
    <row r="596" spans="1:11" ht="12.75">
      <c r="A596" s="16"/>
      <c r="B596" s="17"/>
      <c r="C596" s="2"/>
      <c r="D596" s="16"/>
      <c r="E596" s="16"/>
      <c r="F596" s="16"/>
      <c r="G596" s="16"/>
      <c r="H596" s="16"/>
      <c r="I596" s="16"/>
      <c r="J596" s="16"/>
      <c r="K596" s="16"/>
    </row>
    <row r="597" spans="1:11" ht="12.75">
      <c r="A597" s="16"/>
      <c r="B597" s="17"/>
      <c r="C597" s="2"/>
      <c r="D597" s="16"/>
      <c r="E597" s="16"/>
      <c r="F597" s="16"/>
      <c r="G597" s="16"/>
      <c r="H597" s="16"/>
      <c r="I597" s="16"/>
      <c r="J597" s="16"/>
      <c r="K597" s="16"/>
    </row>
    <row r="598" spans="1:11" ht="12.75">
      <c r="A598" s="16"/>
      <c r="B598" s="17"/>
      <c r="C598" s="2"/>
      <c r="D598" s="16"/>
      <c r="E598" s="16"/>
      <c r="F598" s="16"/>
      <c r="G598" s="16"/>
      <c r="H598" s="16"/>
      <c r="I598" s="16"/>
      <c r="J598" s="16"/>
      <c r="K598" s="16"/>
    </row>
    <row r="599" spans="1:11" ht="12.75">
      <c r="A599" s="16"/>
      <c r="B599" s="17"/>
      <c r="C599" s="2"/>
      <c r="D599" s="16"/>
      <c r="E599" s="16"/>
      <c r="F599" s="16"/>
      <c r="G599" s="16"/>
      <c r="H599" s="16"/>
      <c r="I599" s="16"/>
      <c r="J599" s="16"/>
      <c r="K599" s="16"/>
    </row>
    <row r="600" spans="1:11" ht="12.75">
      <c r="A600" s="16"/>
      <c r="B600" s="17"/>
      <c r="C600" s="2"/>
      <c r="D600" s="16"/>
      <c r="E600" s="16"/>
      <c r="F600" s="16"/>
      <c r="G600" s="16"/>
      <c r="H600" s="16"/>
      <c r="I600" s="16"/>
      <c r="J600" s="16"/>
      <c r="K600" s="16"/>
    </row>
    <row r="601" spans="1:11" ht="12.75">
      <c r="A601" s="16"/>
      <c r="B601" s="17"/>
      <c r="C601" s="2"/>
      <c r="D601" s="16"/>
      <c r="E601" s="16"/>
      <c r="F601" s="16"/>
      <c r="G601" s="16"/>
      <c r="H601" s="16"/>
      <c r="I601" s="16"/>
      <c r="J601" s="16"/>
      <c r="K601" s="16"/>
    </row>
    <row r="602" spans="1:11" ht="12.75">
      <c r="A602" s="16"/>
      <c r="B602" s="17"/>
      <c r="C602" s="2"/>
      <c r="D602" s="16"/>
      <c r="E602" s="16"/>
      <c r="F602" s="16"/>
      <c r="G602" s="16"/>
      <c r="H602" s="16"/>
      <c r="I602" s="16"/>
      <c r="J602" s="16"/>
      <c r="K602" s="16"/>
    </row>
    <row r="603" spans="1:11" ht="12.75">
      <c r="A603" s="16"/>
      <c r="B603" s="17"/>
      <c r="C603" s="2"/>
      <c r="D603" s="16"/>
      <c r="E603" s="16"/>
      <c r="F603" s="16"/>
      <c r="G603" s="16"/>
      <c r="H603" s="16"/>
      <c r="I603" s="16"/>
      <c r="J603" s="16"/>
      <c r="K603" s="16"/>
    </row>
    <row r="604" spans="1:11" ht="12.75">
      <c r="A604" s="16"/>
      <c r="B604" s="17"/>
      <c r="C604" s="2"/>
      <c r="D604" s="16"/>
      <c r="E604" s="16"/>
      <c r="F604" s="16"/>
      <c r="G604" s="16"/>
      <c r="H604" s="16"/>
      <c r="I604" s="16"/>
      <c r="J604" s="16"/>
      <c r="K604" s="16"/>
    </row>
    <row r="605" spans="1:11" ht="12.75">
      <c r="A605" s="16"/>
      <c r="B605" s="17"/>
      <c r="C605" s="2"/>
      <c r="D605" s="16"/>
      <c r="E605" s="16"/>
      <c r="F605" s="16"/>
      <c r="G605" s="16"/>
      <c r="H605" s="16"/>
      <c r="I605" s="16"/>
      <c r="J605" s="16"/>
      <c r="K605" s="16"/>
    </row>
    <row r="606" spans="1:11" ht="12.75">
      <c r="A606" s="16"/>
      <c r="B606" s="17"/>
      <c r="C606" s="2"/>
      <c r="D606" s="16"/>
      <c r="E606" s="16"/>
      <c r="F606" s="16"/>
      <c r="G606" s="16"/>
      <c r="H606" s="16"/>
      <c r="I606" s="16"/>
      <c r="J606" s="16"/>
      <c r="K606" s="16"/>
    </row>
    <row r="607" spans="1:11" ht="12.75">
      <c r="A607" s="16"/>
      <c r="B607" s="17"/>
      <c r="C607" s="2"/>
      <c r="D607" s="16"/>
      <c r="E607" s="16"/>
      <c r="F607" s="16"/>
      <c r="G607" s="16"/>
      <c r="H607" s="16"/>
      <c r="I607" s="16"/>
      <c r="J607" s="16"/>
      <c r="K607" s="16"/>
    </row>
    <row r="608" spans="1:11" ht="12.75">
      <c r="A608" s="16"/>
      <c r="B608" s="17"/>
      <c r="C608" s="2"/>
      <c r="D608" s="16"/>
      <c r="E608" s="16"/>
      <c r="F608" s="16"/>
      <c r="G608" s="16"/>
      <c r="H608" s="16"/>
      <c r="I608" s="16"/>
      <c r="J608" s="16"/>
      <c r="K608" s="16"/>
    </row>
    <row r="609" spans="1:11" ht="12.75">
      <c r="A609" s="16"/>
      <c r="B609" s="17"/>
      <c r="C609" s="2"/>
      <c r="D609" s="16"/>
      <c r="E609" s="16"/>
      <c r="F609" s="16"/>
      <c r="G609" s="16"/>
      <c r="H609" s="16"/>
      <c r="I609" s="16"/>
      <c r="J609" s="16"/>
      <c r="K609" s="16"/>
    </row>
    <row r="610" spans="1:11" ht="12.75">
      <c r="A610" s="16"/>
      <c r="B610" s="17"/>
      <c r="C610" s="2"/>
      <c r="D610" s="16"/>
      <c r="E610" s="16"/>
      <c r="F610" s="16"/>
      <c r="G610" s="16"/>
      <c r="H610" s="16"/>
      <c r="I610" s="16"/>
      <c r="J610" s="16"/>
      <c r="K610" s="16"/>
    </row>
    <row r="611" spans="1:11" ht="12.75">
      <c r="A611" s="16"/>
      <c r="B611" s="17"/>
      <c r="C611" s="2"/>
      <c r="D611" s="16"/>
      <c r="E611" s="16"/>
      <c r="F611" s="16"/>
      <c r="G611" s="16"/>
      <c r="H611" s="16"/>
      <c r="I611" s="16"/>
      <c r="J611" s="16"/>
      <c r="K611" s="16"/>
    </row>
    <row r="612" spans="1:11" ht="12.75">
      <c r="A612" s="16"/>
      <c r="B612" s="17"/>
      <c r="C612" s="2"/>
      <c r="D612" s="16"/>
      <c r="E612" s="16"/>
      <c r="F612" s="16"/>
      <c r="G612" s="16"/>
      <c r="H612" s="16"/>
      <c r="I612" s="16"/>
      <c r="J612" s="16"/>
      <c r="K612" s="16"/>
    </row>
    <row r="613" spans="1:11" ht="12.75">
      <c r="A613" s="16"/>
      <c r="B613" s="17"/>
      <c r="C613" s="2"/>
      <c r="D613" s="16"/>
      <c r="E613" s="16"/>
      <c r="F613" s="16"/>
      <c r="G613" s="16"/>
      <c r="H613" s="16"/>
      <c r="I613" s="16"/>
      <c r="J613" s="16"/>
      <c r="K613" s="16"/>
    </row>
    <row r="614" spans="1:11" ht="12.75">
      <c r="A614" s="16"/>
      <c r="B614" s="17"/>
      <c r="C614" s="2"/>
      <c r="D614" s="16"/>
      <c r="E614" s="16"/>
      <c r="F614" s="16"/>
      <c r="G614" s="16"/>
      <c r="H614" s="16"/>
      <c r="I614" s="16"/>
      <c r="J614" s="16"/>
      <c r="K614" s="16"/>
    </row>
    <row r="615" spans="1:11" ht="12.75">
      <c r="A615" s="16"/>
      <c r="B615" s="17"/>
      <c r="C615" s="2"/>
      <c r="D615" s="16"/>
      <c r="E615" s="16"/>
      <c r="F615" s="16"/>
      <c r="G615" s="16"/>
      <c r="H615" s="16"/>
      <c r="I615" s="16"/>
      <c r="J615" s="16"/>
      <c r="K615" s="16"/>
    </row>
    <row r="616" spans="1:11" ht="12.75">
      <c r="A616" s="16"/>
      <c r="B616" s="17"/>
      <c r="C616" s="2"/>
      <c r="D616" s="16"/>
      <c r="E616" s="16"/>
      <c r="F616" s="16"/>
      <c r="G616" s="16"/>
      <c r="H616" s="16"/>
      <c r="I616" s="16"/>
      <c r="J616" s="16"/>
      <c r="K616" s="16"/>
    </row>
    <row r="617" spans="1:11" ht="12.75">
      <c r="A617" s="16"/>
      <c r="B617" s="17"/>
      <c r="C617" s="2"/>
      <c r="D617" s="16"/>
      <c r="E617" s="16"/>
      <c r="F617" s="16"/>
      <c r="G617" s="16"/>
      <c r="H617" s="16"/>
      <c r="I617" s="16"/>
      <c r="J617" s="16"/>
      <c r="K617" s="16"/>
    </row>
    <row r="618" spans="1:11" ht="12.75">
      <c r="A618" s="16"/>
      <c r="B618" s="17"/>
      <c r="C618" s="2"/>
      <c r="D618" s="16"/>
      <c r="E618" s="16"/>
      <c r="F618" s="16"/>
      <c r="G618" s="16"/>
      <c r="H618" s="16"/>
      <c r="I618" s="16"/>
      <c r="J618" s="16"/>
      <c r="K618" s="16"/>
    </row>
    <row r="619" spans="1:11" ht="12.75">
      <c r="A619" s="16"/>
      <c r="B619" s="17"/>
      <c r="C619" s="2"/>
      <c r="D619" s="16"/>
      <c r="E619" s="16"/>
      <c r="F619" s="16"/>
      <c r="G619" s="16"/>
      <c r="H619" s="16"/>
      <c r="I619" s="16"/>
      <c r="J619" s="16"/>
      <c r="K619" s="16"/>
    </row>
    <row r="620" spans="1:11" ht="12.75">
      <c r="A620" s="16"/>
      <c r="B620" s="17"/>
      <c r="C620" s="2"/>
      <c r="D620" s="16"/>
      <c r="E620" s="16"/>
      <c r="F620" s="16"/>
      <c r="G620" s="16"/>
      <c r="H620" s="16"/>
      <c r="I620" s="16"/>
      <c r="J620" s="16"/>
      <c r="K620" s="16"/>
    </row>
    <row r="621" spans="1:11" ht="12.75">
      <c r="A621" s="16"/>
      <c r="B621" s="17"/>
      <c r="C621" s="2"/>
      <c r="D621" s="16"/>
      <c r="E621" s="16"/>
      <c r="F621" s="16"/>
      <c r="G621" s="16"/>
      <c r="H621" s="16"/>
      <c r="I621" s="16"/>
      <c r="J621" s="16"/>
      <c r="K621" s="16"/>
    </row>
    <row r="622" spans="1:11" ht="12.75">
      <c r="A622" s="16"/>
      <c r="B622" s="17"/>
      <c r="C622" s="2"/>
      <c r="D622" s="16"/>
      <c r="E622" s="16"/>
      <c r="F622" s="16"/>
      <c r="G622" s="16"/>
      <c r="H622" s="16"/>
      <c r="I622" s="16"/>
      <c r="J622" s="16"/>
      <c r="K622" s="16"/>
    </row>
    <row r="623" spans="1:11" ht="12.75">
      <c r="A623" s="16"/>
      <c r="B623" s="17"/>
      <c r="C623" s="2"/>
      <c r="D623" s="16"/>
      <c r="E623" s="16"/>
      <c r="F623" s="16"/>
      <c r="G623" s="16"/>
      <c r="H623" s="16"/>
      <c r="I623" s="16"/>
      <c r="J623" s="16"/>
      <c r="K623" s="16"/>
    </row>
    <row r="624" spans="1:11" ht="12.75">
      <c r="A624" s="16"/>
      <c r="B624" s="17"/>
      <c r="C624" s="2"/>
      <c r="D624" s="16"/>
      <c r="E624" s="16"/>
      <c r="F624" s="16"/>
      <c r="G624" s="16"/>
      <c r="H624" s="16"/>
      <c r="I624" s="16"/>
      <c r="J624" s="16"/>
      <c r="K624" s="16"/>
    </row>
    <row r="625" spans="1:11" ht="12.75">
      <c r="A625" s="16"/>
      <c r="B625" s="17"/>
      <c r="C625" s="2"/>
      <c r="D625" s="16"/>
      <c r="E625" s="16"/>
      <c r="F625" s="16"/>
      <c r="G625" s="16"/>
      <c r="H625" s="16"/>
      <c r="I625" s="16"/>
      <c r="J625" s="16"/>
      <c r="K625" s="16"/>
    </row>
    <row r="626" spans="1:11" ht="12.75">
      <c r="A626" s="16"/>
      <c r="B626" s="17"/>
      <c r="C626" s="2"/>
      <c r="D626" s="16"/>
      <c r="E626" s="16"/>
      <c r="F626" s="16"/>
      <c r="G626" s="16"/>
      <c r="H626" s="16"/>
      <c r="I626" s="16"/>
      <c r="J626" s="16"/>
      <c r="K626" s="16"/>
    </row>
    <row r="627" spans="1:11" ht="12.75">
      <c r="A627" s="16"/>
      <c r="B627" s="17"/>
      <c r="C627" s="2"/>
      <c r="D627" s="16"/>
      <c r="E627" s="16"/>
      <c r="F627" s="16"/>
      <c r="G627" s="16"/>
      <c r="H627" s="16"/>
      <c r="I627" s="16"/>
      <c r="J627" s="16"/>
      <c r="K627" s="16"/>
    </row>
    <row r="628" spans="1:11" ht="12.75">
      <c r="A628" s="16"/>
      <c r="B628" s="17"/>
      <c r="C628" s="2"/>
      <c r="D628" s="16"/>
      <c r="E628" s="16"/>
      <c r="F628" s="16"/>
      <c r="G628" s="16"/>
      <c r="H628" s="16"/>
      <c r="I628" s="16"/>
      <c r="J628" s="16"/>
      <c r="K628" s="16"/>
    </row>
    <row r="629" spans="1:11" ht="12.75">
      <c r="A629" s="16"/>
      <c r="B629" s="17"/>
      <c r="C629" s="2"/>
      <c r="D629" s="16"/>
      <c r="E629" s="16"/>
      <c r="F629" s="16"/>
      <c r="G629" s="16"/>
      <c r="H629" s="16"/>
      <c r="I629" s="16"/>
      <c r="J629" s="16"/>
      <c r="K629" s="16"/>
    </row>
    <row r="630" spans="1:11" ht="12.75">
      <c r="A630" s="16"/>
      <c r="B630" s="17"/>
      <c r="C630" s="2"/>
      <c r="D630" s="16"/>
      <c r="E630" s="16"/>
      <c r="F630" s="16"/>
      <c r="G630" s="16"/>
      <c r="H630" s="16"/>
      <c r="I630" s="16"/>
      <c r="J630" s="16"/>
      <c r="K630" s="16"/>
    </row>
    <row r="631" spans="1:11" ht="12.75">
      <c r="A631" s="16"/>
      <c r="B631" s="17"/>
      <c r="C631" s="2"/>
      <c r="D631" s="16"/>
      <c r="E631" s="16"/>
      <c r="F631" s="16"/>
      <c r="G631" s="16"/>
      <c r="H631" s="16"/>
      <c r="I631" s="16"/>
      <c r="J631" s="16"/>
      <c r="K631" s="16"/>
    </row>
    <row r="632" spans="1:11" ht="12.75">
      <c r="A632" s="16"/>
      <c r="B632" s="17"/>
      <c r="C632" s="2"/>
      <c r="D632" s="16"/>
      <c r="E632" s="16"/>
      <c r="F632" s="16"/>
      <c r="G632" s="16"/>
      <c r="H632" s="16"/>
      <c r="I632" s="16"/>
      <c r="J632" s="16"/>
      <c r="K632" s="16"/>
    </row>
    <row r="633" spans="1:11" ht="12.75">
      <c r="A633" s="16"/>
      <c r="B633" s="17"/>
      <c r="C633" s="2"/>
      <c r="D633" s="16"/>
      <c r="E633" s="16"/>
      <c r="F633" s="16"/>
      <c r="G633" s="16"/>
      <c r="H633" s="16"/>
      <c r="I633" s="16"/>
      <c r="J633" s="16"/>
      <c r="K633" s="16"/>
    </row>
    <row r="634" spans="1:11" ht="12.75">
      <c r="A634" s="16"/>
      <c r="B634" s="17"/>
      <c r="C634" s="2"/>
      <c r="D634" s="16"/>
      <c r="E634" s="16"/>
      <c r="F634" s="16"/>
      <c r="G634" s="16"/>
      <c r="H634" s="16"/>
      <c r="I634" s="16"/>
      <c r="J634" s="16"/>
      <c r="K634" s="16"/>
    </row>
    <row r="635" spans="1:11" ht="12.75">
      <c r="A635" s="16"/>
      <c r="B635" s="17"/>
      <c r="C635" s="2"/>
      <c r="D635" s="16"/>
      <c r="E635" s="16"/>
      <c r="F635" s="16"/>
      <c r="G635" s="16"/>
      <c r="H635" s="16"/>
      <c r="I635" s="16"/>
      <c r="J635" s="16"/>
      <c r="K635" s="16"/>
    </row>
    <row r="636" spans="1:11" ht="12.75">
      <c r="A636" s="16"/>
      <c r="B636" s="17"/>
      <c r="C636" s="2"/>
      <c r="D636" s="16"/>
      <c r="E636" s="16"/>
      <c r="F636" s="16"/>
      <c r="G636" s="16"/>
      <c r="H636" s="16"/>
      <c r="I636" s="16"/>
      <c r="J636" s="16"/>
      <c r="K636" s="16"/>
    </row>
    <row r="637" spans="1:11" ht="12.75">
      <c r="A637" s="16"/>
      <c r="B637" s="17"/>
      <c r="C637" s="2"/>
      <c r="D637" s="16"/>
      <c r="E637" s="16"/>
      <c r="F637" s="16"/>
      <c r="G637" s="16"/>
      <c r="H637" s="16"/>
      <c r="I637" s="16"/>
      <c r="J637" s="16"/>
      <c r="K637" s="16"/>
    </row>
    <row r="638" spans="1:11" ht="12.75">
      <c r="A638" s="16"/>
      <c r="B638" s="17"/>
      <c r="C638" s="2"/>
      <c r="D638" s="16"/>
      <c r="E638" s="16"/>
      <c r="F638" s="16"/>
      <c r="G638" s="16"/>
      <c r="H638" s="16"/>
      <c r="I638" s="16"/>
      <c r="J638" s="16"/>
      <c r="K638" s="16"/>
    </row>
    <row r="639" spans="1:11" ht="12.75">
      <c r="A639" s="16"/>
      <c r="B639" s="17"/>
      <c r="C639" s="2"/>
      <c r="D639" s="16"/>
      <c r="E639" s="16"/>
      <c r="F639" s="16"/>
      <c r="G639" s="16"/>
      <c r="H639" s="16"/>
      <c r="I639" s="16"/>
      <c r="J639" s="16"/>
      <c r="K639" s="16"/>
    </row>
    <row r="640" spans="1:11" ht="12.75">
      <c r="A640" s="16"/>
      <c r="B640" s="17"/>
      <c r="C640" s="2"/>
      <c r="D640" s="16"/>
      <c r="E640" s="16"/>
      <c r="F640" s="16"/>
      <c r="G640" s="16"/>
      <c r="H640" s="16"/>
      <c r="I640" s="16"/>
      <c r="J640" s="16"/>
      <c r="K640" s="16"/>
    </row>
    <row r="641" spans="1:11" ht="12.75">
      <c r="A641" s="16"/>
      <c r="B641" s="17"/>
      <c r="C641" s="2"/>
      <c r="D641" s="16"/>
      <c r="E641" s="16"/>
      <c r="F641" s="16"/>
      <c r="G641" s="16"/>
      <c r="H641" s="16"/>
      <c r="I641" s="16"/>
      <c r="J641" s="16"/>
      <c r="K641" s="16"/>
    </row>
    <row r="642" spans="1:11" ht="12.75">
      <c r="A642" s="16"/>
      <c r="B642" s="17"/>
      <c r="C642" s="2"/>
      <c r="D642" s="16"/>
      <c r="E642" s="16"/>
      <c r="F642" s="16"/>
      <c r="G642" s="16"/>
      <c r="H642" s="16"/>
      <c r="I642" s="16"/>
      <c r="J642" s="16"/>
      <c r="K642" s="16"/>
    </row>
    <row r="643" spans="1:11" ht="12.75">
      <c r="A643" s="16"/>
      <c r="B643" s="17"/>
      <c r="C643" s="2"/>
      <c r="D643" s="16"/>
      <c r="E643" s="16"/>
      <c r="F643" s="16"/>
      <c r="G643" s="16"/>
      <c r="H643" s="16"/>
      <c r="I643" s="16"/>
      <c r="J643" s="16"/>
      <c r="K643" s="16"/>
    </row>
    <row r="644" spans="1:11" ht="12.75">
      <c r="A644" s="16"/>
      <c r="B644" s="17"/>
      <c r="C644" s="2"/>
      <c r="D644" s="16"/>
      <c r="E644" s="16"/>
      <c r="F644" s="16"/>
      <c r="G644" s="16"/>
      <c r="H644" s="16"/>
      <c r="I644" s="16"/>
      <c r="J644" s="16"/>
      <c r="K644" s="16"/>
    </row>
    <row r="645" spans="1:11" ht="12.75">
      <c r="A645" s="16"/>
      <c r="B645" s="17"/>
      <c r="C645" s="2"/>
      <c r="D645" s="16"/>
      <c r="E645" s="16"/>
      <c r="F645" s="16"/>
      <c r="G645" s="16"/>
      <c r="H645" s="16"/>
      <c r="I645" s="16"/>
      <c r="J645" s="16"/>
      <c r="K645" s="16"/>
    </row>
    <row r="646" spans="1:11" ht="12.75">
      <c r="A646" s="16"/>
      <c r="B646" s="17"/>
      <c r="C646" s="2"/>
      <c r="D646" s="16"/>
      <c r="E646" s="16"/>
      <c r="F646" s="16"/>
      <c r="G646" s="16"/>
      <c r="H646" s="16"/>
      <c r="I646" s="16"/>
      <c r="J646" s="16"/>
      <c r="K646" s="16"/>
    </row>
    <row r="647" spans="1:11" ht="12.75">
      <c r="A647" s="16"/>
      <c r="B647" s="17"/>
      <c r="C647" s="2"/>
      <c r="D647" s="16"/>
      <c r="E647" s="16"/>
      <c r="F647" s="16"/>
      <c r="G647" s="16"/>
      <c r="H647" s="16"/>
      <c r="I647" s="16"/>
      <c r="J647" s="16"/>
      <c r="K647" s="16"/>
    </row>
    <row r="648" spans="1:11" ht="12.75">
      <c r="A648" s="16"/>
      <c r="B648" s="17"/>
      <c r="C648" s="2"/>
      <c r="D648" s="16"/>
      <c r="E648" s="16"/>
      <c r="F648" s="16"/>
      <c r="G648" s="16"/>
      <c r="H648" s="16"/>
      <c r="I648" s="16"/>
      <c r="J648" s="16"/>
      <c r="K648" s="16"/>
    </row>
    <row r="649" spans="1:11" ht="12.75">
      <c r="A649" s="16"/>
      <c r="B649" s="17"/>
      <c r="C649" s="2"/>
      <c r="D649" s="16"/>
      <c r="E649" s="16"/>
      <c r="F649" s="16"/>
      <c r="G649" s="16"/>
      <c r="H649" s="16"/>
      <c r="I649" s="16"/>
      <c r="J649" s="16"/>
      <c r="K649" s="16"/>
    </row>
    <row r="650" spans="1:11" ht="12.75">
      <c r="A650" s="16"/>
      <c r="B650" s="17"/>
      <c r="C650" s="2"/>
      <c r="D650" s="16"/>
      <c r="E650" s="16"/>
      <c r="F650" s="16"/>
      <c r="G650" s="16"/>
      <c r="H650" s="16"/>
      <c r="I650" s="16"/>
      <c r="J650" s="16"/>
      <c r="K650" s="16"/>
    </row>
    <row r="651" spans="1:11" ht="12.75">
      <c r="A651" s="16"/>
      <c r="B651" s="17"/>
      <c r="C651" s="2"/>
      <c r="D651" s="16"/>
      <c r="E651" s="16"/>
      <c r="F651" s="16"/>
      <c r="G651" s="16"/>
      <c r="H651" s="16"/>
      <c r="I651" s="16"/>
      <c r="J651" s="16"/>
      <c r="K651" s="16"/>
    </row>
    <row r="652" spans="1:11" ht="12.75">
      <c r="A652" s="16"/>
      <c r="B652" s="17"/>
      <c r="C652" s="2"/>
      <c r="D652" s="16"/>
      <c r="E652" s="16"/>
      <c r="F652" s="16"/>
      <c r="G652" s="16"/>
      <c r="H652" s="16"/>
      <c r="I652" s="16"/>
      <c r="J652" s="16"/>
      <c r="K652" s="16"/>
    </row>
    <row r="653" spans="1:11" ht="12.75">
      <c r="A653" s="16"/>
      <c r="B653" s="17"/>
      <c r="C653" s="2"/>
      <c r="D653" s="16"/>
      <c r="E653" s="16"/>
      <c r="F653" s="16"/>
      <c r="G653" s="16"/>
      <c r="H653" s="16"/>
      <c r="I653" s="16"/>
      <c r="J653" s="16"/>
      <c r="K653" s="16"/>
    </row>
    <row r="654" spans="1:11" ht="12.75">
      <c r="A654" s="16"/>
      <c r="B654" s="17"/>
      <c r="C654" s="2"/>
      <c r="D654" s="16"/>
      <c r="E654" s="16"/>
      <c r="F654" s="16"/>
      <c r="G654" s="16"/>
      <c r="H654" s="16"/>
      <c r="I654" s="16"/>
      <c r="J654" s="16"/>
      <c r="K654" s="16"/>
    </row>
    <row r="655" spans="1:11" ht="12.75">
      <c r="A655" s="16"/>
      <c r="B655" s="17"/>
      <c r="C655" s="2"/>
      <c r="D655" s="16"/>
      <c r="E655" s="16"/>
      <c r="F655" s="16"/>
      <c r="G655" s="16"/>
      <c r="H655" s="16"/>
      <c r="I655" s="16"/>
      <c r="J655" s="16"/>
      <c r="K655" s="16"/>
    </row>
    <row r="656" spans="1:11" ht="12.75">
      <c r="A656" s="16"/>
      <c r="B656" s="17"/>
      <c r="C656" s="2"/>
      <c r="D656" s="16"/>
      <c r="E656" s="16"/>
      <c r="F656" s="16"/>
      <c r="G656" s="16"/>
      <c r="H656" s="16"/>
      <c r="I656" s="16"/>
      <c r="J656" s="16"/>
      <c r="K656" s="16"/>
    </row>
    <row r="657" spans="1:11" ht="12.75">
      <c r="A657" s="16"/>
      <c r="B657" s="17"/>
      <c r="C657" s="2"/>
      <c r="D657" s="16"/>
      <c r="E657" s="16"/>
      <c r="F657" s="16"/>
      <c r="G657" s="16"/>
      <c r="H657" s="16"/>
      <c r="I657" s="16"/>
      <c r="J657" s="16"/>
      <c r="K657" s="16"/>
    </row>
    <row r="658" spans="1:11" ht="12.75">
      <c r="A658" s="16"/>
      <c r="B658" s="17"/>
      <c r="C658" s="2"/>
      <c r="D658" s="16"/>
      <c r="E658" s="16"/>
      <c r="F658" s="16"/>
      <c r="G658" s="16"/>
      <c r="H658" s="16"/>
      <c r="I658" s="16"/>
      <c r="J658" s="16"/>
      <c r="K658" s="16"/>
    </row>
    <row r="659" spans="1:11" ht="12.75">
      <c r="A659" s="16"/>
      <c r="B659" s="17"/>
      <c r="C659" s="2"/>
      <c r="D659" s="16"/>
      <c r="E659" s="16"/>
      <c r="F659" s="16"/>
      <c r="G659" s="16"/>
      <c r="H659" s="16"/>
      <c r="I659" s="16"/>
      <c r="J659" s="16"/>
      <c r="K659" s="16"/>
    </row>
    <row r="660" spans="1:11" ht="12.75">
      <c r="A660" s="16"/>
      <c r="B660" s="17"/>
      <c r="C660" s="2"/>
      <c r="D660" s="16"/>
      <c r="E660" s="16"/>
      <c r="F660" s="16"/>
      <c r="G660" s="16"/>
      <c r="H660" s="16"/>
      <c r="I660" s="16"/>
      <c r="J660" s="16"/>
      <c r="K660" s="16"/>
    </row>
    <row r="661" spans="1:11" ht="12.75">
      <c r="A661" s="16"/>
      <c r="B661" s="17"/>
      <c r="C661" s="2"/>
      <c r="D661" s="16"/>
      <c r="E661" s="16"/>
      <c r="F661" s="16"/>
      <c r="G661" s="16"/>
      <c r="H661" s="16"/>
      <c r="I661" s="16"/>
      <c r="J661" s="16"/>
      <c r="K661" s="16"/>
    </row>
    <row r="662" spans="1:11" ht="12.75">
      <c r="A662" s="16"/>
      <c r="B662" s="17"/>
      <c r="C662" s="2"/>
      <c r="D662" s="16"/>
      <c r="E662" s="16"/>
      <c r="F662" s="16"/>
      <c r="G662" s="16"/>
      <c r="H662" s="16"/>
      <c r="I662" s="16"/>
      <c r="J662" s="16"/>
      <c r="K662" s="16"/>
    </row>
    <row r="663" spans="1:11" ht="12.75">
      <c r="A663" s="16"/>
      <c r="B663" s="17"/>
      <c r="C663" s="2"/>
      <c r="D663" s="16"/>
      <c r="E663" s="16"/>
      <c r="F663" s="16"/>
      <c r="G663" s="16"/>
      <c r="H663" s="16"/>
      <c r="I663" s="16"/>
      <c r="J663" s="16"/>
      <c r="K663" s="16"/>
    </row>
    <row r="664" spans="1:11" ht="12.75">
      <c r="A664" s="16"/>
      <c r="B664" s="17"/>
      <c r="C664" s="2"/>
      <c r="D664" s="16"/>
      <c r="E664" s="16"/>
      <c r="F664" s="16"/>
      <c r="G664" s="16"/>
      <c r="H664" s="16"/>
      <c r="I664" s="16"/>
      <c r="J664" s="16"/>
      <c r="K664" s="16"/>
    </row>
    <row r="665" spans="1:11" ht="12.75">
      <c r="A665" s="16"/>
      <c r="B665" s="17"/>
      <c r="C665" s="2"/>
      <c r="D665" s="16"/>
      <c r="E665" s="16"/>
      <c r="F665" s="16"/>
      <c r="G665" s="16"/>
      <c r="H665" s="16"/>
      <c r="I665" s="16"/>
      <c r="J665" s="16"/>
      <c r="K665" s="16"/>
    </row>
    <row r="666" spans="1:11" ht="12.75">
      <c r="A666" s="16"/>
      <c r="B666" s="17"/>
      <c r="C666" s="2"/>
      <c r="D666" s="16"/>
      <c r="E666" s="16"/>
      <c r="F666" s="16"/>
      <c r="G666" s="16"/>
      <c r="H666" s="16"/>
      <c r="I666" s="16"/>
      <c r="J666" s="16"/>
      <c r="K666" s="16"/>
    </row>
    <row r="667" spans="1:11" ht="12.75">
      <c r="A667" s="16"/>
      <c r="B667" s="17"/>
      <c r="C667" s="2"/>
      <c r="D667" s="16"/>
      <c r="E667" s="16"/>
      <c r="F667" s="16"/>
      <c r="G667" s="16"/>
      <c r="H667" s="16"/>
      <c r="I667" s="16"/>
      <c r="J667" s="16"/>
      <c r="K667" s="16"/>
    </row>
    <row r="668" spans="1:11" ht="12.75">
      <c r="A668" s="16"/>
      <c r="B668" s="17"/>
      <c r="C668" s="2"/>
      <c r="D668" s="16"/>
      <c r="E668" s="16"/>
      <c r="F668" s="16"/>
      <c r="G668" s="16"/>
      <c r="H668" s="16"/>
      <c r="I668" s="16"/>
      <c r="J668" s="16"/>
      <c r="K668" s="16"/>
    </row>
    <row r="669" spans="1:11" ht="12.75">
      <c r="A669" s="16"/>
      <c r="B669" s="17"/>
      <c r="C669" s="2"/>
      <c r="D669" s="16"/>
      <c r="E669" s="16"/>
      <c r="F669" s="16"/>
      <c r="G669" s="16"/>
      <c r="H669" s="16"/>
      <c r="I669" s="16"/>
      <c r="J669" s="16"/>
      <c r="K669" s="16"/>
    </row>
    <row r="670" spans="1:11" ht="12.75">
      <c r="A670" s="16"/>
      <c r="B670" s="17"/>
      <c r="C670" s="2"/>
      <c r="D670" s="16"/>
      <c r="E670" s="16"/>
      <c r="F670" s="16"/>
      <c r="G670" s="16"/>
      <c r="H670" s="16"/>
      <c r="I670" s="16"/>
      <c r="J670" s="16"/>
      <c r="K670" s="16"/>
    </row>
    <row r="671" spans="1:11" ht="12.75">
      <c r="A671" s="16"/>
      <c r="B671" s="17"/>
      <c r="C671" s="2"/>
      <c r="D671" s="16"/>
      <c r="E671" s="16"/>
      <c r="F671" s="16"/>
      <c r="G671" s="16"/>
      <c r="H671" s="16"/>
      <c r="I671" s="16"/>
      <c r="J671" s="16"/>
      <c r="K671" s="16"/>
    </row>
    <row r="672" spans="1:11" ht="12.75">
      <c r="A672" s="16"/>
      <c r="B672" s="17"/>
      <c r="C672" s="2"/>
      <c r="D672" s="16"/>
      <c r="E672" s="16"/>
      <c r="F672" s="16"/>
      <c r="G672" s="16"/>
      <c r="H672" s="16"/>
      <c r="I672" s="16"/>
      <c r="J672" s="16"/>
      <c r="K672" s="16"/>
    </row>
    <row r="673" spans="1:11" ht="12.75">
      <c r="A673" s="16"/>
      <c r="B673" s="17"/>
      <c r="C673" s="2"/>
      <c r="D673" s="16"/>
      <c r="E673" s="16"/>
      <c r="F673" s="16"/>
      <c r="G673" s="16"/>
      <c r="H673" s="16"/>
      <c r="I673" s="16"/>
      <c r="J673" s="16"/>
      <c r="K673" s="16"/>
    </row>
    <row r="674" spans="1:11" ht="12.75">
      <c r="A674" s="16"/>
      <c r="B674" s="17"/>
      <c r="C674" s="2"/>
      <c r="D674" s="16"/>
      <c r="E674" s="16"/>
      <c r="F674" s="16"/>
      <c r="G674" s="16"/>
      <c r="H674" s="16"/>
      <c r="I674" s="16"/>
      <c r="J674" s="16"/>
      <c r="K674" s="16"/>
    </row>
    <row r="675" spans="1:11" ht="12.75">
      <c r="A675" s="16"/>
      <c r="B675" s="17"/>
      <c r="C675" s="2"/>
      <c r="D675" s="16"/>
      <c r="E675" s="16"/>
      <c r="F675" s="16"/>
      <c r="G675" s="16"/>
      <c r="H675" s="16"/>
      <c r="I675" s="16"/>
      <c r="J675" s="16"/>
      <c r="K675" s="16"/>
    </row>
    <row r="676" spans="1:11" ht="12.75">
      <c r="A676" s="16"/>
      <c r="B676" s="17"/>
      <c r="C676" s="2"/>
      <c r="D676" s="16"/>
      <c r="E676" s="16"/>
      <c r="F676" s="16"/>
      <c r="G676" s="16"/>
      <c r="H676" s="16"/>
      <c r="I676" s="16"/>
      <c r="J676" s="16"/>
      <c r="K676" s="16"/>
    </row>
    <row r="677" spans="1:11" ht="12.75">
      <c r="A677" s="16"/>
      <c r="B677" s="17"/>
      <c r="C677" s="2"/>
      <c r="D677" s="16"/>
      <c r="E677" s="16"/>
      <c r="F677" s="16"/>
      <c r="G677" s="16"/>
      <c r="H677" s="16"/>
      <c r="I677" s="16"/>
      <c r="J677" s="16"/>
      <c r="K677" s="16"/>
    </row>
    <row r="678" spans="1:11" ht="12.75">
      <c r="A678" s="16"/>
      <c r="B678" s="17"/>
      <c r="C678" s="2"/>
      <c r="D678" s="16"/>
      <c r="E678" s="16"/>
      <c r="F678" s="16"/>
      <c r="G678" s="16"/>
      <c r="H678" s="16"/>
      <c r="I678" s="16"/>
      <c r="J678" s="16"/>
      <c r="K678" s="16"/>
    </row>
    <row r="679" spans="1:11" ht="12.75">
      <c r="A679" s="16"/>
      <c r="B679" s="17"/>
      <c r="C679" s="2"/>
      <c r="D679" s="16"/>
      <c r="E679" s="16"/>
      <c r="F679" s="16"/>
      <c r="G679" s="16"/>
      <c r="H679" s="16"/>
      <c r="I679" s="16"/>
      <c r="J679" s="16"/>
      <c r="K679" s="16"/>
    </row>
    <row r="680" spans="1:11" ht="12.75">
      <c r="A680" s="16"/>
      <c r="B680" s="17"/>
      <c r="C680" s="2"/>
      <c r="D680" s="16"/>
      <c r="E680" s="16"/>
      <c r="F680" s="16"/>
      <c r="G680" s="16"/>
      <c r="H680" s="16"/>
      <c r="I680" s="16"/>
      <c r="J680" s="16"/>
      <c r="K680" s="16"/>
    </row>
    <row r="681" spans="1:11" ht="12.75">
      <c r="A681" s="16"/>
      <c r="B681" s="17"/>
      <c r="C681" s="2"/>
      <c r="D681" s="16"/>
      <c r="E681" s="16"/>
      <c r="F681" s="16"/>
      <c r="G681" s="16"/>
      <c r="H681" s="16"/>
      <c r="I681" s="16"/>
      <c r="J681" s="16"/>
      <c r="K681" s="16"/>
    </row>
    <row r="682" spans="1:11" ht="12.75">
      <c r="A682" s="16"/>
      <c r="B682" s="17"/>
      <c r="C682" s="2"/>
      <c r="D682" s="16"/>
      <c r="E682" s="16"/>
      <c r="F682" s="16"/>
      <c r="G682" s="16"/>
      <c r="H682" s="16"/>
      <c r="I682" s="16"/>
      <c r="J682" s="16"/>
      <c r="K682" s="16"/>
    </row>
    <row r="683" spans="1:11" ht="12.75">
      <c r="A683" s="16"/>
      <c r="B683" s="17"/>
      <c r="C683" s="2"/>
      <c r="D683" s="16"/>
      <c r="E683" s="16"/>
      <c r="F683" s="16"/>
      <c r="G683" s="16"/>
      <c r="H683" s="16"/>
      <c r="I683" s="16"/>
      <c r="J683" s="16"/>
      <c r="K683" s="16"/>
    </row>
    <row r="684" spans="1:11" ht="12.75">
      <c r="A684" s="16"/>
      <c r="B684" s="17"/>
      <c r="C684" s="2"/>
      <c r="D684" s="16"/>
      <c r="E684" s="16"/>
      <c r="F684" s="16"/>
      <c r="G684" s="16"/>
      <c r="H684" s="16"/>
      <c r="I684" s="16"/>
      <c r="J684" s="16"/>
      <c r="K684" s="16"/>
    </row>
    <row r="685" spans="1:11" ht="12.75">
      <c r="A685" s="16"/>
      <c r="B685" s="17"/>
      <c r="C685" s="2"/>
      <c r="D685" s="16"/>
      <c r="E685" s="16"/>
      <c r="F685" s="16"/>
      <c r="G685" s="16"/>
      <c r="H685" s="16"/>
      <c r="I685" s="16"/>
      <c r="J685" s="16"/>
      <c r="K685" s="16"/>
    </row>
    <row r="686" spans="1:11" ht="12.75">
      <c r="A686" s="16"/>
      <c r="B686" s="17"/>
      <c r="C686" s="2"/>
      <c r="D686" s="16"/>
      <c r="E686" s="16"/>
      <c r="F686" s="16"/>
      <c r="G686" s="16"/>
      <c r="H686" s="16"/>
      <c r="I686" s="16"/>
      <c r="J686" s="16"/>
      <c r="K686" s="16"/>
    </row>
    <row r="687" spans="1:11" ht="12.75">
      <c r="A687" s="16"/>
      <c r="B687" s="17"/>
      <c r="C687" s="2"/>
      <c r="D687" s="16"/>
      <c r="E687" s="16"/>
      <c r="F687" s="16"/>
      <c r="G687" s="16"/>
      <c r="H687" s="16"/>
      <c r="I687" s="16"/>
      <c r="J687" s="16"/>
      <c r="K687" s="16"/>
    </row>
    <row r="688" spans="1:11" ht="12.75">
      <c r="A688" s="16"/>
      <c r="B688" s="17"/>
      <c r="C688" s="2"/>
      <c r="D688" s="16"/>
      <c r="E688" s="16"/>
      <c r="F688" s="16"/>
      <c r="G688" s="16"/>
      <c r="H688" s="16"/>
      <c r="I688" s="16"/>
      <c r="J688" s="16"/>
      <c r="K688" s="16"/>
    </row>
    <row r="689" spans="1:11" ht="12.75">
      <c r="A689" s="16"/>
      <c r="B689" s="17"/>
      <c r="C689" s="2"/>
      <c r="D689" s="16"/>
      <c r="E689" s="16"/>
      <c r="F689" s="16"/>
      <c r="G689" s="16"/>
      <c r="H689" s="16"/>
      <c r="I689" s="16"/>
      <c r="J689" s="16"/>
      <c r="K689" s="16"/>
    </row>
    <row r="690" spans="1:11" ht="12.75">
      <c r="A690" s="16"/>
      <c r="B690" s="17"/>
      <c r="C690" s="2"/>
      <c r="D690" s="16"/>
      <c r="E690" s="16"/>
      <c r="F690" s="16"/>
      <c r="G690" s="16"/>
      <c r="H690" s="16"/>
      <c r="I690" s="16"/>
      <c r="J690" s="16"/>
      <c r="K690" s="16"/>
    </row>
    <row r="691" spans="1:11" ht="12.75">
      <c r="A691" s="16"/>
      <c r="B691" s="17"/>
      <c r="C691" s="2"/>
      <c r="D691" s="16"/>
      <c r="E691" s="16"/>
      <c r="F691" s="16"/>
      <c r="G691" s="16"/>
      <c r="H691" s="16"/>
      <c r="I691" s="16"/>
      <c r="J691" s="16"/>
      <c r="K691" s="16"/>
    </row>
    <row r="692" spans="1:11" ht="12.75">
      <c r="A692" s="16"/>
      <c r="B692" s="17"/>
      <c r="C692" s="2"/>
      <c r="D692" s="16"/>
      <c r="E692" s="16"/>
      <c r="F692" s="16"/>
      <c r="G692" s="16"/>
      <c r="H692" s="16"/>
      <c r="I692" s="16"/>
      <c r="J692" s="16"/>
      <c r="K692" s="16"/>
    </row>
    <row r="693" spans="1:11" ht="12.75">
      <c r="A693" s="16"/>
      <c r="B693" s="17"/>
      <c r="C693" s="2"/>
      <c r="D693" s="16"/>
      <c r="E693" s="16"/>
      <c r="F693" s="16"/>
      <c r="G693" s="16"/>
      <c r="H693" s="16"/>
      <c r="I693" s="16"/>
      <c r="J693" s="16"/>
      <c r="K693" s="16"/>
    </row>
    <row r="694" spans="1:11" ht="12.75">
      <c r="A694" s="16"/>
      <c r="B694" s="17"/>
      <c r="C694" s="2"/>
      <c r="D694" s="16"/>
      <c r="E694" s="16"/>
      <c r="F694" s="16"/>
      <c r="G694" s="16"/>
      <c r="H694" s="16"/>
      <c r="I694" s="16"/>
      <c r="J694" s="16"/>
      <c r="K694" s="16"/>
    </row>
    <row r="695" spans="1:11" ht="12.75">
      <c r="A695" s="16"/>
      <c r="B695" s="17"/>
      <c r="C695" s="2"/>
      <c r="D695" s="16"/>
      <c r="E695" s="16"/>
      <c r="F695" s="16"/>
      <c r="G695" s="16"/>
      <c r="H695" s="16"/>
      <c r="I695" s="16"/>
      <c r="J695" s="16"/>
      <c r="K695" s="16"/>
    </row>
    <row r="696" spans="1:11" ht="12.75">
      <c r="A696" s="16"/>
      <c r="B696" s="17"/>
      <c r="C696" s="2"/>
      <c r="D696" s="16"/>
      <c r="E696" s="16"/>
      <c r="F696" s="16"/>
      <c r="G696" s="16"/>
      <c r="H696" s="16"/>
      <c r="I696" s="16"/>
      <c r="J696" s="16"/>
      <c r="K696" s="16"/>
    </row>
    <row r="697" spans="1:11" ht="12.75">
      <c r="A697" s="16"/>
      <c r="B697" s="17"/>
      <c r="C697" s="2"/>
      <c r="D697" s="16"/>
      <c r="E697" s="16"/>
      <c r="F697" s="16"/>
      <c r="G697" s="16"/>
      <c r="H697" s="16"/>
      <c r="I697" s="16"/>
      <c r="J697" s="16"/>
      <c r="K697" s="16"/>
    </row>
    <row r="698" spans="1:11" ht="12.75">
      <c r="A698" s="16"/>
      <c r="B698" s="17"/>
      <c r="C698" s="2"/>
      <c r="D698" s="16"/>
      <c r="E698" s="16"/>
      <c r="F698" s="16"/>
      <c r="G698" s="16"/>
      <c r="H698" s="16"/>
      <c r="I698" s="16"/>
      <c r="J698" s="16"/>
      <c r="K698" s="16"/>
    </row>
    <row r="699" spans="1:11" ht="12.75">
      <c r="A699" s="16"/>
      <c r="B699" s="17"/>
      <c r="C699" s="2"/>
      <c r="D699" s="16"/>
      <c r="E699" s="16"/>
      <c r="F699" s="16"/>
      <c r="G699" s="16"/>
      <c r="H699" s="16"/>
      <c r="I699" s="16"/>
      <c r="J699" s="16"/>
      <c r="K699" s="16"/>
    </row>
    <row r="700" spans="1:11" ht="12.75">
      <c r="A700" s="16"/>
      <c r="B700" s="17"/>
      <c r="C700" s="2"/>
      <c r="D700" s="16"/>
      <c r="E700" s="16"/>
      <c r="F700" s="16"/>
      <c r="G700" s="16"/>
      <c r="H700" s="16"/>
      <c r="I700" s="16"/>
      <c r="J700" s="16"/>
      <c r="K700" s="16"/>
    </row>
    <row r="701" spans="1:11" ht="12.75">
      <c r="A701" s="16"/>
      <c r="B701" s="17"/>
      <c r="C701" s="2"/>
      <c r="D701" s="16"/>
      <c r="E701" s="16"/>
      <c r="F701" s="16"/>
      <c r="G701" s="16"/>
      <c r="H701" s="16"/>
      <c r="I701" s="16"/>
      <c r="J701" s="16"/>
      <c r="K701" s="16"/>
    </row>
    <row r="702" spans="1:11" ht="12.75">
      <c r="A702" s="16"/>
      <c r="B702" s="17"/>
      <c r="C702" s="2"/>
      <c r="D702" s="16"/>
      <c r="E702" s="16"/>
      <c r="F702" s="16"/>
      <c r="G702" s="16"/>
      <c r="H702" s="16"/>
      <c r="I702" s="16"/>
      <c r="J702" s="16"/>
      <c r="K702" s="16"/>
    </row>
    <row r="703" spans="1:11" ht="12.75">
      <c r="A703" s="16"/>
      <c r="B703" s="17"/>
      <c r="C703" s="2"/>
      <c r="D703" s="16"/>
      <c r="E703" s="16"/>
      <c r="F703" s="16"/>
      <c r="G703" s="16"/>
      <c r="H703" s="16"/>
      <c r="I703" s="16"/>
      <c r="J703" s="16"/>
      <c r="K703" s="16"/>
    </row>
    <row r="704" spans="1:11" ht="12.75">
      <c r="A704" s="16"/>
      <c r="B704" s="17"/>
      <c r="C704" s="2"/>
      <c r="D704" s="16"/>
      <c r="E704" s="16"/>
      <c r="F704" s="16"/>
      <c r="G704" s="16"/>
      <c r="H704" s="16"/>
      <c r="I704" s="16"/>
      <c r="J704" s="16"/>
      <c r="K704" s="16"/>
    </row>
    <row r="705" spans="1:11" ht="12.75">
      <c r="A705" s="16"/>
      <c r="B705" s="17"/>
      <c r="C705" s="2"/>
      <c r="D705" s="16"/>
      <c r="E705" s="16"/>
      <c r="F705" s="16"/>
      <c r="G705" s="16"/>
      <c r="H705" s="16"/>
      <c r="I705" s="16"/>
      <c r="J705" s="16"/>
      <c r="K705" s="16"/>
    </row>
    <row r="706" spans="1:11" ht="12.75">
      <c r="A706" s="16"/>
      <c r="B706" s="17"/>
      <c r="C706" s="2"/>
      <c r="D706" s="16"/>
      <c r="E706" s="16"/>
      <c r="F706" s="16"/>
      <c r="G706" s="16"/>
      <c r="H706" s="16"/>
      <c r="I706" s="16"/>
      <c r="J706" s="16"/>
      <c r="K706" s="16"/>
    </row>
    <row r="707" spans="1:11" ht="12.75">
      <c r="A707" s="16"/>
      <c r="B707" s="17"/>
      <c r="C707" s="2"/>
      <c r="D707" s="16"/>
      <c r="E707" s="16"/>
      <c r="F707" s="16"/>
      <c r="G707" s="16"/>
      <c r="H707" s="16"/>
      <c r="I707" s="16"/>
      <c r="J707" s="16"/>
      <c r="K707" s="16"/>
    </row>
    <row r="708" spans="1:11" ht="12.75">
      <c r="A708" s="16"/>
      <c r="B708" s="17"/>
      <c r="C708" s="2"/>
      <c r="D708" s="16"/>
      <c r="E708" s="16"/>
      <c r="F708" s="16"/>
      <c r="G708" s="16"/>
      <c r="H708" s="16"/>
      <c r="I708" s="16"/>
      <c r="J708" s="16"/>
      <c r="K708" s="16"/>
    </row>
    <row r="709" spans="1:11" ht="12.75">
      <c r="A709" s="16"/>
      <c r="B709" s="17"/>
      <c r="C709" s="2"/>
      <c r="D709" s="16"/>
      <c r="E709" s="16"/>
      <c r="F709" s="16"/>
      <c r="G709" s="16"/>
      <c r="H709" s="16"/>
      <c r="I709" s="16"/>
      <c r="J709" s="16"/>
      <c r="K709" s="16"/>
    </row>
    <row r="710" spans="1:11" ht="12.75">
      <c r="A710" s="16"/>
      <c r="B710" s="17"/>
      <c r="C710" s="2"/>
      <c r="D710" s="16"/>
      <c r="E710" s="16"/>
      <c r="F710" s="16"/>
      <c r="G710" s="16"/>
      <c r="H710" s="16"/>
      <c r="I710" s="16"/>
      <c r="J710" s="16"/>
      <c r="K710" s="16"/>
    </row>
    <row r="711" spans="1:11" ht="12.75">
      <c r="A711" s="16"/>
      <c r="B711" s="17"/>
      <c r="C711" s="2"/>
      <c r="D711" s="16"/>
      <c r="E711" s="16"/>
      <c r="F711" s="16"/>
      <c r="G711" s="16"/>
      <c r="H711" s="16"/>
      <c r="I711" s="16"/>
      <c r="J711" s="16"/>
      <c r="K711" s="16"/>
    </row>
    <row r="712" spans="1:11" ht="12.75">
      <c r="A712" s="16"/>
      <c r="B712" s="17"/>
      <c r="C712" s="2"/>
      <c r="D712" s="16"/>
      <c r="E712" s="16"/>
      <c r="F712" s="16"/>
      <c r="G712" s="16"/>
      <c r="H712" s="16"/>
      <c r="I712" s="16"/>
      <c r="J712" s="16"/>
      <c r="K712" s="16"/>
    </row>
    <row r="713" spans="1:11" ht="12.75">
      <c r="A713" s="16"/>
      <c r="B713" s="17"/>
      <c r="C713" s="2"/>
      <c r="D713" s="16"/>
      <c r="E713" s="16"/>
      <c r="F713" s="16"/>
      <c r="G713" s="16"/>
      <c r="H713" s="16"/>
      <c r="I713" s="16"/>
      <c r="J713" s="16"/>
      <c r="K713" s="16"/>
    </row>
    <row r="714" spans="1:11" ht="12.75">
      <c r="A714" s="16"/>
      <c r="B714" s="17"/>
      <c r="C714" s="2"/>
      <c r="D714" s="16"/>
      <c r="E714" s="16"/>
      <c r="F714" s="16"/>
      <c r="G714" s="16"/>
      <c r="H714" s="16"/>
      <c r="I714" s="16"/>
      <c r="J714" s="16"/>
      <c r="K714" s="16"/>
    </row>
    <row r="715" spans="1:11" ht="12.75">
      <c r="A715" s="16"/>
      <c r="B715" s="17"/>
      <c r="C715" s="2"/>
      <c r="D715" s="16"/>
      <c r="E715" s="16"/>
      <c r="F715" s="16"/>
      <c r="G715" s="16"/>
      <c r="H715" s="16"/>
      <c r="I715" s="16"/>
      <c r="J715" s="16"/>
      <c r="K715" s="16"/>
    </row>
    <row r="716" spans="1:11" ht="12.75">
      <c r="A716" s="16"/>
      <c r="B716" s="17"/>
      <c r="C716" s="2"/>
      <c r="D716" s="16"/>
      <c r="E716" s="16"/>
      <c r="F716" s="16"/>
      <c r="G716" s="16"/>
      <c r="H716" s="16"/>
      <c r="I716" s="16"/>
      <c r="J716" s="16"/>
      <c r="K716" s="16"/>
    </row>
    <row r="717" spans="1:11" ht="12.75">
      <c r="A717" s="16"/>
      <c r="B717" s="17"/>
      <c r="C717" s="2"/>
      <c r="D717" s="16"/>
      <c r="E717" s="16"/>
      <c r="F717" s="16"/>
      <c r="G717" s="16"/>
      <c r="H717" s="16"/>
      <c r="I717" s="16"/>
      <c r="J717" s="16"/>
      <c r="K717" s="16"/>
    </row>
    <row r="718" spans="1:11" ht="12.75">
      <c r="A718" s="16"/>
      <c r="B718" s="17"/>
      <c r="C718" s="2"/>
      <c r="D718" s="16"/>
      <c r="E718" s="16"/>
      <c r="F718" s="16"/>
      <c r="G718" s="16"/>
      <c r="H718" s="16"/>
      <c r="I718" s="16"/>
      <c r="J718" s="16"/>
      <c r="K718" s="16"/>
    </row>
    <row r="719" spans="1:11" ht="12.75">
      <c r="A719" s="16"/>
      <c r="B719" s="17"/>
      <c r="C719" s="2"/>
      <c r="D719" s="16"/>
      <c r="E719" s="16"/>
      <c r="F719" s="16"/>
      <c r="G719" s="16"/>
      <c r="H719" s="16"/>
      <c r="I719" s="16"/>
      <c r="J719" s="16"/>
      <c r="K719" s="16"/>
    </row>
    <row r="720" spans="1:11" ht="12.75">
      <c r="A720" s="16"/>
      <c r="B720" s="17"/>
      <c r="C720" s="2"/>
      <c r="D720" s="16"/>
      <c r="E720" s="16"/>
      <c r="F720" s="16"/>
      <c r="G720" s="16"/>
      <c r="H720" s="16"/>
      <c r="I720" s="16"/>
      <c r="J720" s="16"/>
      <c r="K720" s="16"/>
    </row>
    <row r="721" spans="1:11" ht="12.75">
      <c r="A721" s="16"/>
      <c r="B721" s="17"/>
      <c r="C721" s="2"/>
      <c r="D721" s="16"/>
      <c r="E721" s="16"/>
      <c r="F721" s="16"/>
      <c r="G721" s="16"/>
      <c r="H721" s="16"/>
      <c r="I721" s="16"/>
      <c r="J721" s="16"/>
      <c r="K721" s="16"/>
    </row>
    <row r="722" spans="1:11" ht="12.75">
      <c r="A722" s="16"/>
      <c r="B722" s="17"/>
      <c r="C722" s="2"/>
      <c r="D722" s="16"/>
      <c r="E722" s="16"/>
      <c r="F722" s="16"/>
      <c r="G722" s="16"/>
      <c r="H722" s="16"/>
      <c r="I722" s="16"/>
      <c r="J722" s="16"/>
      <c r="K722" s="16"/>
    </row>
    <row r="723" spans="1:11" ht="12.75">
      <c r="A723" s="16"/>
      <c r="B723" s="17"/>
      <c r="C723" s="2"/>
      <c r="D723" s="16"/>
      <c r="E723" s="16"/>
      <c r="F723" s="16"/>
      <c r="G723" s="16"/>
      <c r="H723" s="16"/>
      <c r="I723" s="16"/>
      <c r="J723" s="16"/>
      <c r="K723" s="16"/>
    </row>
    <row r="724" spans="1:11" ht="12.75">
      <c r="A724" s="16"/>
      <c r="B724" s="17"/>
      <c r="C724" s="2"/>
      <c r="D724" s="16"/>
      <c r="E724" s="16"/>
      <c r="F724" s="16"/>
      <c r="G724" s="16"/>
      <c r="H724" s="16"/>
      <c r="I724" s="16"/>
      <c r="J724" s="16"/>
      <c r="K724" s="16"/>
    </row>
    <row r="725" spans="1:11" ht="12.75">
      <c r="A725" s="16"/>
      <c r="B725" s="17"/>
      <c r="C725" s="2"/>
      <c r="D725" s="16"/>
      <c r="E725" s="16"/>
      <c r="F725" s="16"/>
      <c r="G725" s="16"/>
      <c r="H725" s="16"/>
      <c r="I725" s="16"/>
      <c r="J725" s="16"/>
      <c r="K725" s="16"/>
    </row>
    <row r="726" spans="1:11" ht="12.75">
      <c r="A726" s="16"/>
      <c r="B726" s="17"/>
      <c r="C726" s="2"/>
      <c r="D726" s="16"/>
      <c r="E726" s="16"/>
      <c r="F726" s="16"/>
      <c r="G726" s="16"/>
      <c r="H726" s="16"/>
      <c r="I726" s="16"/>
      <c r="J726" s="16"/>
      <c r="K726" s="16"/>
    </row>
    <row r="727" spans="1:11" ht="12.75">
      <c r="A727" s="16"/>
      <c r="B727" s="17"/>
      <c r="C727" s="2"/>
      <c r="D727" s="16"/>
      <c r="E727" s="16"/>
      <c r="F727" s="16"/>
      <c r="G727" s="16"/>
      <c r="H727" s="16"/>
      <c r="I727" s="16"/>
      <c r="J727" s="16"/>
      <c r="K727" s="16"/>
    </row>
    <row r="728" spans="1:11" ht="12.75">
      <c r="A728" s="16"/>
      <c r="B728" s="17"/>
      <c r="C728" s="2"/>
      <c r="D728" s="16"/>
      <c r="E728" s="16"/>
      <c r="F728" s="16"/>
      <c r="G728" s="16"/>
      <c r="H728" s="16"/>
      <c r="I728" s="16"/>
      <c r="J728" s="16"/>
      <c r="K728" s="16"/>
    </row>
    <row r="729" spans="1:11" ht="12.75">
      <c r="A729" s="16"/>
      <c r="B729" s="17"/>
      <c r="C729" s="2"/>
      <c r="D729" s="16"/>
      <c r="E729" s="16"/>
      <c r="F729" s="16"/>
      <c r="G729" s="16"/>
      <c r="H729" s="16"/>
      <c r="I729" s="16"/>
      <c r="J729" s="16"/>
      <c r="K729" s="16"/>
    </row>
    <row r="730" spans="1:11" ht="12.75">
      <c r="A730" s="16"/>
      <c r="B730" s="17"/>
      <c r="C730" s="2"/>
      <c r="D730" s="16"/>
      <c r="E730" s="16"/>
      <c r="F730" s="16"/>
      <c r="G730" s="16"/>
      <c r="H730" s="16"/>
      <c r="I730" s="16"/>
      <c r="J730" s="16"/>
      <c r="K730" s="16"/>
    </row>
    <row r="731" spans="1:11" ht="12.75">
      <c r="A731" s="16"/>
      <c r="B731" s="17"/>
      <c r="C731" s="2"/>
      <c r="D731" s="16"/>
      <c r="E731" s="16"/>
      <c r="F731" s="16"/>
      <c r="G731" s="16"/>
      <c r="H731" s="16"/>
      <c r="I731" s="16"/>
      <c r="J731" s="16"/>
      <c r="K731" s="16"/>
    </row>
    <row r="732" spans="1:11" ht="12.75">
      <c r="A732" s="16"/>
      <c r="B732" s="17"/>
      <c r="C732" s="2"/>
      <c r="D732" s="16"/>
      <c r="E732" s="16"/>
      <c r="F732" s="16"/>
      <c r="G732" s="16"/>
      <c r="H732" s="16"/>
      <c r="I732" s="16"/>
      <c r="J732" s="16"/>
      <c r="K732" s="16"/>
    </row>
    <row r="733" spans="1:11" ht="12.75">
      <c r="A733" s="16"/>
      <c r="B733" s="17"/>
      <c r="C733" s="2"/>
      <c r="D733" s="16"/>
      <c r="E733" s="16"/>
      <c r="F733" s="16"/>
      <c r="G733" s="16"/>
      <c r="H733" s="16"/>
      <c r="I733" s="16"/>
      <c r="J733" s="16"/>
      <c r="K733" s="16"/>
    </row>
    <row r="734" spans="1:11" ht="12.75">
      <c r="A734" s="16"/>
      <c r="B734" s="17"/>
      <c r="C734" s="2"/>
      <c r="D734" s="16"/>
      <c r="E734" s="16"/>
      <c r="F734" s="16"/>
      <c r="G734" s="16"/>
      <c r="H734" s="16"/>
      <c r="I734" s="16"/>
      <c r="J734" s="16"/>
      <c r="K734" s="16"/>
    </row>
    <row r="735" spans="1:11" ht="12.75">
      <c r="A735" s="16"/>
      <c r="B735" s="17"/>
      <c r="C735" s="2"/>
      <c r="D735" s="16"/>
      <c r="E735" s="16"/>
      <c r="F735" s="16"/>
      <c r="G735" s="16"/>
      <c r="H735" s="16"/>
      <c r="I735" s="16"/>
      <c r="J735" s="16"/>
      <c r="K735" s="16"/>
    </row>
    <row r="736" spans="1:11" ht="12.75">
      <c r="A736" s="16"/>
      <c r="B736" s="17"/>
      <c r="C736" s="2"/>
      <c r="D736" s="16"/>
      <c r="E736" s="16"/>
      <c r="F736" s="16"/>
      <c r="G736" s="16"/>
      <c r="H736" s="16"/>
      <c r="I736" s="16"/>
      <c r="J736" s="16"/>
      <c r="K736" s="16"/>
    </row>
    <row r="737" spans="1:11" ht="12.75">
      <c r="A737" s="16"/>
      <c r="B737" s="17"/>
      <c r="C737" s="2"/>
      <c r="D737" s="16"/>
      <c r="E737" s="16"/>
      <c r="F737" s="16"/>
      <c r="G737" s="16"/>
      <c r="H737" s="16"/>
      <c r="I737" s="16"/>
      <c r="J737" s="16"/>
      <c r="K737" s="16"/>
    </row>
    <row r="738" spans="1:11" ht="12.75">
      <c r="A738" s="16"/>
      <c r="B738" s="17"/>
      <c r="C738" s="2"/>
      <c r="D738" s="16"/>
      <c r="E738" s="16"/>
      <c r="F738" s="16"/>
      <c r="G738" s="16"/>
      <c r="H738" s="16"/>
      <c r="I738" s="16"/>
      <c r="J738" s="16"/>
      <c r="K738" s="16"/>
    </row>
    <row r="739" spans="1:11" ht="12.75">
      <c r="A739" s="16"/>
      <c r="B739" s="17"/>
      <c r="C739" s="2"/>
      <c r="D739" s="16"/>
      <c r="E739" s="16"/>
      <c r="F739" s="16"/>
      <c r="G739" s="16"/>
      <c r="H739" s="16"/>
      <c r="I739" s="16"/>
      <c r="J739" s="16"/>
      <c r="K739" s="16"/>
    </row>
    <row r="740" spans="1:11" ht="12.75">
      <c r="A740" s="16"/>
      <c r="B740" s="17"/>
      <c r="C740" s="2"/>
      <c r="D740" s="16"/>
      <c r="E740" s="16"/>
      <c r="F740" s="16"/>
      <c r="G740" s="16"/>
      <c r="H740" s="16"/>
      <c r="I740" s="16"/>
      <c r="J740" s="16"/>
      <c r="K740" s="16"/>
    </row>
    <row r="741" spans="1:11" ht="12.75">
      <c r="A741" s="16"/>
      <c r="B741" s="17"/>
      <c r="C741" s="2"/>
      <c r="D741" s="16"/>
      <c r="E741" s="16"/>
      <c r="F741" s="16"/>
      <c r="G741" s="16"/>
      <c r="H741" s="16"/>
      <c r="I741" s="16"/>
      <c r="J741" s="16"/>
      <c r="K741" s="16"/>
    </row>
    <row r="742" spans="1:11" ht="12.75">
      <c r="A742" s="16"/>
      <c r="B742" s="17"/>
      <c r="C742" s="2"/>
      <c r="D742" s="16"/>
      <c r="E742" s="16"/>
      <c r="F742" s="16"/>
      <c r="G742" s="16"/>
      <c r="H742" s="16"/>
      <c r="I742" s="16"/>
      <c r="J742" s="16"/>
      <c r="K742" s="16"/>
    </row>
    <row r="743" spans="1:11" ht="12.75">
      <c r="A743" s="16"/>
      <c r="B743" s="17"/>
      <c r="C743" s="2"/>
      <c r="D743" s="16"/>
      <c r="E743" s="16"/>
      <c r="F743" s="16"/>
      <c r="G743" s="16"/>
      <c r="H743" s="16"/>
      <c r="I743" s="16"/>
      <c r="J743" s="16"/>
      <c r="K743" s="16"/>
    </row>
    <row r="744" spans="1:11" ht="12.75">
      <c r="A744" s="16"/>
      <c r="B744" s="17"/>
      <c r="C744" s="2"/>
      <c r="D744" s="16"/>
      <c r="E744" s="16"/>
      <c r="F744" s="16"/>
      <c r="G744" s="16"/>
      <c r="H744" s="16"/>
      <c r="I744" s="16"/>
      <c r="J744" s="16"/>
      <c r="K744" s="16"/>
    </row>
    <row r="745" spans="1:11" ht="12.75">
      <c r="A745" s="16"/>
      <c r="B745" s="17"/>
      <c r="C745" s="2"/>
      <c r="D745" s="16"/>
      <c r="E745" s="16"/>
      <c r="F745" s="16"/>
      <c r="G745" s="16"/>
      <c r="H745" s="16"/>
      <c r="I745" s="16"/>
      <c r="J745" s="16"/>
      <c r="K745" s="16"/>
    </row>
    <row r="746" spans="1:11" ht="12.75">
      <c r="A746" s="16"/>
      <c r="B746" s="17"/>
      <c r="C746" s="2"/>
      <c r="D746" s="16"/>
      <c r="E746" s="16"/>
      <c r="F746" s="16"/>
      <c r="G746" s="16"/>
      <c r="H746" s="16"/>
      <c r="I746" s="16"/>
      <c r="J746" s="16"/>
      <c r="K746" s="16"/>
    </row>
    <row r="747" spans="1:11" ht="12.75">
      <c r="A747" s="16"/>
      <c r="B747" s="17"/>
      <c r="C747" s="2"/>
      <c r="D747" s="16"/>
      <c r="E747" s="16"/>
      <c r="F747" s="16"/>
      <c r="G747" s="16"/>
      <c r="H747" s="16"/>
      <c r="I747" s="16"/>
      <c r="J747" s="16"/>
      <c r="K747" s="16"/>
    </row>
    <row r="748" spans="1:11" ht="12.75">
      <c r="A748" s="16"/>
      <c r="B748" s="17"/>
      <c r="C748" s="2"/>
      <c r="D748" s="16"/>
      <c r="E748" s="16"/>
      <c r="F748" s="16"/>
      <c r="G748" s="16"/>
      <c r="H748" s="16"/>
      <c r="I748" s="16"/>
      <c r="J748" s="16"/>
      <c r="K748" s="16"/>
    </row>
    <row r="749" spans="1:11" ht="12.75">
      <c r="A749" s="16"/>
      <c r="B749" s="17"/>
      <c r="C749" s="2"/>
      <c r="D749" s="16"/>
      <c r="E749" s="16"/>
      <c r="F749" s="16"/>
      <c r="G749" s="16"/>
      <c r="H749" s="16"/>
      <c r="I749" s="16"/>
      <c r="J749" s="16"/>
      <c r="K749" s="16"/>
    </row>
    <row r="750" spans="1:11" ht="12.75">
      <c r="A750" s="16"/>
      <c r="B750" s="17"/>
      <c r="C750" s="2"/>
      <c r="D750" s="16"/>
      <c r="E750" s="16"/>
      <c r="F750" s="16"/>
      <c r="G750" s="16"/>
      <c r="H750" s="16"/>
      <c r="I750" s="16"/>
      <c r="J750" s="16"/>
      <c r="K750" s="16"/>
    </row>
    <row r="751" spans="1:11" ht="12.75">
      <c r="A751" s="16"/>
      <c r="B751" s="17"/>
      <c r="C751" s="2"/>
      <c r="D751" s="16"/>
      <c r="E751" s="16"/>
      <c r="F751" s="16"/>
      <c r="G751" s="16"/>
      <c r="H751" s="16"/>
      <c r="I751" s="16"/>
      <c r="J751" s="16"/>
      <c r="K751" s="16"/>
    </row>
    <row r="752" spans="1:11" ht="12.75">
      <c r="A752" s="16"/>
      <c r="B752" s="17"/>
      <c r="C752" s="2"/>
      <c r="D752" s="16"/>
      <c r="E752" s="16"/>
      <c r="F752" s="16"/>
      <c r="G752" s="16"/>
      <c r="H752" s="16"/>
      <c r="I752" s="16"/>
      <c r="J752" s="16"/>
      <c r="K752" s="16"/>
    </row>
    <row r="753" spans="1:11" ht="12.75">
      <c r="A753" s="16"/>
      <c r="B753" s="17"/>
      <c r="C753" s="2"/>
      <c r="D753" s="16"/>
      <c r="E753" s="16"/>
      <c r="F753" s="16"/>
      <c r="G753" s="16"/>
      <c r="H753" s="16"/>
      <c r="I753" s="16"/>
      <c r="J753" s="16"/>
      <c r="K753" s="16"/>
    </row>
    <row r="754" spans="1:11" ht="12.75">
      <c r="A754" s="16"/>
      <c r="B754" s="17"/>
      <c r="C754" s="2"/>
      <c r="D754" s="16"/>
      <c r="E754" s="16"/>
      <c r="F754" s="16"/>
      <c r="G754" s="16"/>
      <c r="H754" s="16"/>
      <c r="I754" s="16"/>
      <c r="J754" s="16"/>
      <c r="K754" s="16"/>
    </row>
    <row r="755" spans="1:11" ht="12.75">
      <c r="A755" s="16"/>
      <c r="B755" s="17"/>
      <c r="C755" s="2"/>
      <c r="D755" s="16"/>
      <c r="E755" s="16"/>
      <c r="F755" s="16"/>
      <c r="G755" s="16"/>
      <c r="H755" s="16"/>
      <c r="I755" s="16"/>
      <c r="J755" s="16"/>
      <c r="K755" s="16"/>
    </row>
    <row r="756" spans="1:11" ht="12.75">
      <c r="A756" s="16"/>
      <c r="B756" s="17"/>
      <c r="C756" s="2"/>
      <c r="D756" s="16"/>
      <c r="E756" s="16"/>
      <c r="F756" s="16"/>
      <c r="G756" s="16"/>
      <c r="H756" s="16"/>
      <c r="I756" s="16"/>
      <c r="J756" s="16"/>
      <c r="K756" s="16"/>
    </row>
    <row r="757" spans="1:11" ht="12.75">
      <c r="A757" s="16"/>
      <c r="B757" s="17"/>
      <c r="C757" s="2"/>
      <c r="D757" s="16"/>
      <c r="E757" s="16"/>
      <c r="F757" s="16"/>
      <c r="G757" s="16"/>
      <c r="H757" s="16"/>
      <c r="I757" s="16"/>
      <c r="J757" s="16"/>
      <c r="K757" s="16"/>
    </row>
    <row r="758" spans="1:11" ht="12.75">
      <c r="A758" s="16"/>
      <c r="B758" s="17"/>
      <c r="C758" s="2"/>
      <c r="D758" s="16"/>
      <c r="E758" s="16"/>
      <c r="F758" s="16"/>
      <c r="G758" s="16"/>
      <c r="H758" s="16"/>
      <c r="I758" s="16"/>
      <c r="J758" s="16"/>
      <c r="K758" s="16"/>
    </row>
    <row r="759" spans="1:11" ht="12.75">
      <c r="A759" s="16"/>
      <c r="B759" s="17"/>
      <c r="C759" s="2"/>
      <c r="D759" s="16"/>
      <c r="E759" s="16"/>
      <c r="F759" s="16"/>
      <c r="G759" s="16"/>
      <c r="H759" s="16"/>
      <c r="I759" s="16"/>
      <c r="J759" s="16"/>
      <c r="K759" s="16"/>
    </row>
    <row r="760" spans="1:11" ht="12.75">
      <c r="A760" s="16"/>
      <c r="B760" s="17"/>
      <c r="C760" s="2"/>
      <c r="D760" s="16"/>
      <c r="E760" s="16"/>
      <c r="F760" s="16"/>
      <c r="G760" s="16"/>
      <c r="H760" s="16"/>
      <c r="I760" s="16"/>
      <c r="J760" s="16"/>
      <c r="K760" s="16"/>
    </row>
    <row r="761" spans="1:11" ht="12.75">
      <c r="A761" s="16"/>
      <c r="B761" s="17"/>
      <c r="C761" s="2"/>
      <c r="D761" s="16"/>
      <c r="E761" s="16"/>
      <c r="F761" s="16"/>
      <c r="G761" s="16"/>
      <c r="H761" s="16"/>
      <c r="I761" s="16"/>
      <c r="J761" s="16"/>
      <c r="K761" s="16"/>
    </row>
    <row r="762" spans="1:11" ht="12.75">
      <c r="A762" s="16"/>
      <c r="B762" s="17"/>
      <c r="C762" s="2"/>
      <c r="D762" s="16"/>
      <c r="E762" s="16"/>
      <c r="F762" s="16"/>
      <c r="G762" s="16"/>
      <c r="H762" s="16"/>
      <c r="I762" s="16"/>
      <c r="J762" s="16"/>
      <c r="K762" s="16"/>
    </row>
    <row r="763" spans="1:11" ht="12.75">
      <c r="A763" s="16"/>
      <c r="B763" s="17"/>
      <c r="C763" s="2"/>
      <c r="D763" s="16"/>
      <c r="E763" s="16"/>
      <c r="F763" s="16"/>
      <c r="G763" s="16"/>
      <c r="H763" s="16"/>
      <c r="I763" s="16"/>
      <c r="J763" s="16"/>
      <c r="K763" s="16"/>
    </row>
    <row r="764" spans="1:11" ht="12.75">
      <c r="A764" s="16"/>
      <c r="B764" s="17"/>
      <c r="C764" s="2"/>
      <c r="D764" s="16"/>
      <c r="E764" s="16"/>
      <c r="F764" s="16"/>
      <c r="G764" s="16"/>
      <c r="H764" s="16"/>
      <c r="I764" s="16"/>
      <c r="J764" s="16"/>
      <c r="K764" s="16"/>
    </row>
    <row r="765" spans="1:11" ht="12.75">
      <c r="A765" s="16"/>
      <c r="B765" s="17"/>
      <c r="C765" s="2"/>
      <c r="D765" s="16"/>
      <c r="E765" s="16"/>
      <c r="F765" s="16"/>
      <c r="G765" s="16"/>
      <c r="H765" s="16"/>
      <c r="I765" s="16"/>
      <c r="J765" s="16"/>
      <c r="K765" s="16"/>
    </row>
    <row r="766" spans="1:11" ht="12.75">
      <c r="A766" s="16"/>
      <c r="B766" s="17"/>
      <c r="C766" s="2"/>
      <c r="D766" s="16"/>
      <c r="E766" s="16"/>
      <c r="F766" s="16"/>
      <c r="G766" s="16"/>
      <c r="H766" s="16"/>
      <c r="I766" s="16"/>
      <c r="J766" s="16"/>
      <c r="K766" s="16"/>
    </row>
    <row r="767" spans="1:11" ht="12.75">
      <c r="A767" s="16"/>
      <c r="B767" s="17"/>
      <c r="C767" s="2"/>
      <c r="D767" s="16"/>
      <c r="E767" s="16"/>
      <c r="F767" s="16"/>
      <c r="G767" s="16"/>
      <c r="H767" s="16"/>
      <c r="I767" s="16"/>
      <c r="J767" s="16"/>
      <c r="K767" s="16"/>
    </row>
    <row r="768" spans="1:11" ht="12.75">
      <c r="A768" s="16"/>
      <c r="B768" s="17"/>
      <c r="C768" s="2"/>
      <c r="D768" s="16"/>
      <c r="E768" s="16"/>
      <c r="F768" s="16"/>
      <c r="G768" s="16"/>
      <c r="H768" s="16"/>
      <c r="I768" s="16"/>
      <c r="J768" s="16"/>
      <c r="K768" s="16"/>
    </row>
    <row r="769" spans="1:11" ht="12.75">
      <c r="A769" s="16"/>
      <c r="B769" s="17"/>
      <c r="C769" s="2"/>
      <c r="D769" s="16"/>
      <c r="E769" s="16"/>
      <c r="F769" s="16"/>
      <c r="G769" s="16"/>
      <c r="H769" s="16"/>
      <c r="I769" s="16"/>
      <c r="J769" s="16"/>
      <c r="K769" s="16"/>
    </row>
    <row r="770" spans="1:11" ht="12.75">
      <c r="A770" s="16"/>
      <c r="B770" s="17"/>
      <c r="C770" s="2"/>
      <c r="D770" s="16"/>
      <c r="E770" s="16"/>
      <c r="F770" s="16"/>
      <c r="G770" s="16"/>
      <c r="H770" s="16"/>
      <c r="I770" s="16"/>
      <c r="J770" s="16"/>
      <c r="K770" s="16"/>
    </row>
    <row r="771" spans="1:11" ht="12.75">
      <c r="A771" s="16"/>
      <c r="B771" s="17"/>
      <c r="C771" s="2"/>
      <c r="D771" s="16"/>
      <c r="E771" s="16"/>
      <c r="F771" s="16"/>
      <c r="G771" s="16"/>
      <c r="H771" s="16"/>
      <c r="I771" s="16"/>
      <c r="J771" s="16"/>
      <c r="K771" s="16"/>
    </row>
    <row r="772" spans="1:11" ht="12.75">
      <c r="A772" s="16"/>
      <c r="B772" s="17"/>
      <c r="C772" s="2"/>
      <c r="D772" s="16"/>
      <c r="E772" s="16"/>
      <c r="F772" s="16"/>
      <c r="G772" s="16"/>
      <c r="H772" s="16"/>
      <c r="I772" s="16"/>
      <c r="J772" s="16"/>
      <c r="K772" s="16"/>
    </row>
    <row r="773" spans="1:11" ht="12.75">
      <c r="A773" s="16"/>
      <c r="B773" s="17"/>
      <c r="C773" s="2"/>
      <c r="D773" s="16"/>
      <c r="E773" s="16"/>
      <c r="F773" s="16"/>
      <c r="G773" s="16"/>
      <c r="H773" s="16"/>
      <c r="I773" s="16"/>
      <c r="J773" s="16"/>
      <c r="K773" s="16"/>
    </row>
    <row r="774" spans="1:11" ht="12.75">
      <c r="A774" s="16"/>
      <c r="B774" s="17"/>
      <c r="C774" s="2"/>
      <c r="D774" s="16"/>
      <c r="E774" s="16"/>
      <c r="F774" s="16"/>
      <c r="G774" s="16"/>
      <c r="H774" s="16"/>
      <c r="I774" s="16"/>
      <c r="J774" s="16"/>
      <c r="K774" s="16"/>
    </row>
    <row r="775" spans="1:11" ht="12.75">
      <c r="A775" s="16"/>
      <c r="B775" s="17"/>
      <c r="C775" s="2"/>
      <c r="D775" s="16"/>
      <c r="E775" s="16"/>
      <c r="F775" s="16"/>
      <c r="G775" s="16"/>
      <c r="H775" s="16"/>
      <c r="I775" s="16"/>
      <c r="J775" s="16"/>
      <c r="K775" s="16"/>
    </row>
    <row r="776" spans="1:11" ht="12.75">
      <c r="A776" s="16"/>
      <c r="B776" s="17"/>
      <c r="C776" s="2"/>
      <c r="D776" s="16"/>
      <c r="E776" s="16"/>
      <c r="F776" s="16"/>
      <c r="G776" s="16"/>
      <c r="H776" s="16"/>
      <c r="I776" s="16"/>
      <c r="J776" s="16"/>
      <c r="K776" s="16"/>
    </row>
    <row r="777" spans="1:11" ht="12.75">
      <c r="A777" s="16"/>
      <c r="B777" s="17"/>
      <c r="C777" s="2"/>
      <c r="D777" s="16"/>
      <c r="E777" s="16"/>
      <c r="F777" s="16"/>
      <c r="G777" s="16"/>
      <c r="H777" s="16"/>
      <c r="I777" s="16"/>
      <c r="J777" s="16"/>
      <c r="K777" s="16"/>
    </row>
    <row r="778" spans="1:11" ht="12.75">
      <c r="A778" s="16"/>
      <c r="B778" s="17"/>
      <c r="C778" s="2"/>
      <c r="D778" s="16"/>
      <c r="E778" s="16"/>
      <c r="F778" s="16"/>
      <c r="G778" s="16"/>
      <c r="H778" s="16"/>
      <c r="I778" s="16"/>
      <c r="J778" s="16"/>
      <c r="K778" s="16"/>
    </row>
    <row r="779" spans="1:11" ht="12.75">
      <c r="A779" s="16"/>
      <c r="B779" s="17"/>
      <c r="C779" s="2"/>
      <c r="D779" s="16"/>
      <c r="E779" s="16"/>
      <c r="F779" s="16"/>
      <c r="G779" s="16"/>
      <c r="H779" s="16"/>
      <c r="I779" s="16"/>
      <c r="J779" s="16"/>
      <c r="K779" s="16"/>
    </row>
    <row r="780" spans="1:11" ht="12.75">
      <c r="A780" s="16"/>
      <c r="B780" s="17"/>
      <c r="C780" s="2"/>
      <c r="D780" s="16"/>
      <c r="E780" s="16"/>
      <c r="F780" s="16"/>
      <c r="G780" s="16"/>
      <c r="H780" s="16"/>
      <c r="I780" s="16"/>
      <c r="J780" s="16"/>
      <c r="K780" s="16"/>
    </row>
    <row r="781" spans="1:11" ht="12.75">
      <c r="A781" s="16"/>
      <c r="B781" s="17"/>
      <c r="C781" s="2"/>
      <c r="D781" s="16"/>
      <c r="E781" s="16"/>
      <c r="F781" s="16"/>
      <c r="G781" s="16"/>
      <c r="H781" s="16"/>
      <c r="I781" s="16"/>
      <c r="J781" s="16"/>
      <c r="K781" s="16"/>
    </row>
    <row r="782" spans="1:11" ht="12.75">
      <c r="A782" s="16"/>
      <c r="B782" s="17"/>
      <c r="C782" s="2"/>
      <c r="D782" s="16"/>
      <c r="E782" s="16"/>
      <c r="F782" s="16"/>
      <c r="G782" s="16"/>
      <c r="H782" s="16"/>
      <c r="I782" s="16"/>
      <c r="J782" s="16"/>
      <c r="K782" s="16"/>
    </row>
    <row r="783" spans="1:11" ht="12.75">
      <c r="A783" s="16"/>
      <c r="B783" s="17"/>
      <c r="C783" s="2"/>
      <c r="D783" s="16"/>
      <c r="E783" s="16"/>
      <c r="F783" s="16"/>
      <c r="G783" s="16"/>
      <c r="H783" s="16"/>
      <c r="I783" s="16"/>
      <c r="J783" s="16"/>
      <c r="K783" s="16"/>
    </row>
    <row r="784" spans="1:11" ht="12.75">
      <c r="A784" s="16"/>
      <c r="B784" s="17"/>
      <c r="C784" s="2"/>
      <c r="D784" s="16"/>
      <c r="E784" s="16"/>
      <c r="F784" s="16"/>
      <c r="G784" s="16"/>
      <c r="H784" s="16"/>
      <c r="I784" s="16"/>
      <c r="J784" s="16"/>
      <c r="K784" s="16"/>
    </row>
    <row r="785" spans="1:11" ht="12.75">
      <c r="A785" s="16"/>
      <c r="B785" s="17"/>
      <c r="C785" s="2"/>
      <c r="D785" s="16"/>
      <c r="E785" s="16"/>
      <c r="F785" s="16"/>
      <c r="G785" s="16"/>
      <c r="H785" s="16"/>
      <c r="I785" s="16"/>
      <c r="J785" s="16"/>
      <c r="K785" s="16"/>
    </row>
    <row r="786" spans="1:11" ht="12.75">
      <c r="A786" s="16"/>
      <c r="B786" s="17"/>
      <c r="C786" s="2"/>
      <c r="D786" s="16"/>
      <c r="E786" s="16"/>
      <c r="F786" s="16"/>
      <c r="G786" s="16"/>
      <c r="H786" s="16"/>
      <c r="I786" s="16"/>
      <c r="J786" s="16"/>
      <c r="K786" s="16"/>
    </row>
    <row r="787" spans="1:11" ht="12.75">
      <c r="A787" s="16"/>
      <c r="B787" s="17"/>
      <c r="C787" s="2"/>
      <c r="D787" s="16"/>
      <c r="E787" s="16"/>
      <c r="F787" s="16"/>
      <c r="G787" s="16"/>
      <c r="H787" s="16"/>
      <c r="I787" s="16"/>
      <c r="J787" s="16"/>
      <c r="K787" s="16"/>
    </row>
    <row r="788" spans="1:11" ht="12.75">
      <c r="A788" s="16"/>
      <c r="B788" s="17"/>
      <c r="C788" s="2"/>
      <c r="D788" s="16"/>
      <c r="E788" s="16"/>
      <c r="F788" s="16"/>
      <c r="G788" s="16"/>
      <c r="H788" s="16"/>
      <c r="I788" s="16"/>
      <c r="J788" s="16"/>
      <c r="K788" s="16"/>
    </row>
    <row r="789" spans="1:11" ht="12.75">
      <c r="A789" s="16"/>
      <c r="B789" s="17"/>
      <c r="C789" s="2"/>
      <c r="D789" s="16"/>
      <c r="E789" s="16"/>
      <c r="F789" s="16"/>
      <c r="G789" s="16"/>
      <c r="H789" s="16"/>
      <c r="I789" s="16"/>
      <c r="J789" s="16"/>
      <c r="K789" s="16"/>
    </row>
    <row r="790" spans="1:11" ht="12.75">
      <c r="A790" s="16"/>
      <c r="B790" s="17"/>
      <c r="C790" s="2"/>
      <c r="D790" s="16"/>
      <c r="E790" s="16"/>
      <c r="F790" s="16"/>
      <c r="G790" s="16"/>
      <c r="H790" s="16"/>
      <c r="I790" s="16"/>
      <c r="J790" s="16"/>
      <c r="K790" s="16"/>
    </row>
    <row r="791" spans="1:11" ht="12.75">
      <c r="A791" s="16"/>
      <c r="B791" s="17"/>
      <c r="C791" s="2"/>
      <c r="D791" s="16"/>
      <c r="E791" s="16"/>
      <c r="F791" s="16"/>
      <c r="G791" s="16"/>
      <c r="H791" s="16"/>
      <c r="I791" s="16"/>
      <c r="J791" s="16"/>
      <c r="K791" s="16"/>
    </row>
    <row r="792" spans="1:11" ht="12.75">
      <c r="A792" s="16"/>
      <c r="B792" s="17"/>
      <c r="C792" s="2"/>
      <c r="D792" s="16"/>
      <c r="E792" s="16"/>
      <c r="F792" s="16"/>
      <c r="G792" s="16"/>
      <c r="H792" s="16"/>
      <c r="I792" s="16"/>
      <c r="J792" s="16"/>
      <c r="K792" s="16"/>
    </row>
    <row r="793" spans="1:11" ht="12.75">
      <c r="A793" s="16"/>
      <c r="B793" s="17"/>
      <c r="C793" s="2"/>
      <c r="D793" s="16"/>
      <c r="E793" s="16"/>
      <c r="F793" s="16"/>
      <c r="G793" s="16"/>
      <c r="H793" s="16"/>
      <c r="I793" s="16"/>
      <c r="J793" s="16"/>
      <c r="K793" s="16"/>
    </row>
    <row r="794" spans="1:11" ht="12.75">
      <c r="A794" s="16"/>
      <c r="B794" s="17"/>
      <c r="C794" s="2"/>
      <c r="D794" s="16"/>
      <c r="E794" s="16"/>
      <c r="F794" s="16"/>
      <c r="G794" s="16"/>
      <c r="H794" s="16"/>
      <c r="I794" s="16"/>
      <c r="J794" s="16"/>
      <c r="K794" s="16"/>
    </row>
    <row r="795" spans="1:11" ht="12.75">
      <c r="A795" s="16"/>
      <c r="B795" s="17"/>
      <c r="C795" s="2"/>
      <c r="D795" s="16"/>
      <c r="E795" s="16"/>
      <c r="F795" s="16"/>
      <c r="G795" s="16"/>
      <c r="H795" s="16"/>
      <c r="I795" s="16"/>
      <c r="J795" s="16"/>
      <c r="K795" s="16"/>
    </row>
    <row r="796" spans="1:11" ht="12.75">
      <c r="A796" s="16"/>
      <c r="B796" s="17"/>
      <c r="C796" s="2"/>
      <c r="D796" s="16"/>
      <c r="E796" s="16"/>
      <c r="F796" s="16"/>
      <c r="G796" s="16"/>
      <c r="H796" s="16"/>
      <c r="I796" s="16"/>
      <c r="J796" s="16"/>
      <c r="K796" s="16"/>
    </row>
    <row r="797" spans="1:11" ht="12.75">
      <c r="A797" s="16"/>
      <c r="B797" s="17"/>
      <c r="C797" s="2"/>
      <c r="D797" s="16"/>
      <c r="E797" s="16"/>
      <c r="F797" s="16"/>
      <c r="G797" s="16"/>
      <c r="H797" s="16"/>
      <c r="I797" s="16"/>
      <c r="J797" s="16"/>
      <c r="K797" s="16"/>
    </row>
    <row r="798" spans="1:11" ht="12.75">
      <c r="A798" s="16"/>
      <c r="B798" s="17"/>
      <c r="C798" s="2"/>
      <c r="D798" s="16"/>
      <c r="E798" s="16"/>
      <c r="F798" s="16"/>
      <c r="G798" s="16"/>
      <c r="H798" s="16"/>
      <c r="I798" s="16"/>
      <c r="J798" s="16"/>
      <c r="K798" s="16"/>
    </row>
    <row r="799" spans="1:11" ht="12.75">
      <c r="A799" s="16"/>
      <c r="B799" s="17"/>
      <c r="C799" s="2"/>
      <c r="D799" s="16"/>
      <c r="E799" s="16"/>
      <c r="F799" s="16"/>
      <c r="G799" s="16"/>
      <c r="H799" s="16"/>
      <c r="I799" s="16"/>
      <c r="J799" s="16"/>
      <c r="K799" s="16"/>
    </row>
    <row r="800" spans="1:11" ht="12.75">
      <c r="A800" s="16"/>
      <c r="B800" s="17"/>
      <c r="C800" s="2"/>
      <c r="D800" s="16"/>
      <c r="E800" s="16"/>
      <c r="F800" s="16"/>
      <c r="G800" s="16"/>
      <c r="H800" s="16"/>
      <c r="I800" s="16"/>
      <c r="J800" s="16"/>
      <c r="K800" s="16"/>
    </row>
    <row r="801" spans="1:11" ht="12.75">
      <c r="A801" s="16"/>
      <c r="B801" s="17"/>
      <c r="C801" s="2"/>
      <c r="D801" s="16"/>
      <c r="E801" s="16"/>
      <c r="F801" s="16"/>
      <c r="G801" s="16"/>
      <c r="H801" s="16"/>
      <c r="I801" s="16"/>
      <c r="J801" s="16"/>
      <c r="K801" s="16"/>
    </row>
    <row r="802" spans="1:11" ht="12.75">
      <c r="A802" s="16"/>
      <c r="B802" s="17"/>
      <c r="C802" s="2"/>
      <c r="D802" s="16"/>
      <c r="E802" s="16"/>
      <c r="F802" s="16"/>
      <c r="G802" s="16"/>
      <c r="H802" s="16"/>
      <c r="I802" s="16"/>
      <c r="J802" s="16"/>
      <c r="K802" s="16"/>
    </row>
    <row r="803" spans="1:11" ht="12.75">
      <c r="A803" s="16"/>
      <c r="B803" s="17"/>
      <c r="C803" s="2"/>
      <c r="D803" s="16"/>
      <c r="E803" s="16"/>
      <c r="F803" s="16"/>
      <c r="G803" s="16"/>
      <c r="H803" s="16"/>
      <c r="I803" s="16"/>
      <c r="J803" s="16"/>
      <c r="K803" s="16"/>
    </row>
    <row r="804" spans="1:11" ht="12.75">
      <c r="A804" s="16"/>
      <c r="B804" s="17"/>
      <c r="C804" s="2"/>
      <c r="D804" s="16"/>
      <c r="E804" s="16"/>
      <c r="F804" s="16"/>
      <c r="G804" s="16"/>
      <c r="H804" s="16"/>
      <c r="I804" s="16"/>
      <c r="J804" s="16"/>
      <c r="K804" s="16"/>
    </row>
    <row r="805" spans="1:11" ht="12.75">
      <c r="A805" s="16"/>
      <c r="B805" s="17"/>
      <c r="C805" s="2"/>
      <c r="D805" s="16"/>
      <c r="E805" s="16"/>
      <c r="F805" s="16"/>
      <c r="G805" s="16"/>
      <c r="H805" s="16"/>
      <c r="I805" s="16"/>
      <c r="J805" s="16"/>
      <c r="K805" s="16"/>
    </row>
    <row r="806" spans="1:11" ht="12.75">
      <c r="A806" s="16"/>
      <c r="B806" s="17"/>
      <c r="C806" s="2"/>
      <c r="D806" s="16"/>
      <c r="E806" s="16"/>
      <c r="F806" s="16"/>
      <c r="G806" s="16"/>
      <c r="H806" s="16"/>
      <c r="I806" s="16"/>
      <c r="J806" s="16"/>
      <c r="K806" s="16"/>
    </row>
    <row r="807" spans="1:11" ht="12.75">
      <c r="A807" s="16"/>
      <c r="B807" s="17"/>
      <c r="C807" s="2"/>
      <c r="D807" s="16"/>
      <c r="E807" s="16"/>
      <c r="F807" s="16"/>
      <c r="G807" s="16"/>
      <c r="H807" s="16"/>
      <c r="I807" s="16"/>
      <c r="J807" s="16"/>
      <c r="K807" s="16"/>
    </row>
    <row r="808" spans="1:11" ht="12.75">
      <c r="A808" s="16"/>
      <c r="B808" s="17"/>
      <c r="C808" s="2"/>
      <c r="D808" s="16"/>
      <c r="E808" s="16"/>
      <c r="F808" s="16"/>
      <c r="G808" s="16"/>
      <c r="H808" s="16"/>
      <c r="I808" s="16"/>
      <c r="J808" s="16"/>
      <c r="K808" s="16"/>
    </row>
    <row r="809" spans="1:11" ht="12.75">
      <c r="A809" s="16"/>
      <c r="B809" s="17"/>
      <c r="C809" s="2"/>
      <c r="D809" s="16"/>
      <c r="E809" s="16"/>
      <c r="F809" s="16"/>
      <c r="G809" s="16"/>
      <c r="H809" s="16"/>
      <c r="I809" s="16"/>
      <c r="J809" s="16"/>
      <c r="K809" s="16"/>
    </row>
    <row r="810" spans="1:11" ht="12.75">
      <c r="A810" s="16"/>
      <c r="B810" s="17"/>
      <c r="C810" s="2"/>
      <c r="D810" s="16"/>
      <c r="E810" s="16"/>
      <c r="F810" s="16"/>
      <c r="G810" s="16"/>
      <c r="H810" s="16"/>
      <c r="I810" s="16"/>
      <c r="J810" s="16"/>
      <c r="K810" s="16"/>
    </row>
    <row r="811" spans="1:11" ht="12.75">
      <c r="A811" s="16"/>
      <c r="B811" s="17"/>
      <c r="C811" s="2"/>
      <c r="D811" s="16"/>
      <c r="E811" s="16"/>
      <c r="F811" s="16"/>
      <c r="G811" s="16"/>
      <c r="H811" s="16"/>
      <c r="I811" s="16"/>
      <c r="J811" s="16"/>
      <c r="K811" s="16"/>
    </row>
    <row r="812" spans="1:11" ht="12.75">
      <c r="A812" s="16"/>
      <c r="B812" s="17"/>
      <c r="C812" s="2"/>
      <c r="D812" s="16"/>
      <c r="E812" s="16"/>
      <c r="F812" s="16"/>
      <c r="G812" s="16"/>
      <c r="H812" s="16"/>
      <c r="I812" s="16"/>
      <c r="J812" s="16"/>
      <c r="K812" s="16"/>
    </row>
    <row r="813" spans="1:11" ht="12.75">
      <c r="A813" s="16"/>
      <c r="B813" s="17"/>
      <c r="C813" s="2"/>
      <c r="D813" s="16"/>
      <c r="E813" s="16"/>
      <c r="F813" s="16"/>
      <c r="G813" s="16"/>
      <c r="H813" s="16"/>
      <c r="I813" s="16"/>
      <c r="J813" s="16"/>
      <c r="K813" s="16"/>
    </row>
    <row r="814" spans="1:11" ht="12.75">
      <c r="A814" s="16"/>
      <c r="B814" s="17"/>
      <c r="C814" s="2"/>
      <c r="D814" s="16"/>
      <c r="E814" s="16"/>
      <c r="F814" s="16"/>
      <c r="G814" s="16"/>
      <c r="H814" s="16"/>
      <c r="I814" s="16"/>
      <c r="J814" s="16"/>
      <c r="K814" s="16"/>
    </row>
    <row r="815" spans="1:11" ht="12.75">
      <c r="A815" s="16"/>
      <c r="B815" s="17"/>
      <c r="C815" s="2"/>
      <c r="D815" s="16"/>
      <c r="E815" s="16"/>
      <c r="F815" s="16"/>
      <c r="G815" s="16"/>
      <c r="H815" s="16"/>
      <c r="I815" s="16"/>
      <c r="J815" s="16"/>
      <c r="K815" s="16"/>
    </row>
    <row r="816" spans="1:11" ht="12.75">
      <c r="A816" s="16"/>
      <c r="B816" s="17"/>
      <c r="C816" s="2"/>
      <c r="D816" s="16"/>
      <c r="E816" s="16"/>
      <c r="F816" s="16"/>
      <c r="G816" s="16"/>
      <c r="H816" s="16"/>
      <c r="I816" s="16"/>
      <c r="J816" s="16"/>
      <c r="K816" s="16"/>
    </row>
    <row r="817" spans="1:11" ht="12.75">
      <c r="A817" s="16"/>
      <c r="B817" s="17"/>
      <c r="C817" s="2"/>
      <c r="D817" s="16"/>
      <c r="E817" s="16"/>
      <c r="F817" s="16"/>
      <c r="G817" s="16"/>
      <c r="H817" s="16"/>
      <c r="I817" s="16"/>
      <c r="J817" s="16"/>
      <c r="K817" s="16"/>
    </row>
    <row r="818" spans="1:11" ht="12.75">
      <c r="A818" s="16"/>
      <c r="B818" s="17"/>
      <c r="C818" s="2"/>
      <c r="D818" s="16"/>
      <c r="E818" s="16"/>
      <c r="F818" s="16"/>
      <c r="G818" s="16"/>
      <c r="H818" s="16"/>
      <c r="I818" s="16"/>
      <c r="J818" s="16"/>
      <c r="K818" s="16"/>
    </row>
    <row r="819" spans="1:11" ht="12.75">
      <c r="A819" s="16"/>
      <c r="B819" s="17"/>
      <c r="C819" s="2"/>
      <c r="D819" s="16"/>
      <c r="E819" s="16"/>
      <c r="F819" s="16"/>
      <c r="G819" s="16"/>
      <c r="H819" s="16"/>
      <c r="I819" s="16"/>
      <c r="J819" s="16"/>
      <c r="K819" s="16"/>
    </row>
    <row r="820" spans="1:11" ht="12.75">
      <c r="A820" s="16"/>
      <c r="B820" s="17"/>
      <c r="C820" s="2"/>
      <c r="D820" s="16"/>
      <c r="E820" s="16"/>
      <c r="F820" s="16"/>
      <c r="G820" s="16"/>
      <c r="H820" s="16"/>
      <c r="I820" s="16"/>
      <c r="J820" s="16"/>
      <c r="K820" s="16"/>
    </row>
    <row r="821" spans="1:11" ht="12.75">
      <c r="A821" s="16"/>
      <c r="B821" s="17"/>
      <c r="C821" s="2"/>
      <c r="D821" s="16"/>
      <c r="E821" s="16"/>
      <c r="F821" s="16"/>
      <c r="G821" s="16"/>
      <c r="H821" s="16"/>
      <c r="I821" s="16"/>
      <c r="J821" s="16"/>
      <c r="K821" s="16"/>
    </row>
    <row r="822" spans="1:11" ht="12.75">
      <c r="A822" s="16"/>
      <c r="B822" s="17"/>
      <c r="C822" s="2"/>
      <c r="D822" s="16"/>
      <c r="E822" s="16"/>
      <c r="F822" s="16"/>
      <c r="G822" s="16"/>
      <c r="H822" s="16"/>
      <c r="I822" s="16"/>
      <c r="J822" s="16"/>
      <c r="K822" s="16"/>
    </row>
    <row r="823" spans="1:11" ht="12.75">
      <c r="A823" s="16"/>
      <c r="B823" s="17"/>
      <c r="C823" s="2"/>
      <c r="D823" s="16"/>
      <c r="E823" s="16"/>
      <c r="F823" s="16"/>
      <c r="G823" s="16"/>
      <c r="H823" s="16"/>
      <c r="I823" s="16"/>
      <c r="J823" s="16"/>
      <c r="K823" s="16"/>
    </row>
    <row r="824" spans="1:11" ht="12.75">
      <c r="A824" s="16"/>
      <c r="B824" s="17"/>
      <c r="C824" s="2"/>
      <c r="D824" s="16"/>
      <c r="E824" s="16"/>
      <c r="F824" s="16"/>
      <c r="G824" s="16"/>
      <c r="H824" s="16"/>
      <c r="I824" s="16"/>
      <c r="J824" s="16"/>
      <c r="K824" s="16"/>
    </row>
    <row r="825" spans="1:11" ht="12.75">
      <c r="A825" s="16"/>
      <c r="B825" s="17"/>
      <c r="C825" s="2"/>
      <c r="D825" s="16"/>
      <c r="E825" s="16"/>
      <c r="F825" s="16"/>
      <c r="G825" s="16"/>
      <c r="H825" s="16"/>
      <c r="I825" s="16"/>
      <c r="J825" s="16"/>
      <c r="K825" s="16"/>
    </row>
    <row r="826" spans="1:11" ht="12.75">
      <c r="A826" s="16"/>
      <c r="B826" s="17"/>
      <c r="C826" s="2"/>
      <c r="D826" s="16"/>
      <c r="E826" s="16"/>
      <c r="F826" s="16"/>
      <c r="G826" s="16"/>
      <c r="H826" s="16"/>
      <c r="I826" s="16"/>
      <c r="J826" s="16"/>
      <c r="K826" s="16"/>
    </row>
    <row r="827" spans="1:11" ht="12.75">
      <c r="A827" s="16"/>
      <c r="B827" s="17"/>
      <c r="C827" s="2"/>
      <c r="D827" s="16"/>
      <c r="E827" s="16"/>
      <c r="F827" s="16"/>
      <c r="G827" s="16"/>
      <c r="H827" s="16"/>
      <c r="I827" s="16"/>
      <c r="J827" s="16"/>
      <c r="K827" s="16"/>
    </row>
    <row r="828" spans="1:11" ht="12.75">
      <c r="A828" s="16"/>
      <c r="B828" s="17"/>
      <c r="C828" s="2"/>
      <c r="D828" s="16"/>
      <c r="E828" s="16"/>
      <c r="F828" s="16"/>
      <c r="G828" s="16"/>
      <c r="H828" s="16"/>
      <c r="I828" s="16"/>
      <c r="J828" s="16"/>
      <c r="K828" s="16"/>
    </row>
    <row r="829" spans="1:11" ht="12.75">
      <c r="A829" s="16"/>
      <c r="B829" s="17"/>
      <c r="C829" s="2"/>
      <c r="D829" s="16"/>
      <c r="E829" s="16"/>
      <c r="F829" s="16"/>
      <c r="G829" s="16"/>
      <c r="H829" s="16"/>
      <c r="I829" s="16"/>
      <c r="J829" s="16"/>
      <c r="K829" s="16"/>
    </row>
    <row r="830" spans="1:11" ht="12.75">
      <c r="A830" s="16"/>
      <c r="B830" s="17"/>
      <c r="C830" s="2"/>
      <c r="D830" s="16"/>
      <c r="E830" s="16"/>
      <c r="F830" s="16"/>
      <c r="G830" s="16"/>
      <c r="H830" s="16"/>
      <c r="I830" s="16"/>
      <c r="J830" s="16"/>
      <c r="K830" s="16"/>
    </row>
    <row r="831" spans="1:11" ht="12.75">
      <c r="A831" s="16"/>
      <c r="B831" s="17"/>
      <c r="C831" s="2"/>
      <c r="D831" s="16"/>
      <c r="E831" s="16"/>
      <c r="F831" s="16"/>
      <c r="G831" s="16"/>
      <c r="H831" s="16"/>
      <c r="I831" s="16"/>
      <c r="J831" s="16"/>
      <c r="K831" s="16"/>
    </row>
    <row r="832" spans="1:11" ht="12.75">
      <c r="A832" s="16"/>
      <c r="B832" s="17"/>
      <c r="C832" s="2"/>
      <c r="D832" s="16"/>
      <c r="E832" s="16"/>
      <c r="F832" s="16"/>
      <c r="G832" s="16"/>
      <c r="H832" s="16"/>
      <c r="I832" s="16"/>
      <c r="J832" s="16"/>
      <c r="K832" s="16"/>
    </row>
    <row r="833" spans="1:11" ht="12.75">
      <c r="A833" s="16"/>
      <c r="B833" s="17"/>
      <c r="C833" s="2"/>
      <c r="D833" s="16"/>
      <c r="E833" s="16"/>
      <c r="F833" s="16"/>
      <c r="G833" s="16"/>
      <c r="H833" s="16"/>
      <c r="I833" s="16"/>
      <c r="J833" s="16"/>
      <c r="K833" s="16"/>
    </row>
    <row r="834" spans="1:11" ht="12.75">
      <c r="A834" s="16"/>
      <c r="B834" s="17"/>
      <c r="C834" s="2"/>
      <c r="D834" s="16"/>
      <c r="E834" s="16"/>
      <c r="F834" s="16"/>
      <c r="G834" s="16"/>
      <c r="H834" s="16"/>
      <c r="I834" s="16"/>
      <c r="J834" s="16"/>
      <c r="K834" s="16"/>
    </row>
    <row r="835" spans="1:11" ht="12.75">
      <c r="A835" s="16"/>
      <c r="B835" s="17"/>
      <c r="C835" s="2"/>
      <c r="D835" s="16"/>
      <c r="E835" s="16"/>
      <c r="F835" s="16"/>
      <c r="G835" s="16"/>
      <c r="H835" s="16"/>
      <c r="I835" s="16"/>
      <c r="J835" s="16"/>
      <c r="K835" s="16"/>
    </row>
    <row r="836" spans="1:11" ht="12.75">
      <c r="A836" s="16"/>
      <c r="B836" s="17"/>
      <c r="C836" s="2"/>
      <c r="D836" s="16"/>
      <c r="E836" s="16"/>
      <c r="F836" s="16"/>
      <c r="G836" s="16"/>
      <c r="H836" s="16"/>
      <c r="I836" s="16"/>
      <c r="J836" s="16"/>
      <c r="K836" s="16"/>
    </row>
    <row r="837" spans="1:11" ht="12.75">
      <c r="A837" s="16"/>
      <c r="B837" s="17"/>
      <c r="C837" s="2"/>
      <c r="D837" s="16"/>
      <c r="E837" s="16"/>
      <c r="F837" s="16"/>
      <c r="G837" s="16"/>
      <c r="H837" s="16"/>
      <c r="I837" s="16"/>
      <c r="J837" s="16"/>
      <c r="K837" s="16"/>
    </row>
    <row r="838" spans="1:11" ht="12.75">
      <c r="A838" s="16"/>
      <c r="B838" s="17"/>
      <c r="C838" s="2"/>
      <c r="D838" s="16"/>
      <c r="E838" s="16"/>
      <c r="F838" s="16"/>
      <c r="G838" s="16"/>
      <c r="H838" s="16"/>
      <c r="I838" s="16"/>
      <c r="J838" s="16"/>
      <c r="K838" s="16"/>
    </row>
    <row r="839" spans="1:11" ht="12.75">
      <c r="A839" s="16"/>
      <c r="B839" s="17"/>
      <c r="C839" s="2"/>
      <c r="D839" s="16"/>
      <c r="E839" s="16"/>
      <c r="F839" s="16"/>
      <c r="G839" s="16"/>
      <c r="H839" s="16"/>
      <c r="I839" s="16"/>
      <c r="J839" s="16"/>
      <c r="K839" s="16"/>
    </row>
    <row r="840" spans="1:11" ht="12.75">
      <c r="A840" s="16"/>
      <c r="B840" s="17"/>
      <c r="C840" s="2"/>
      <c r="D840" s="16"/>
      <c r="E840" s="16"/>
      <c r="F840" s="16"/>
      <c r="G840" s="16"/>
      <c r="H840" s="16"/>
      <c r="I840" s="16"/>
      <c r="J840" s="16"/>
      <c r="K840" s="16"/>
    </row>
    <row r="841" spans="1:11" ht="12.75">
      <c r="A841" s="16"/>
      <c r="B841" s="17"/>
      <c r="C841" s="2"/>
      <c r="D841" s="16"/>
      <c r="E841" s="16"/>
      <c r="F841" s="16"/>
      <c r="G841" s="16"/>
      <c r="H841" s="16"/>
      <c r="I841" s="16"/>
      <c r="J841" s="16"/>
      <c r="K841" s="16"/>
    </row>
    <row r="842" spans="1:11" ht="12.75">
      <c r="A842" s="16"/>
      <c r="B842" s="17"/>
      <c r="C842" s="2"/>
      <c r="D842" s="16"/>
      <c r="E842" s="16"/>
      <c r="F842" s="16"/>
      <c r="G842" s="16"/>
      <c r="H842" s="16"/>
      <c r="I842" s="16"/>
      <c r="J842" s="16"/>
      <c r="K842" s="16"/>
    </row>
    <row r="843" spans="1:11" ht="12.75">
      <c r="A843" s="16"/>
      <c r="B843" s="17"/>
      <c r="C843" s="2"/>
      <c r="D843" s="16"/>
      <c r="E843" s="16"/>
      <c r="F843" s="16"/>
      <c r="G843" s="16"/>
      <c r="H843" s="16"/>
      <c r="I843" s="16"/>
      <c r="J843" s="16"/>
      <c r="K843" s="16"/>
    </row>
    <row r="844" spans="1:11" ht="12.75">
      <c r="A844" s="16"/>
      <c r="B844" s="17"/>
      <c r="C844" s="2"/>
      <c r="D844" s="16"/>
      <c r="E844" s="16"/>
      <c r="F844" s="16"/>
      <c r="G844" s="16"/>
      <c r="H844" s="16"/>
      <c r="I844" s="16"/>
      <c r="J844" s="16"/>
      <c r="K844" s="16"/>
    </row>
    <row r="845" spans="1:11" ht="12.75">
      <c r="A845" s="16"/>
      <c r="B845" s="17"/>
      <c r="C845" s="2"/>
      <c r="D845" s="16"/>
      <c r="E845" s="16"/>
      <c r="F845" s="16"/>
      <c r="G845" s="16"/>
      <c r="H845" s="16"/>
      <c r="I845" s="16"/>
      <c r="J845" s="16"/>
      <c r="K845" s="16"/>
    </row>
    <row r="846" spans="1:11" ht="12.75">
      <c r="A846" s="16"/>
      <c r="B846" s="17"/>
      <c r="C846" s="2"/>
      <c r="D846" s="16"/>
      <c r="E846" s="16"/>
      <c r="F846" s="16"/>
      <c r="G846" s="16"/>
      <c r="H846" s="16"/>
      <c r="I846" s="16"/>
      <c r="J846" s="16"/>
      <c r="K846" s="16"/>
    </row>
    <row r="847" spans="1:11" ht="12.75">
      <c r="A847" s="16"/>
      <c r="B847" s="17"/>
      <c r="C847" s="2"/>
      <c r="D847" s="16"/>
      <c r="E847" s="16"/>
      <c r="F847" s="16"/>
      <c r="G847" s="16"/>
      <c r="H847" s="16"/>
      <c r="I847" s="16"/>
      <c r="J847" s="16"/>
      <c r="K847" s="16"/>
    </row>
    <row r="848" spans="1:11" ht="12.75">
      <c r="A848" s="16"/>
      <c r="B848" s="17"/>
      <c r="C848" s="2"/>
      <c r="D848" s="16"/>
      <c r="E848" s="16"/>
      <c r="F848" s="16"/>
      <c r="G848" s="16"/>
      <c r="H848" s="16"/>
      <c r="I848" s="16"/>
      <c r="J848" s="16"/>
      <c r="K848" s="16"/>
    </row>
    <row r="849" spans="1:11" ht="12.75">
      <c r="A849" s="16"/>
      <c r="B849" s="17"/>
      <c r="C849" s="2"/>
      <c r="D849" s="16"/>
      <c r="E849" s="16"/>
      <c r="F849" s="16"/>
      <c r="G849" s="16"/>
      <c r="H849" s="16"/>
      <c r="I849" s="16"/>
      <c r="J849" s="16"/>
      <c r="K849" s="16"/>
    </row>
    <row r="850" spans="1:11" ht="12.75">
      <c r="A850" s="16"/>
      <c r="B850" s="17"/>
      <c r="C850" s="2"/>
      <c r="D850" s="16"/>
      <c r="E850" s="16"/>
      <c r="F850" s="16"/>
      <c r="G850" s="16"/>
      <c r="H850" s="16"/>
      <c r="I850" s="16"/>
      <c r="J850" s="16"/>
      <c r="K850" s="16"/>
    </row>
    <row r="851" spans="1:11" ht="12.75">
      <c r="A851" s="16"/>
      <c r="B851" s="17"/>
      <c r="C851" s="2"/>
      <c r="D851" s="16"/>
      <c r="E851" s="16"/>
      <c r="F851" s="16"/>
      <c r="G851" s="16"/>
      <c r="H851" s="16"/>
      <c r="I851" s="16"/>
      <c r="J851" s="16"/>
      <c r="K851" s="16"/>
    </row>
    <row r="852" spans="1:11" ht="12.75">
      <c r="A852" s="16"/>
      <c r="B852" s="17"/>
      <c r="C852" s="2"/>
      <c r="D852" s="16"/>
      <c r="E852" s="16"/>
      <c r="F852" s="16"/>
      <c r="G852" s="16"/>
      <c r="H852" s="16"/>
      <c r="I852" s="16"/>
      <c r="J852" s="16"/>
      <c r="K852" s="16"/>
    </row>
    <row r="853" spans="1:11" ht="12.75">
      <c r="A853" s="16"/>
      <c r="B853" s="17"/>
      <c r="C853" s="2"/>
      <c r="D853" s="16"/>
      <c r="E853" s="16"/>
      <c r="F853" s="16"/>
      <c r="G853" s="16"/>
      <c r="H853" s="16"/>
      <c r="I853" s="16"/>
      <c r="J853" s="16"/>
      <c r="K853" s="16"/>
    </row>
    <row r="854" spans="1:11" ht="12.75">
      <c r="A854" s="16"/>
      <c r="B854" s="17"/>
      <c r="C854" s="2"/>
      <c r="D854" s="16"/>
      <c r="E854" s="16"/>
      <c r="F854" s="16"/>
      <c r="G854" s="16"/>
      <c r="H854" s="16"/>
      <c r="I854" s="16"/>
      <c r="J854" s="16"/>
      <c r="K854" s="16"/>
    </row>
    <row r="855" spans="1:11" ht="12.75">
      <c r="A855" s="16"/>
      <c r="B855" s="17"/>
      <c r="C855" s="2"/>
      <c r="D855" s="16"/>
      <c r="E855" s="16"/>
      <c r="F855" s="16"/>
      <c r="G855" s="16"/>
      <c r="H855" s="16"/>
      <c r="I855" s="16"/>
      <c r="J855" s="16"/>
      <c r="K855" s="16"/>
    </row>
    <row r="856" spans="1:11" ht="12.75">
      <c r="A856" s="16"/>
      <c r="B856" s="17"/>
      <c r="C856" s="2"/>
      <c r="D856" s="16"/>
      <c r="E856" s="16"/>
      <c r="F856" s="16"/>
      <c r="G856" s="16"/>
      <c r="H856" s="16"/>
      <c r="I856" s="16"/>
      <c r="J856" s="16"/>
      <c r="K856" s="16"/>
    </row>
    <row r="857" spans="1:11" ht="12.75">
      <c r="A857" s="16"/>
      <c r="B857" s="17"/>
      <c r="C857" s="2"/>
      <c r="D857" s="16"/>
      <c r="E857" s="16"/>
      <c r="F857" s="16"/>
      <c r="G857" s="16"/>
      <c r="H857" s="16"/>
      <c r="I857" s="16"/>
      <c r="J857" s="16"/>
      <c r="K857" s="16"/>
    </row>
    <row r="858" spans="1:11" ht="12.75">
      <c r="A858" s="16"/>
      <c r="B858" s="17"/>
      <c r="C858" s="2"/>
      <c r="D858" s="16"/>
      <c r="E858" s="16"/>
      <c r="F858" s="16"/>
      <c r="G858" s="16"/>
      <c r="H858" s="16"/>
      <c r="I858" s="16"/>
      <c r="J858" s="16"/>
      <c r="K858" s="16"/>
    </row>
    <row r="859" spans="1:11" ht="12.75">
      <c r="A859" s="16"/>
      <c r="B859" s="17"/>
      <c r="C859" s="2"/>
      <c r="D859" s="16"/>
      <c r="E859" s="16"/>
      <c r="F859" s="16"/>
      <c r="G859" s="16"/>
      <c r="H859" s="16"/>
      <c r="I859" s="16"/>
      <c r="J859" s="16"/>
      <c r="K859" s="16"/>
    </row>
    <row r="860" spans="1:11" ht="12.75">
      <c r="A860" s="16"/>
      <c r="B860" s="17"/>
      <c r="C860" s="2"/>
      <c r="D860" s="16"/>
      <c r="E860" s="16"/>
      <c r="F860" s="16"/>
      <c r="G860" s="16"/>
      <c r="H860" s="16"/>
      <c r="I860" s="16"/>
      <c r="J860" s="16"/>
      <c r="K860" s="16"/>
    </row>
    <row r="861" spans="1:11" ht="12.75">
      <c r="A861" s="16"/>
      <c r="B861" s="17"/>
      <c r="C861" s="2"/>
      <c r="D861" s="16"/>
      <c r="E861" s="16"/>
      <c r="F861" s="16"/>
      <c r="G861" s="16"/>
      <c r="H861" s="16"/>
      <c r="I861" s="16"/>
      <c r="J861" s="16"/>
      <c r="K861" s="16"/>
    </row>
    <row r="862" spans="1:11" ht="12.75">
      <c r="A862" s="16"/>
      <c r="B862" s="17"/>
      <c r="C862" s="2"/>
      <c r="D862" s="16"/>
      <c r="E862" s="16"/>
      <c r="F862" s="16"/>
      <c r="G862" s="16"/>
      <c r="H862" s="16"/>
      <c r="I862" s="16"/>
      <c r="J862" s="16"/>
      <c r="K862" s="16"/>
    </row>
    <row r="863" spans="1:11" ht="12.75">
      <c r="A863" s="16"/>
      <c r="B863" s="17"/>
      <c r="C863" s="2"/>
      <c r="D863" s="16"/>
      <c r="E863" s="16"/>
      <c r="F863" s="16"/>
      <c r="G863" s="16"/>
      <c r="H863" s="16"/>
      <c r="I863" s="16"/>
      <c r="J863" s="16"/>
      <c r="K863" s="16"/>
    </row>
    <row r="864" spans="1:11" ht="12.75">
      <c r="A864" s="16"/>
      <c r="B864" s="17"/>
      <c r="C864" s="2"/>
      <c r="D864" s="16"/>
      <c r="E864" s="16"/>
      <c r="F864" s="16"/>
      <c r="G864" s="16"/>
      <c r="H864" s="16"/>
      <c r="I864" s="16"/>
      <c r="J864" s="16"/>
      <c r="K864" s="16"/>
    </row>
    <row r="865" spans="1:11" ht="12.75">
      <c r="A865" s="16"/>
      <c r="B865" s="17"/>
      <c r="C865" s="2"/>
      <c r="D865" s="16"/>
      <c r="E865" s="16"/>
      <c r="F865" s="16"/>
      <c r="G865" s="16"/>
      <c r="H865" s="16"/>
      <c r="I865" s="16"/>
      <c r="J865" s="16"/>
      <c r="K865" s="16"/>
    </row>
    <row r="866" spans="1:11" ht="12.75">
      <c r="A866" s="16"/>
      <c r="B866" s="17"/>
      <c r="C866" s="2"/>
      <c r="D866" s="16"/>
      <c r="E866" s="16"/>
      <c r="F866" s="16"/>
      <c r="G866" s="16"/>
      <c r="H866" s="16"/>
      <c r="I866" s="16"/>
      <c r="J866" s="16"/>
      <c r="K866" s="16"/>
    </row>
    <row r="867" spans="1:11" ht="12.75">
      <c r="A867" s="16"/>
      <c r="B867" s="17"/>
      <c r="C867" s="2"/>
      <c r="D867" s="16"/>
      <c r="E867" s="16"/>
      <c r="F867" s="16"/>
      <c r="G867" s="16"/>
      <c r="H867" s="16"/>
      <c r="I867" s="16"/>
      <c r="J867" s="16"/>
      <c r="K867" s="16"/>
    </row>
    <row r="868" spans="1:11" ht="12.75">
      <c r="A868" s="16"/>
      <c r="B868" s="17"/>
      <c r="C868" s="2"/>
      <c r="D868" s="16"/>
      <c r="E868" s="16"/>
      <c r="F868" s="16"/>
      <c r="G868" s="16"/>
      <c r="H868" s="16"/>
      <c r="I868" s="16"/>
      <c r="J868" s="16"/>
      <c r="K868" s="16"/>
    </row>
    <row r="869" spans="1:11" ht="12.75">
      <c r="A869" s="16"/>
      <c r="B869" s="17"/>
      <c r="C869" s="2"/>
      <c r="D869" s="16"/>
      <c r="E869" s="16"/>
      <c r="F869" s="16"/>
      <c r="G869" s="16"/>
      <c r="H869" s="16"/>
      <c r="I869" s="16"/>
      <c r="J869" s="16"/>
      <c r="K869" s="16"/>
    </row>
    <row r="870" spans="1:11" ht="12.75">
      <c r="A870" s="16"/>
      <c r="B870" s="17"/>
      <c r="C870" s="2"/>
      <c r="D870" s="16"/>
      <c r="E870" s="16"/>
      <c r="F870" s="16"/>
      <c r="G870" s="16"/>
      <c r="H870" s="16"/>
      <c r="I870" s="16"/>
      <c r="J870" s="16"/>
      <c r="K870" s="16"/>
    </row>
    <row r="871" spans="1:11" ht="12.75">
      <c r="A871" s="16"/>
      <c r="B871" s="17"/>
      <c r="C871" s="2"/>
      <c r="D871" s="16"/>
      <c r="E871" s="16"/>
      <c r="F871" s="16"/>
      <c r="G871" s="16"/>
      <c r="H871" s="16"/>
      <c r="I871" s="16"/>
      <c r="J871" s="16"/>
      <c r="K871" s="16"/>
    </row>
    <row r="872" spans="1:11" ht="12.75">
      <c r="A872" s="16"/>
      <c r="B872" s="17"/>
      <c r="C872" s="2"/>
      <c r="D872" s="16"/>
      <c r="E872" s="16"/>
      <c r="F872" s="16"/>
      <c r="G872" s="16"/>
      <c r="H872" s="16"/>
      <c r="I872" s="16"/>
      <c r="J872" s="16"/>
      <c r="K872" s="16"/>
    </row>
    <row r="873" spans="1:11" ht="12.75">
      <c r="A873" s="16"/>
      <c r="B873" s="17"/>
      <c r="C873" s="2"/>
      <c r="D873" s="16"/>
      <c r="E873" s="16"/>
      <c r="F873" s="16"/>
      <c r="G873" s="16"/>
      <c r="H873" s="16"/>
      <c r="I873" s="16"/>
      <c r="J873" s="16"/>
      <c r="K873" s="16"/>
    </row>
    <row r="874" spans="1:11" ht="12.75">
      <c r="A874" s="16"/>
      <c r="B874" s="17"/>
      <c r="C874" s="2"/>
      <c r="D874" s="16"/>
      <c r="E874" s="16"/>
      <c r="F874" s="16"/>
      <c r="G874" s="16"/>
      <c r="H874" s="16"/>
      <c r="I874" s="16"/>
      <c r="J874" s="16"/>
      <c r="K874" s="16"/>
    </row>
    <row r="875" spans="1:11" ht="12.75">
      <c r="A875" s="16"/>
      <c r="B875" s="17"/>
      <c r="C875" s="2"/>
      <c r="D875" s="16"/>
      <c r="E875" s="16"/>
      <c r="F875" s="16"/>
      <c r="G875" s="16"/>
      <c r="H875" s="16"/>
      <c r="I875" s="16"/>
      <c r="J875" s="16"/>
      <c r="K875" s="16"/>
    </row>
    <row r="876" spans="1:11" ht="12.75">
      <c r="A876" s="16"/>
      <c r="B876" s="17"/>
      <c r="C876" s="2"/>
      <c r="D876" s="16"/>
      <c r="E876" s="16"/>
      <c r="F876" s="16"/>
      <c r="G876" s="16"/>
      <c r="H876" s="16"/>
      <c r="I876" s="16"/>
      <c r="J876" s="16"/>
      <c r="K876" s="16"/>
    </row>
    <row r="877" spans="1:11" ht="12.75">
      <c r="A877" s="16"/>
      <c r="B877" s="17"/>
      <c r="C877" s="2"/>
      <c r="D877" s="16"/>
      <c r="E877" s="16"/>
      <c r="F877" s="16"/>
      <c r="G877" s="16"/>
      <c r="H877" s="16"/>
      <c r="I877" s="16"/>
      <c r="J877" s="16"/>
      <c r="K877" s="16"/>
    </row>
    <row r="878" spans="1:11" ht="12.75">
      <c r="A878" s="16"/>
      <c r="B878" s="17"/>
      <c r="C878" s="2"/>
      <c r="D878" s="16"/>
      <c r="E878" s="16"/>
      <c r="F878" s="16"/>
      <c r="G878" s="16"/>
      <c r="H878" s="16"/>
      <c r="I878" s="16"/>
      <c r="J878" s="16"/>
      <c r="K878" s="16"/>
    </row>
    <row r="879" spans="1:11" ht="12.75">
      <c r="A879" s="16"/>
      <c r="B879" s="17"/>
      <c r="C879" s="2"/>
      <c r="D879" s="16"/>
      <c r="E879" s="16"/>
      <c r="F879" s="16"/>
      <c r="G879" s="16"/>
      <c r="H879" s="16"/>
      <c r="I879" s="16"/>
      <c r="J879" s="16"/>
      <c r="K879" s="16"/>
    </row>
    <row r="880" spans="1:11" ht="12.75">
      <c r="A880" s="16"/>
      <c r="B880" s="17"/>
      <c r="C880" s="2"/>
      <c r="D880" s="16"/>
      <c r="E880" s="16"/>
      <c r="F880" s="16"/>
      <c r="G880" s="16"/>
      <c r="H880" s="16"/>
      <c r="I880" s="16"/>
      <c r="J880" s="16"/>
      <c r="K880" s="16"/>
    </row>
    <row r="881" spans="1:11" ht="12.75">
      <c r="A881" s="16"/>
      <c r="B881" s="17"/>
      <c r="C881" s="2"/>
      <c r="D881" s="16"/>
      <c r="E881" s="16"/>
      <c r="F881" s="16"/>
      <c r="G881" s="16"/>
      <c r="H881" s="16"/>
      <c r="I881" s="16"/>
      <c r="J881" s="16"/>
      <c r="K881" s="16"/>
    </row>
    <row r="882" spans="1:11" ht="12.75">
      <c r="A882" s="16"/>
      <c r="B882" s="17"/>
      <c r="C882" s="2"/>
      <c r="D882" s="16"/>
      <c r="E882" s="16"/>
      <c r="F882" s="16"/>
      <c r="G882" s="16"/>
      <c r="H882" s="16"/>
      <c r="I882" s="16"/>
      <c r="J882" s="16"/>
      <c r="K882" s="16"/>
    </row>
    <row r="883" spans="1:11" ht="12.75">
      <c r="A883" s="16"/>
      <c r="B883" s="17"/>
      <c r="C883" s="2"/>
      <c r="D883" s="16"/>
      <c r="E883" s="16"/>
      <c r="F883" s="16"/>
      <c r="G883" s="16"/>
      <c r="H883" s="16"/>
      <c r="I883" s="16"/>
      <c r="J883" s="16"/>
      <c r="K883" s="16"/>
    </row>
    <row r="884" spans="1:11" ht="12.75">
      <c r="A884" s="16"/>
      <c r="B884" s="17"/>
      <c r="C884" s="2"/>
      <c r="D884" s="16"/>
      <c r="E884" s="16"/>
      <c r="F884" s="16"/>
      <c r="G884" s="16"/>
      <c r="H884" s="16"/>
      <c r="I884" s="16"/>
      <c r="J884" s="16"/>
      <c r="K884" s="16"/>
    </row>
    <row r="885" spans="1:11" ht="12.75">
      <c r="A885" s="16"/>
      <c r="B885" s="17"/>
      <c r="C885" s="2"/>
      <c r="D885" s="16"/>
      <c r="E885" s="16"/>
      <c r="F885" s="16"/>
      <c r="G885" s="16"/>
      <c r="H885" s="16"/>
      <c r="I885" s="16"/>
      <c r="J885" s="16"/>
      <c r="K885" s="16"/>
    </row>
    <row r="886" spans="1:11" ht="12.75">
      <c r="A886" s="16"/>
      <c r="B886" s="17"/>
      <c r="C886" s="2"/>
      <c r="D886" s="16"/>
      <c r="E886" s="16"/>
      <c r="F886" s="16"/>
      <c r="G886" s="16"/>
      <c r="H886" s="16"/>
      <c r="I886" s="16"/>
      <c r="J886" s="16"/>
      <c r="K886" s="16"/>
    </row>
    <row r="887" spans="1:11" ht="12.75">
      <c r="A887" s="16"/>
      <c r="B887" s="17"/>
      <c r="C887" s="2"/>
      <c r="D887" s="16"/>
      <c r="E887" s="16"/>
      <c r="F887" s="16"/>
      <c r="G887" s="16"/>
      <c r="H887" s="16"/>
      <c r="I887" s="16"/>
      <c r="J887" s="16"/>
      <c r="K887" s="16"/>
    </row>
    <row r="888" spans="1:11" ht="12.75">
      <c r="A888" s="16"/>
      <c r="B888" s="17"/>
      <c r="C888" s="2"/>
      <c r="D888" s="16"/>
      <c r="E888" s="16"/>
      <c r="F888" s="16"/>
      <c r="G888" s="16"/>
      <c r="H888" s="16"/>
      <c r="I888" s="16"/>
      <c r="J888" s="16"/>
      <c r="K888" s="16"/>
    </row>
    <row r="889" spans="1:11" ht="12.75">
      <c r="A889" s="16"/>
      <c r="B889" s="17"/>
      <c r="C889" s="2"/>
      <c r="D889" s="16"/>
      <c r="E889" s="16"/>
      <c r="F889" s="16"/>
      <c r="G889" s="16"/>
      <c r="H889" s="16"/>
      <c r="I889" s="16"/>
      <c r="J889" s="16"/>
      <c r="K889" s="16"/>
    </row>
    <row r="890" spans="1:11" ht="12.75">
      <c r="A890" s="16"/>
      <c r="B890" s="17"/>
      <c r="C890" s="2"/>
      <c r="D890" s="16"/>
      <c r="E890" s="16"/>
      <c r="F890" s="16"/>
      <c r="G890" s="16"/>
      <c r="H890" s="16"/>
      <c r="I890" s="16"/>
      <c r="J890" s="16"/>
      <c r="K890" s="16"/>
    </row>
    <row r="891" spans="1:11" ht="12.75">
      <c r="A891" s="16"/>
      <c r="B891" s="17"/>
      <c r="C891" s="2"/>
      <c r="D891" s="16"/>
      <c r="E891" s="16"/>
      <c r="F891" s="16"/>
      <c r="G891" s="16"/>
      <c r="H891" s="16"/>
      <c r="I891" s="16"/>
      <c r="J891" s="16"/>
      <c r="K891" s="16"/>
    </row>
    <row r="892" spans="1:11" ht="12.75">
      <c r="A892" s="16"/>
      <c r="B892" s="17"/>
      <c r="C892" s="2"/>
      <c r="D892" s="16"/>
      <c r="E892" s="16"/>
      <c r="F892" s="16"/>
      <c r="G892" s="16"/>
      <c r="H892" s="16"/>
      <c r="I892" s="16"/>
      <c r="J892" s="16"/>
      <c r="K892" s="16"/>
    </row>
    <row r="893" spans="1:11" ht="12.75">
      <c r="A893" s="16"/>
      <c r="B893" s="17"/>
      <c r="C893" s="2"/>
      <c r="D893" s="16"/>
      <c r="E893" s="16"/>
      <c r="F893" s="16"/>
      <c r="G893" s="16"/>
      <c r="H893" s="16"/>
      <c r="I893" s="16"/>
      <c r="J893" s="16"/>
      <c r="K893" s="16"/>
    </row>
    <row r="894" spans="1:11" ht="12.75">
      <c r="A894" s="16"/>
      <c r="B894" s="17"/>
      <c r="C894" s="2"/>
      <c r="D894" s="16"/>
      <c r="E894" s="16"/>
      <c r="F894" s="16"/>
      <c r="G894" s="16"/>
      <c r="H894" s="16"/>
      <c r="I894" s="16"/>
      <c r="J894" s="16"/>
      <c r="K894" s="16"/>
    </row>
    <row r="895" spans="1:11" ht="12.75">
      <c r="A895" s="16"/>
      <c r="B895" s="17"/>
      <c r="C895" s="2"/>
      <c r="D895" s="16"/>
      <c r="E895" s="16"/>
      <c r="F895" s="16"/>
      <c r="G895" s="16"/>
      <c r="H895" s="16"/>
      <c r="I895" s="16"/>
      <c r="J895" s="16"/>
      <c r="K895" s="16"/>
    </row>
    <row r="896" spans="1:11" ht="12.75">
      <c r="A896" s="16"/>
      <c r="B896" s="17"/>
      <c r="C896" s="2"/>
      <c r="D896" s="16"/>
      <c r="E896" s="16"/>
      <c r="F896" s="16"/>
      <c r="G896" s="16"/>
      <c r="H896" s="16"/>
      <c r="I896" s="16"/>
      <c r="J896" s="16"/>
      <c r="K896" s="16"/>
    </row>
    <row r="897" spans="1:11" ht="12.75">
      <c r="A897" s="16"/>
      <c r="B897" s="17"/>
      <c r="C897" s="2"/>
      <c r="D897" s="16"/>
      <c r="E897" s="16"/>
      <c r="F897" s="16"/>
      <c r="G897" s="16"/>
      <c r="H897" s="16"/>
      <c r="I897" s="16"/>
      <c r="J897" s="16"/>
      <c r="K897" s="16"/>
    </row>
    <row r="898" spans="1:11" ht="12.75">
      <c r="A898" s="16"/>
      <c r="B898" s="17"/>
      <c r="C898" s="2"/>
      <c r="D898" s="16"/>
      <c r="E898" s="16"/>
      <c r="F898" s="16"/>
      <c r="G898" s="16"/>
      <c r="H898" s="16"/>
      <c r="I898" s="16"/>
      <c r="J898" s="16"/>
      <c r="K898" s="16"/>
    </row>
    <row r="899" spans="1:11" ht="12.75">
      <c r="A899" s="16"/>
      <c r="B899" s="17"/>
      <c r="C899" s="2"/>
      <c r="D899" s="16"/>
      <c r="E899" s="16"/>
      <c r="F899" s="16"/>
      <c r="G899" s="16"/>
      <c r="H899" s="16"/>
      <c r="I899" s="16"/>
      <c r="J899" s="16"/>
      <c r="K899" s="16"/>
    </row>
    <row r="900" spans="1:11" ht="12.75">
      <c r="A900" s="16"/>
      <c r="B900" s="17"/>
      <c r="C900" s="2"/>
      <c r="D900" s="16"/>
      <c r="E900" s="16"/>
      <c r="F900" s="16"/>
      <c r="G900" s="16"/>
      <c r="H900" s="16"/>
      <c r="I900" s="16"/>
      <c r="J900" s="16"/>
      <c r="K900" s="16"/>
    </row>
    <row r="901" spans="1:11" ht="12.75">
      <c r="A901" s="16"/>
      <c r="B901" s="17"/>
      <c r="C901" s="2"/>
      <c r="D901" s="16"/>
      <c r="E901" s="16"/>
      <c r="F901" s="16"/>
      <c r="G901" s="16"/>
      <c r="H901" s="16"/>
      <c r="I901" s="16"/>
      <c r="J901" s="16"/>
      <c r="K901" s="16"/>
    </row>
    <row r="902" spans="1:11" ht="12.75">
      <c r="A902" s="16"/>
      <c r="B902" s="17"/>
      <c r="C902" s="2"/>
      <c r="D902" s="16"/>
      <c r="E902" s="16"/>
      <c r="F902" s="16"/>
      <c r="G902" s="16"/>
      <c r="H902" s="16"/>
      <c r="I902" s="16"/>
      <c r="J902" s="16"/>
      <c r="K902" s="16"/>
    </row>
    <row r="903" spans="1:11" ht="12.75">
      <c r="A903" s="16"/>
      <c r="B903" s="17"/>
      <c r="C903" s="2"/>
      <c r="D903" s="16"/>
      <c r="E903" s="16"/>
      <c r="F903" s="16"/>
      <c r="G903" s="16"/>
      <c r="H903" s="16"/>
      <c r="I903" s="16"/>
      <c r="J903" s="16"/>
      <c r="K903" s="16"/>
    </row>
    <row r="904" spans="1:11" ht="12.75">
      <c r="A904" s="16"/>
      <c r="B904" s="17"/>
      <c r="C904" s="2"/>
      <c r="D904" s="16"/>
      <c r="E904" s="16"/>
      <c r="F904" s="16"/>
      <c r="G904" s="16"/>
      <c r="H904" s="16"/>
      <c r="I904" s="16"/>
      <c r="J904" s="16"/>
      <c r="K904" s="16"/>
    </row>
    <row r="905" spans="1:11" ht="12.75">
      <c r="A905" s="16"/>
      <c r="B905" s="17"/>
      <c r="C905" s="2"/>
      <c r="D905" s="16"/>
      <c r="E905" s="16"/>
      <c r="F905" s="16"/>
      <c r="G905" s="16"/>
      <c r="H905" s="16"/>
      <c r="I905" s="16"/>
      <c r="J905" s="16"/>
      <c r="K905" s="16"/>
    </row>
    <row r="906" spans="1:11" ht="12.75">
      <c r="A906" s="16"/>
      <c r="B906" s="17"/>
      <c r="C906" s="2"/>
      <c r="D906" s="16"/>
      <c r="E906" s="16"/>
      <c r="F906" s="16"/>
      <c r="G906" s="16"/>
      <c r="H906" s="16"/>
      <c r="I906" s="16"/>
      <c r="J906" s="16"/>
      <c r="K906" s="16"/>
    </row>
    <row r="907" spans="1:11" ht="12.75">
      <c r="A907" s="16"/>
      <c r="B907" s="17"/>
      <c r="C907" s="2"/>
      <c r="D907" s="16"/>
      <c r="E907" s="16"/>
      <c r="F907" s="16"/>
      <c r="G907" s="16"/>
      <c r="H907" s="16"/>
      <c r="I907" s="16"/>
      <c r="J907" s="16"/>
      <c r="K907" s="16"/>
    </row>
    <row r="908" spans="1:11" ht="12.75">
      <c r="A908" s="16"/>
      <c r="B908" s="17"/>
      <c r="C908" s="2"/>
      <c r="D908" s="16"/>
      <c r="E908" s="16"/>
      <c r="F908" s="16"/>
      <c r="G908" s="16"/>
      <c r="H908" s="16"/>
      <c r="I908" s="16"/>
      <c r="J908" s="16"/>
      <c r="K908" s="16"/>
    </row>
    <row r="909" spans="1:11" ht="12.75">
      <c r="A909" s="16"/>
      <c r="B909" s="17"/>
      <c r="C909" s="2"/>
      <c r="D909" s="16"/>
      <c r="E909" s="16"/>
      <c r="F909" s="16"/>
      <c r="G909" s="16"/>
      <c r="H909" s="16"/>
      <c r="I909" s="16"/>
      <c r="J909" s="16"/>
      <c r="K909" s="16"/>
    </row>
    <row r="910" spans="1:11" ht="12.75">
      <c r="A910" s="16"/>
      <c r="B910" s="17"/>
      <c r="C910" s="2"/>
      <c r="D910" s="16"/>
      <c r="E910" s="16"/>
      <c r="F910" s="16"/>
      <c r="G910" s="16"/>
      <c r="H910" s="16"/>
      <c r="I910" s="16"/>
      <c r="J910" s="16"/>
      <c r="K910" s="16"/>
    </row>
    <row r="911" spans="1:11" ht="12.75">
      <c r="A911" s="16"/>
      <c r="B911" s="17"/>
      <c r="C911" s="2"/>
      <c r="D911" s="16"/>
      <c r="E911" s="16"/>
      <c r="F911" s="16"/>
      <c r="G911" s="16"/>
      <c r="H911" s="16"/>
      <c r="I911" s="16"/>
      <c r="J911" s="16"/>
      <c r="K911" s="16"/>
    </row>
    <row r="912" spans="1:11" ht="12.75">
      <c r="A912" s="16"/>
      <c r="B912" s="17"/>
      <c r="C912" s="2"/>
      <c r="D912" s="16"/>
      <c r="E912" s="16"/>
      <c r="F912" s="16"/>
      <c r="G912" s="16"/>
      <c r="H912" s="16"/>
      <c r="I912" s="16"/>
      <c r="J912" s="16"/>
      <c r="K912" s="16"/>
    </row>
    <row r="913" spans="1:11" ht="12.75">
      <c r="A913" s="16"/>
      <c r="B913" s="17"/>
      <c r="C913" s="2"/>
      <c r="D913" s="16"/>
      <c r="E913" s="16"/>
      <c r="F913" s="16"/>
      <c r="G913" s="16"/>
      <c r="H913" s="16"/>
      <c r="I913" s="16"/>
      <c r="J913" s="16"/>
      <c r="K913" s="16"/>
    </row>
    <row r="914" spans="1:11" ht="12.75">
      <c r="A914" s="16"/>
      <c r="B914" s="17"/>
      <c r="C914" s="2"/>
      <c r="D914" s="16"/>
      <c r="E914" s="16"/>
      <c r="F914" s="16"/>
      <c r="G914" s="16"/>
      <c r="H914" s="16"/>
      <c r="I914" s="16"/>
      <c r="J914" s="16"/>
      <c r="K914" s="16"/>
    </row>
    <row r="915" spans="1:11" ht="12.75">
      <c r="A915" s="16"/>
      <c r="B915" s="17"/>
      <c r="C915" s="2"/>
      <c r="D915" s="16"/>
      <c r="E915" s="16"/>
      <c r="F915" s="16"/>
      <c r="G915" s="16"/>
      <c r="H915" s="16"/>
      <c r="I915" s="16"/>
      <c r="J915" s="16"/>
      <c r="K915" s="16"/>
    </row>
    <row r="916" spans="1:11" ht="12.75">
      <c r="A916" s="16"/>
      <c r="B916" s="17"/>
      <c r="C916" s="2"/>
      <c r="D916" s="16"/>
      <c r="E916" s="16"/>
      <c r="F916" s="16"/>
      <c r="G916" s="16"/>
      <c r="H916" s="16"/>
      <c r="I916" s="16"/>
      <c r="J916" s="16"/>
      <c r="K916" s="16"/>
    </row>
    <row r="917" spans="1:11" ht="12.75">
      <c r="A917" s="16"/>
      <c r="B917" s="17"/>
      <c r="C917" s="2"/>
      <c r="D917" s="16"/>
      <c r="E917" s="16"/>
      <c r="F917" s="16"/>
      <c r="G917" s="16"/>
      <c r="H917" s="16"/>
      <c r="I917" s="16"/>
      <c r="J917" s="16"/>
      <c r="K917" s="16"/>
    </row>
    <row r="918" spans="1:11" ht="12.75">
      <c r="A918" s="16"/>
      <c r="B918" s="17"/>
      <c r="C918" s="2"/>
      <c r="D918" s="16"/>
      <c r="E918" s="16"/>
      <c r="F918" s="16"/>
      <c r="G918" s="16"/>
      <c r="H918" s="16"/>
      <c r="I918" s="16"/>
      <c r="J918" s="16"/>
      <c r="K918" s="16"/>
    </row>
    <row r="919" spans="1:11" ht="12.75">
      <c r="A919" s="16"/>
      <c r="B919" s="17"/>
      <c r="C919" s="2"/>
      <c r="D919" s="16"/>
      <c r="E919" s="16"/>
      <c r="F919" s="16"/>
      <c r="G919" s="16"/>
      <c r="H919" s="16"/>
      <c r="I919" s="16"/>
      <c r="J919" s="16"/>
      <c r="K919" s="16"/>
    </row>
    <row r="920" spans="1:11" ht="12.75">
      <c r="A920" s="16"/>
      <c r="B920" s="17"/>
      <c r="C920" s="2"/>
      <c r="D920" s="16"/>
      <c r="E920" s="16"/>
      <c r="F920" s="16"/>
      <c r="G920" s="16"/>
      <c r="H920" s="16"/>
      <c r="I920" s="16"/>
      <c r="J920" s="16"/>
      <c r="K920" s="16"/>
    </row>
    <row r="921" spans="1:11" ht="12.75">
      <c r="A921" s="16"/>
      <c r="B921" s="17"/>
      <c r="C921" s="2"/>
      <c r="D921" s="16"/>
      <c r="E921" s="16"/>
      <c r="F921" s="16"/>
      <c r="G921" s="16"/>
      <c r="H921" s="16"/>
      <c r="I921" s="16"/>
      <c r="J921" s="16"/>
      <c r="K921" s="16"/>
    </row>
    <row r="922" spans="1:11" ht="12.75">
      <c r="A922" s="16"/>
      <c r="B922" s="17"/>
      <c r="C922" s="2"/>
      <c r="D922" s="16"/>
      <c r="E922" s="16"/>
      <c r="F922" s="16"/>
      <c r="G922" s="16"/>
      <c r="H922" s="16"/>
      <c r="I922" s="16"/>
      <c r="J922" s="16"/>
      <c r="K922" s="16"/>
    </row>
    <row r="923" spans="1:11" ht="12.75">
      <c r="A923" s="16"/>
      <c r="B923" s="17"/>
      <c r="C923" s="2"/>
      <c r="D923" s="16"/>
      <c r="E923" s="16"/>
      <c r="F923" s="16"/>
      <c r="G923" s="16"/>
      <c r="H923" s="16"/>
      <c r="I923" s="16"/>
      <c r="J923" s="16"/>
      <c r="K923" s="16"/>
    </row>
    <row r="924" spans="1:11" ht="12.75">
      <c r="A924" s="16"/>
      <c r="B924" s="17"/>
      <c r="C924" s="2"/>
      <c r="D924" s="16"/>
      <c r="E924" s="16"/>
      <c r="F924" s="16"/>
      <c r="G924" s="16"/>
      <c r="H924" s="16"/>
      <c r="I924" s="16"/>
      <c r="J924" s="16"/>
      <c r="K924" s="16"/>
    </row>
    <row r="925" spans="1:11" ht="12.75">
      <c r="A925" s="16"/>
      <c r="B925" s="17"/>
      <c r="C925" s="2"/>
      <c r="D925" s="16"/>
      <c r="E925" s="16"/>
      <c r="F925" s="16"/>
      <c r="G925" s="16"/>
      <c r="H925" s="16"/>
      <c r="I925" s="16"/>
      <c r="J925" s="16"/>
      <c r="K925" s="16"/>
    </row>
    <row r="926" spans="1:11" ht="12.75">
      <c r="A926" s="16"/>
      <c r="B926" s="17"/>
      <c r="C926" s="2"/>
      <c r="D926" s="16"/>
      <c r="E926" s="16"/>
      <c r="F926" s="16"/>
      <c r="G926" s="16"/>
      <c r="H926" s="16"/>
      <c r="I926" s="16"/>
      <c r="J926" s="16"/>
      <c r="K926" s="16"/>
    </row>
    <row r="927" spans="1:11" ht="12.75">
      <c r="A927" s="16"/>
      <c r="B927" s="17"/>
      <c r="C927" s="2"/>
      <c r="D927" s="16"/>
      <c r="E927" s="16"/>
      <c r="F927" s="16"/>
      <c r="G927" s="16"/>
      <c r="H927" s="16"/>
      <c r="I927" s="16"/>
      <c r="J927" s="16"/>
      <c r="K927" s="16"/>
    </row>
    <row r="928" spans="1:11" ht="12.75">
      <c r="A928" s="16"/>
      <c r="B928" s="17"/>
      <c r="C928" s="2"/>
      <c r="D928" s="16"/>
      <c r="E928" s="16"/>
      <c r="F928" s="16"/>
      <c r="G928" s="16"/>
      <c r="H928" s="16"/>
      <c r="I928" s="16"/>
      <c r="J928" s="16"/>
      <c r="K928" s="16"/>
    </row>
    <row r="929" spans="1:11" ht="12.75">
      <c r="A929" s="16"/>
      <c r="B929" s="17"/>
      <c r="C929" s="2"/>
      <c r="D929" s="16"/>
      <c r="E929" s="16"/>
      <c r="F929" s="16"/>
      <c r="G929" s="16"/>
      <c r="H929" s="16"/>
      <c r="I929" s="16"/>
      <c r="J929" s="16"/>
      <c r="K929" s="16"/>
    </row>
    <row r="930" spans="1:11" ht="12.75">
      <c r="A930" s="16"/>
      <c r="B930" s="17"/>
      <c r="C930" s="2"/>
      <c r="D930" s="16"/>
      <c r="E930" s="16"/>
      <c r="F930" s="16"/>
      <c r="G930" s="16"/>
      <c r="H930" s="16"/>
      <c r="I930" s="16"/>
      <c r="J930" s="16"/>
      <c r="K930" s="16"/>
    </row>
    <row r="931" spans="1:11" ht="12.75">
      <c r="A931" s="16"/>
      <c r="B931" s="17"/>
      <c r="C931" s="2"/>
      <c r="D931" s="16"/>
      <c r="E931" s="16"/>
      <c r="F931" s="16"/>
      <c r="G931" s="16"/>
      <c r="H931" s="16"/>
      <c r="I931" s="16"/>
      <c r="J931" s="16"/>
      <c r="K931" s="16"/>
    </row>
    <row r="932" spans="1:11" ht="12.75">
      <c r="A932" s="16"/>
      <c r="B932" s="17"/>
      <c r="C932" s="2"/>
      <c r="D932" s="16"/>
      <c r="E932" s="16"/>
      <c r="F932" s="16"/>
      <c r="G932" s="16"/>
      <c r="H932" s="16"/>
      <c r="I932" s="16"/>
      <c r="J932" s="16"/>
      <c r="K932" s="16"/>
    </row>
    <row r="933" spans="1:11" ht="12.75">
      <c r="A933" s="16"/>
      <c r="B933" s="17"/>
      <c r="C933" s="2"/>
      <c r="D933" s="16"/>
      <c r="E933" s="16"/>
      <c r="F933" s="16"/>
      <c r="G933" s="16"/>
      <c r="H933" s="16"/>
      <c r="I933" s="16"/>
      <c r="J933" s="16"/>
      <c r="K933" s="16"/>
    </row>
    <row r="934" spans="1:11" ht="12.75">
      <c r="A934" s="16"/>
      <c r="B934" s="17"/>
      <c r="C934" s="2"/>
      <c r="D934" s="16"/>
      <c r="E934" s="16"/>
      <c r="F934" s="16"/>
      <c r="G934" s="16"/>
      <c r="H934" s="16"/>
      <c r="I934" s="16"/>
      <c r="J934" s="16"/>
      <c r="K934" s="16"/>
    </row>
    <row r="935" spans="1:11" ht="12.75">
      <c r="A935" s="16"/>
      <c r="B935" s="17"/>
      <c r="C935" s="2"/>
      <c r="D935" s="16"/>
      <c r="E935" s="16"/>
      <c r="F935" s="16"/>
      <c r="G935" s="16"/>
      <c r="H935" s="16"/>
      <c r="I935" s="16"/>
      <c r="J935" s="16"/>
      <c r="K935" s="16"/>
    </row>
    <row r="936" spans="1:11" ht="12.75">
      <c r="A936" s="16"/>
      <c r="B936" s="17"/>
      <c r="C936" s="2"/>
      <c r="D936" s="16"/>
      <c r="E936" s="16"/>
      <c r="F936" s="16"/>
      <c r="G936" s="16"/>
      <c r="H936" s="16"/>
      <c r="I936" s="16"/>
      <c r="J936" s="16"/>
      <c r="K936" s="16"/>
    </row>
    <row r="937" spans="1:11" ht="12.75">
      <c r="A937" s="16"/>
      <c r="B937" s="17"/>
      <c r="C937" s="2"/>
      <c r="D937" s="16"/>
      <c r="E937" s="16"/>
      <c r="F937" s="16"/>
      <c r="G937" s="16"/>
      <c r="H937" s="16"/>
      <c r="I937" s="16"/>
      <c r="J937" s="16"/>
      <c r="K937" s="16"/>
    </row>
    <row r="938" spans="1:11" ht="12.75">
      <c r="A938" s="16"/>
      <c r="B938" s="17"/>
      <c r="C938" s="2"/>
      <c r="D938" s="16"/>
      <c r="E938" s="16"/>
      <c r="F938" s="16"/>
      <c r="G938" s="16"/>
      <c r="H938" s="16"/>
      <c r="I938" s="16"/>
      <c r="J938" s="16"/>
      <c r="K938" s="16"/>
    </row>
    <row r="939" spans="1:11" ht="12.75">
      <c r="A939" s="16"/>
      <c r="B939" s="17"/>
      <c r="C939" s="2"/>
      <c r="D939" s="16"/>
      <c r="E939" s="16"/>
      <c r="F939" s="16"/>
      <c r="G939" s="16"/>
      <c r="H939" s="16"/>
      <c r="I939" s="16"/>
      <c r="J939" s="16"/>
      <c r="K939" s="16"/>
    </row>
    <row r="940" spans="1:11" ht="12.75">
      <c r="A940" s="16"/>
      <c r="B940" s="17"/>
      <c r="C940" s="2"/>
      <c r="D940" s="16"/>
      <c r="E940" s="16"/>
      <c r="F940" s="16"/>
      <c r="G940" s="16"/>
      <c r="H940" s="16"/>
      <c r="I940" s="16"/>
      <c r="J940" s="16"/>
      <c r="K940" s="16"/>
    </row>
    <row r="941" spans="1:11" ht="12.75">
      <c r="A941" s="16"/>
      <c r="B941" s="17"/>
      <c r="C941" s="2"/>
      <c r="D941" s="16"/>
      <c r="E941" s="16"/>
      <c r="F941" s="16"/>
      <c r="G941" s="16"/>
      <c r="H941" s="16"/>
      <c r="I941" s="16"/>
      <c r="J941" s="16"/>
      <c r="K941" s="16"/>
    </row>
    <row r="942" spans="1:11" ht="12.75">
      <c r="A942" s="16"/>
      <c r="B942" s="17"/>
      <c r="C942" s="2"/>
      <c r="D942" s="16"/>
      <c r="E942" s="16"/>
      <c r="F942" s="16"/>
      <c r="G942" s="16"/>
      <c r="H942" s="16"/>
      <c r="I942" s="16"/>
      <c r="J942" s="16"/>
      <c r="K942" s="16"/>
    </row>
    <row r="943" spans="1:11" ht="12.75">
      <c r="A943" s="16"/>
      <c r="B943" s="17"/>
      <c r="C943" s="2"/>
      <c r="D943" s="16"/>
      <c r="E943" s="16"/>
      <c r="F943" s="16"/>
      <c r="G943" s="16"/>
      <c r="H943" s="16"/>
      <c r="I943" s="16"/>
      <c r="J943" s="16"/>
      <c r="K943" s="16"/>
    </row>
    <row r="944" spans="1:11" ht="12.75">
      <c r="A944" s="16"/>
      <c r="B944" s="17"/>
      <c r="C944" s="2"/>
      <c r="D944" s="16"/>
      <c r="E944" s="16"/>
      <c r="F944" s="16"/>
      <c r="G944" s="16"/>
      <c r="H944" s="16"/>
      <c r="I944" s="16"/>
      <c r="J944" s="16"/>
      <c r="K944" s="16"/>
    </row>
    <row r="945" spans="1:11" ht="12.75">
      <c r="A945" s="16"/>
      <c r="B945" s="17"/>
      <c r="C945" s="2"/>
      <c r="D945" s="16"/>
      <c r="E945" s="16"/>
      <c r="F945" s="16"/>
      <c r="G945" s="16"/>
      <c r="H945" s="16"/>
      <c r="I945" s="16"/>
      <c r="J945" s="16"/>
      <c r="K945" s="16"/>
    </row>
    <row r="946" spans="1:11" ht="12.75">
      <c r="A946" s="16"/>
      <c r="B946" s="17"/>
      <c r="C946" s="2"/>
      <c r="D946" s="16"/>
      <c r="E946" s="16"/>
      <c r="F946" s="16"/>
      <c r="G946" s="16"/>
      <c r="H946" s="16"/>
      <c r="I946" s="16"/>
      <c r="J946" s="16"/>
      <c r="K946" s="16"/>
    </row>
    <row r="947" spans="1:11" ht="12.75">
      <c r="A947" s="16"/>
      <c r="B947" s="17"/>
      <c r="C947" s="2"/>
      <c r="D947" s="16"/>
      <c r="E947" s="16"/>
      <c r="F947" s="16"/>
      <c r="G947" s="16"/>
      <c r="H947" s="16"/>
      <c r="I947" s="16"/>
      <c r="J947" s="16"/>
      <c r="K947" s="16"/>
    </row>
    <row r="948" spans="1:11" ht="12.75">
      <c r="A948" s="16"/>
      <c r="B948" s="17"/>
      <c r="C948" s="2"/>
      <c r="D948" s="16"/>
      <c r="E948" s="16"/>
      <c r="F948" s="16"/>
      <c r="G948" s="16"/>
      <c r="H948" s="16"/>
      <c r="I948" s="16"/>
      <c r="J948" s="16"/>
      <c r="K948" s="16"/>
    </row>
    <row r="949" spans="1:11" ht="12.75">
      <c r="A949" s="16"/>
      <c r="B949" s="17"/>
      <c r="C949" s="2"/>
      <c r="D949" s="16"/>
      <c r="E949" s="16"/>
      <c r="F949" s="16"/>
      <c r="G949" s="16"/>
      <c r="H949" s="16"/>
      <c r="I949" s="16"/>
      <c r="J949" s="16"/>
      <c r="K949" s="16"/>
    </row>
    <row r="950" spans="1:11" ht="12.75">
      <c r="A950" s="16"/>
      <c r="B950" s="17"/>
      <c r="C950" s="2"/>
      <c r="D950" s="16"/>
      <c r="E950" s="16"/>
      <c r="F950" s="16"/>
      <c r="G950" s="16"/>
      <c r="H950" s="16"/>
      <c r="I950" s="16"/>
      <c r="J950" s="16"/>
      <c r="K950" s="16"/>
    </row>
    <row r="951" spans="1:11" ht="12.75">
      <c r="A951" s="16"/>
      <c r="B951" s="17"/>
      <c r="C951" s="2"/>
      <c r="D951" s="16"/>
      <c r="E951" s="16"/>
      <c r="F951" s="16"/>
      <c r="G951" s="16"/>
      <c r="H951" s="16"/>
      <c r="I951" s="16"/>
      <c r="J951" s="16"/>
      <c r="K951" s="16"/>
    </row>
    <row r="952" spans="1:11" ht="12.75">
      <c r="A952" s="16"/>
      <c r="B952" s="17"/>
      <c r="C952" s="2"/>
      <c r="D952" s="16"/>
      <c r="E952" s="16"/>
      <c r="F952" s="16"/>
      <c r="G952" s="16"/>
      <c r="H952" s="16"/>
      <c r="I952" s="16"/>
      <c r="J952" s="16"/>
      <c r="K952" s="16"/>
    </row>
    <row r="953" spans="1:11" ht="12.75">
      <c r="A953" s="16"/>
      <c r="B953" s="17"/>
      <c r="C953" s="2"/>
      <c r="D953" s="16"/>
      <c r="E953" s="16"/>
      <c r="F953" s="16"/>
      <c r="G953" s="16"/>
      <c r="H953" s="16"/>
      <c r="I953" s="16"/>
      <c r="J953" s="16"/>
      <c r="K953" s="16"/>
    </row>
    <row r="954" spans="1:11" ht="12.75">
      <c r="A954" s="16"/>
      <c r="B954" s="17"/>
      <c r="C954" s="2"/>
      <c r="D954" s="16"/>
      <c r="E954" s="16"/>
      <c r="F954" s="16"/>
      <c r="G954" s="16"/>
      <c r="H954" s="16"/>
      <c r="I954" s="16"/>
      <c r="J954" s="16"/>
      <c r="K954" s="16"/>
    </row>
    <row r="955" spans="1:11" ht="12.75">
      <c r="A955" s="16"/>
      <c r="B955" s="17"/>
      <c r="C955" s="2"/>
      <c r="D955" s="16"/>
      <c r="E955" s="16"/>
      <c r="F955" s="16"/>
      <c r="G955" s="16"/>
      <c r="H955" s="16"/>
      <c r="I955" s="16"/>
      <c r="J955" s="16"/>
      <c r="K955" s="16"/>
    </row>
    <row r="956" spans="1:11" ht="12.75">
      <c r="A956" s="16"/>
      <c r="B956" s="17"/>
      <c r="C956" s="2"/>
      <c r="D956" s="16"/>
      <c r="E956" s="16"/>
      <c r="F956" s="16"/>
      <c r="G956" s="16"/>
      <c r="H956" s="16"/>
      <c r="I956" s="16"/>
      <c r="J956" s="16"/>
      <c r="K956" s="16"/>
    </row>
    <row r="957" spans="1:11" ht="12.75">
      <c r="A957" s="16"/>
      <c r="B957" s="17"/>
      <c r="C957" s="2"/>
      <c r="D957" s="16"/>
      <c r="E957" s="16"/>
      <c r="F957" s="16"/>
      <c r="G957" s="16"/>
      <c r="H957" s="16"/>
      <c r="I957" s="16"/>
      <c r="J957" s="16"/>
      <c r="K957" s="16"/>
    </row>
    <row r="958" spans="1:11" ht="12.75">
      <c r="A958" s="16"/>
      <c r="B958" s="17"/>
      <c r="C958" s="2"/>
      <c r="D958" s="16"/>
      <c r="E958" s="16"/>
      <c r="F958" s="16"/>
      <c r="G958" s="16"/>
      <c r="H958" s="16"/>
      <c r="I958" s="16"/>
      <c r="J958" s="16"/>
      <c r="K958" s="16"/>
    </row>
    <row r="959" spans="1:11" ht="12.75">
      <c r="A959" s="16"/>
      <c r="B959" s="17"/>
      <c r="C959" s="2"/>
      <c r="D959" s="16"/>
      <c r="E959" s="16"/>
      <c r="F959" s="16"/>
      <c r="G959" s="16"/>
      <c r="H959" s="16"/>
      <c r="I959" s="16"/>
      <c r="J959" s="16"/>
      <c r="K959" s="16"/>
    </row>
    <row r="960" spans="1:11" ht="12.75">
      <c r="A960" s="16"/>
      <c r="B960" s="17"/>
      <c r="C960" s="2"/>
      <c r="D960" s="16"/>
      <c r="E960" s="16"/>
      <c r="F960" s="16"/>
      <c r="G960" s="16"/>
      <c r="H960" s="16"/>
      <c r="I960" s="16"/>
      <c r="J960" s="16"/>
      <c r="K960" s="16"/>
    </row>
    <row r="961" spans="1:11" ht="12.75">
      <c r="A961" s="16"/>
      <c r="B961" s="17"/>
      <c r="C961" s="2"/>
      <c r="D961" s="16"/>
      <c r="E961" s="16"/>
      <c r="F961" s="16"/>
      <c r="G961" s="16"/>
      <c r="H961" s="16"/>
      <c r="I961" s="16"/>
      <c r="J961" s="16"/>
      <c r="K961" s="16"/>
    </row>
    <row r="962" spans="1:11" ht="12.75">
      <c r="A962" s="16"/>
      <c r="B962" s="17"/>
      <c r="C962" s="2"/>
      <c r="D962" s="16"/>
      <c r="E962" s="16"/>
      <c r="F962" s="16"/>
      <c r="G962" s="16"/>
      <c r="H962" s="16"/>
      <c r="I962" s="16"/>
      <c r="J962" s="16"/>
      <c r="K962" s="16"/>
    </row>
    <row r="963" spans="1:11" ht="12.75">
      <c r="A963" s="16"/>
      <c r="B963" s="17"/>
      <c r="C963" s="2"/>
      <c r="D963" s="16"/>
      <c r="E963" s="16"/>
      <c r="F963" s="16"/>
      <c r="G963" s="16"/>
      <c r="H963" s="16"/>
      <c r="I963" s="16"/>
      <c r="J963" s="16"/>
      <c r="K963" s="16"/>
    </row>
    <row r="964" spans="1:11" ht="12.75">
      <c r="A964" s="16"/>
      <c r="B964" s="17"/>
      <c r="C964" s="2"/>
      <c r="D964" s="16"/>
      <c r="E964" s="16"/>
      <c r="F964" s="16"/>
      <c r="G964" s="16"/>
      <c r="H964" s="16"/>
      <c r="I964" s="16"/>
      <c r="J964" s="16"/>
      <c r="K964" s="16"/>
    </row>
    <row r="965" spans="1:11" ht="12.75">
      <c r="A965" s="16"/>
      <c r="B965" s="17"/>
      <c r="C965" s="2"/>
      <c r="D965" s="16"/>
      <c r="E965" s="16"/>
      <c r="F965" s="16"/>
      <c r="G965" s="16"/>
      <c r="H965" s="16"/>
      <c r="I965" s="16"/>
      <c r="J965" s="16"/>
      <c r="K965" s="16"/>
    </row>
    <row r="966" spans="1:11" ht="12.75">
      <c r="A966" s="16"/>
      <c r="B966" s="17"/>
      <c r="C966" s="2"/>
      <c r="D966" s="16"/>
      <c r="E966" s="16"/>
      <c r="F966" s="16"/>
      <c r="G966" s="16"/>
      <c r="H966" s="16"/>
      <c r="I966" s="16"/>
      <c r="J966" s="16"/>
      <c r="K966" s="16"/>
    </row>
    <row r="967" spans="1:11" ht="12.75">
      <c r="A967" s="16"/>
      <c r="B967" s="17"/>
      <c r="C967" s="2"/>
      <c r="D967" s="16"/>
      <c r="E967" s="16"/>
      <c r="F967" s="16"/>
      <c r="G967" s="16"/>
      <c r="H967" s="16"/>
      <c r="I967" s="16"/>
      <c r="J967" s="16"/>
      <c r="K967" s="16"/>
    </row>
    <row r="968" spans="1:11" ht="12.75">
      <c r="A968" s="16"/>
      <c r="B968" s="17"/>
      <c r="C968" s="2"/>
      <c r="D968" s="16"/>
      <c r="E968" s="16"/>
      <c r="F968" s="16"/>
      <c r="G968" s="16"/>
      <c r="H968" s="16"/>
      <c r="I968" s="16"/>
      <c r="J968" s="16"/>
      <c r="K968" s="16"/>
    </row>
    <row r="969" spans="1:11" ht="12.75">
      <c r="A969" s="16"/>
      <c r="B969" s="17"/>
      <c r="C969" s="2"/>
      <c r="D969" s="16"/>
      <c r="E969" s="16"/>
      <c r="F969" s="16"/>
      <c r="G969" s="16"/>
      <c r="H969" s="16"/>
      <c r="I969" s="16"/>
      <c r="J969" s="16"/>
      <c r="K969" s="16"/>
    </row>
    <row r="970" spans="1:11" ht="12.75">
      <c r="A970" s="16"/>
      <c r="B970" s="17"/>
      <c r="C970" s="2"/>
      <c r="D970" s="16"/>
      <c r="E970" s="16"/>
      <c r="F970" s="16"/>
      <c r="G970" s="16"/>
      <c r="H970" s="16"/>
      <c r="I970" s="16"/>
      <c r="J970" s="16"/>
      <c r="K970" s="16"/>
    </row>
    <row r="971" spans="1:11" ht="12.75">
      <c r="A971" s="16"/>
      <c r="B971" s="17"/>
      <c r="C971" s="2"/>
      <c r="D971" s="16"/>
      <c r="E971" s="16"/>
      <c r="F971" s="16"/>
      <c r="G971" s="16"/>
      <c r="H971" s="16"/>
      <c r="I971" s="16"/>
      <c r="J971" s="16"/>
      <c r="K971" s="16"/>
    </row>
    <row r="972" spans="1:11" ht="12.75">
      <c r="A972" s="16"/>
      <c r="B972" s="17"/>
      <c r="C972" s="2"/>
      <c r="D972" s="16"/>
      <c r="E972" s="16"/>
      <c r="F972" s="16"/>
      <c r="G972" s="16"/>
      <c r="H972" s="16"/>
      <c r="I972" s="16"/>
      <c r="J972" s="16"/>
      <c r="K972" s="16"/>
    </row>
    <row r="973" spans="1:11" ht="12.75">
      <c r="A973" s="16"/>
      <c r="B973" s="17"/>
      <c r="C973" s="2"/>
      <c r="D973" s="16"/>
      <c r="E973" s="16"/>
      <c r="F973" s="16"/>
      <c r="G973" s="16"/>
      <c r="H973" s="16"/>
      <c r="I973" s="16"/>
      <c r="J973" s="16"/>
      <c r="K973" s="16"/>
    </row>
    <row r="974" spans="1:11" ht="12.75">
      <c r="A974" s="16"/>
      <c r="B974" s="17"/>
      <c r="C974" s="2"/>
      <c r="D974" s="16"/>
      <c r="E974" s="16"/>
      <c r="F974" s="16"/>
      <c r="G974" s="16"/>
      <c r="H974" s="16"/>
      <c r="I974" s="16"/>
      <c r="J974" s="16"/>
      <c r="K974" s="16"/>
    </row>
    <row r="975" spans="1:11" ht="12.75">
      <c r="A975" s="16"/>
      <c r="B975" s="17"/>
      <c r="C975" s="2"/>
      <c r="D975" s="16"/>
      <c r="E975" s="16"/>
      <c r="F975" s="16"/>
      <c r="G975" s="16"/>
      <c r="H975" s="16"/>
      <c r="I975" s="16"/>
      <c r="J975" s="16"/>
      <c r="K975" s="16"/>
    </row>
    <row r="976" spans="1:11" ht="12.75">
      <c r="A976" s="16"/>
      <c r="B976" s="17"/>
      <c r="C976" s="2"/>
      <c r="D976" s="16"/>
      <c r="E976" s="16"/>
      <c r="F976" s="16"/>
      <c r="G976" s="16"/>
      <c r="H976" s="16"/>
      <c r="I976" s="16"/>
      <c r="J976" s="16"/>
      <c r="K976" s="16"/>
    </row>
    <row r="977" spans="1:11" ht="12.75">
      <c r="A977" s="16"/>
      <c r="B977" s="17"/>
      <c r="C977" s="2"/>
      <c r="D977" s="16"/>
      <c r="E977" s="16"/>
      <c r="F977" s="16"/>
      <c r="G977" s="16"/>
      <c r="H977" s="16"/>
      <c r="I977" s="16"/>
      <c r="J977" s="16"/>
      <c r="K977" s="16"/>
    </row>
    <row r="978" spans="1:11" ht="12.75">
      <c r="A978" s="16"/>
      <c r="B978" s="17"/>
      <c r="C978" s="2"/>
      <c r="D978" s="16"/>
      <c r="E978" s="16"/>
      <c r="F978" s="16"/>
      <c r="G978" s="16"/>
      <c r="H978" s="16"/>
      <c r="I978" s="16"/>
      <c r="J978" s="16"/>
      <c r="K978" s="16"/>
    </row>
    <row r="979" spans="1:11" ht="12.75">
      <c r="A979" s="16"/>
      <c r="B979" s="17"/>
      <c r="C979" s="2"/>
      <c r="D979" s="16"/>
      <c r="E979" s="16"/>
      <c r="F979" s="16"/>
      <c r="G979" s="16"/>
      <c r="H979" s="16"/>
      <c r="I979" s="16"/>
      <c r="J979" s="16"/>
      <c r="K979" s="16"/>
    </row>
    <row r="980" spans="1:11" ht="12.75">
      <c r="A980" s="16"/>
      <c r="B980" s="17"/>
      <c r="C980" s="2"/>
      <c r="D980" s="16"/>
      <c r="E980" s="16"/>
      <c r="F980" s="16"/>
      <c r="G980" s="16"/>
      <c r="H980" s="16"/>
      <c r="I980" s="16"/>
      <c r="J980" s="16"/>
      <c r="K980" s="16"/>
    </row>
    <row r="981" spans="1:11" ht="12.75">
      <c r="A981" s="16"/>
      <c r="B981" s="17"/>
      <c r="C981" s="2"/>
      <c r="D981" s="16"/>
      <c r="E981" s="16"/>
      <c r="F981" s="16"/>
      <c r="G981" s="16"/>
      <c r="H981" s="16"/>
      <c r="I981" s="16"/>
      <c r="J981" s="16"/>
      <c r="K981" s="16"/>
    </row>
    <row r="982" spans="1:11" ht="12.75">
      <c r="A982" s="16"/>
      <c r="B982" s="17"/>
      <c r="C982" s="2"/>
      <c r="D982" s="16"/>
      <c r="E982" s="16"/>
      <c r="F982" s="16"/>
      <c r="G982" s="16"/>
      <c r="H982" s="16"/>
      <c r="I982" s="16"/>
      <c r="J982" s="16"/>
      <c r="K982" s="16"/>
    </row>
    <row r="983" spans="1:11" ht="12.75">
      <c r="A983" s="16"/>
      <c r="B983" s="17"/>
      <c r="C983" s="2"/>
      <c r="D983" s="16"/>
      <c r="E983" s="16"/>
      <c r="F983" s="16"/>
      <c r="G983" s="16"/>
      <c r="H983" s="16"/>
      <c r="I983" s="16"/>
      <c r="J983" s="16"/>
      <c r="K983" s="16"/>
    </row>
    <row r="984" spans="1:11" ht="12.75">
      <c r="A984" s="16"/>
      <c r="B984" s="17"/>
      <c r="C984" s="2"/>
      <c r="D984" s="16"/>
      <c r="E984" s="16"/>
      <c r="F984" s="16"/>
      <c r="G984" s="16"/>
      <c r="H984" s="16"/>
      <c r="I984" s="16"/>
      <c r="J984" s="16"/>
      <c r="K984" s="16"/>
    </row>
    <row r="985" spans="1:11" ht="12.75">
      <c r="A985" s="16"/>
      <c r="B985" s="17"/>
      <c r="C985" s="2"/>
      <c r="D985" s="16"/>
      <c r="E985" s="16"/>
      <c r="F985" s="16"/>
      <c r="G985" s="16"/>
      <c r="H985" s="16"/>
      <c r="I985" s="16"/>
      <c r="J985" s="16"/>
      <c r="K985" s="16"/>
    </row>
    <row r="986" spans="1:11" ht="12.75">
      <c r="A986" s="16"/>
      <c r="B986" s="17"/>
      <c r="C986" s="2"/>
      <c r="D986" s="16"/>
      <c r="E986" s="16"/>
      <c r="F986" s="16"/>
      <c r="G986" s="16"/>
      <c r="H986" s="16"/>
      <c r="I986" s="16"/>
      <c r="J986" s="16"/>
      <c r="K986" s="16"/>
    </row>
    <row r="987" spans="1:11" ht="12.75">
      <c r="A987" s="16"/>
      <c r="B987" s="17"/>
      <c r="C987" s="2"/>
      <c r="D987" s="16"/>
      <c r="E987" s="16"/>
      <c r="F987" s="16"/>
      <c r="G987" s="16"/>
      <c r="H987" s="16"/>
      <c r="I987" s="16"/>
      <c r="J987" s="16"/>
      <c r="K987" s="16"/>
    </row>
    <row r="988" spans="1:11" ht="12.75">
      <c r="A988" s="16"/>
      <c r="B988" s="17"/>
      <c r="C988" s="2"/>
      <c r="D988" s="16"/>
      <c r="E988" s="16"/>
      <c r="F988" s="16"/>
      <c r="G988" s="16"/>
      <c r="H988" s="16"/>
      <c r="I988" s="16"/>
      <c r="J988" s="16"/>
      <c r="K988" s="16"/>
    </row>
    <row r="989" spans="1:11" ht="12.75">
      <c r="A989" s="16"/>
      <c r="B989" s="17"/>
      <c r="C989" s="2"/>
      <c r="D989" s="16"/>
      <c r="E989" s="16"/>
      <c r="F989" s="16"/>
      <c r="G989" s="16"/>
      <c r="H989" s="16"/>
      <c r="I989" s="16"/>
      <c r="J989" s="16"/>
      <c r="K989" s="16"/>
    </row>
    <row r="990" spans="1:11" ht="12.75">
      <c r="A990" s="16"/>
      <c r="B990" s="17"/>
      <c r="C990" s="2"/>
      <c r="D990" s="16"/>
      <c r="E990" s="16"/>
      <c r="F990" s="16"/>
      <c r="G990" s="16"/>
      <c r="H990" s="16"/>
      <c r="I990" s="16"/>
      <c r="J990" s="16"/>
      <c r="K990" s="16"/>
    </row>
    <row r="991" spans="1:11" ht="12.75">
      <c r="A991" s="16"/>
      <c r="B991" s="17"/>
      <c r="C991" s="2"/>
      <c r="D991" s="16"/>
      <c r="E991" s="16"/>
      <c r="F991" s="16"/>
      <c r="G991" s="16"/>
      <c r="H991" s="16"/>
      <c r="I991" s="16"/>
      <c r="J991" s="16"/>
      <c r="K991" s="16"/>
    </row>
    <row r="992" spans="1:11" ht="12.75">
      <c r="A992" s="16"/>
      <c r="B992" s="17"/>
      <c r="C992" s="2"/>
      <c r="D992" s="16"/>
      <c r="E992" s="16"/>
      <c r="F992" s="16"/>
      <c r="G992" s="16"/>
      <c r="H992" s="16"/>
      <c r="I992" s="16"/>
      <c r="J992" s="16"/>
      <c r="K992" s="16"/>
    </row>
    <row r="993" spans="1:11" ht="12.75">
      <c r="A993" s="16"/>
      <c r="B993" s="17"/>
      <c r="C993" s="2"/>
      <c r="D993" s="16"/>
      <c r="E993" s="16"/>
      <c r="F993" s="16"/>
      <c r="G993" s="16"/>
      <c r="H993" s="16"/>
      <c r="I993" s="16"/>
      <c r="J993" s="16"/>
      <c r="K993" s="16"/>
    </row>
    <row r="994" spans="1:11" ht="12.75">
      <c r="A994" s="16"/>
      <c r="B994" s="17"/>
      <c r="C994" s="2"/>
      <c r="D994" s="16"/>
      <c r="E994" s="16"/>
      <c r="F994" s="16"/>
      <c r="G994" s="16"/>
      <c r="H994" s="16"/>
      <c r="I994" s="16"/>
      <c r="J994" s="16"/>
      <c r="K994" s="16"/>
    </row>
    <row r="995" spans="1:11" ht="12.75">
      <c r="A995" s="16"/>
      <c r="B995" s="17"/>
      <c r="C995" s="2"/>
      <c r="D995" s="16"/>
      <c r="E995" s="16"/>
      <c r="F995" s="16"/>
      <c r="G995" s="16"/>
      <c r="H995" s="16"/>
      <c r="I995" s="16"/>
      <c r="J995" s="16"/>
      <c r="K995" s="16"/>
    </row>
    <row r="996" spans="1:11" ht="12.75">
      <c r="A996" s="16"/>
      <c r="B996" s="17"/>
      <c r="C996" s="2"/>
      <c r="D996" s="16"/>
      <c r="E996" s="16"/>
      <c r="F996" s="16"/>
      <c r="G996" s="16"/>
      <c r="H996" s="16"/>
      <c r="I996" s="16"/>
      <c r="J996" s="16"/>
      <c r="K996" s="16"/>
    </row>
    <row r="997" spans="1:11" ht="12.75">
      <c r="A997" s="16"/>
      <c r="B997" s="17"/>
      <c r="C997" s="2"/>
      <c r="D997" s="16"/>
      <c r="E997" s="16"/>
      <c r="F997" s="16"/>
      <c r="G997" s="16"/>
      <c r="H997" s="16"/>
      <c r="I997" s="16"/>
      <c r="J997" s="16"/>
      <c r="K997" s="16"/>
    </row>
    <row r="998" spans="1:11" ht="12.75">
      <c r="A998" s="16"/>
      <c r="B998" s="17"/>
      <c r="C998" s="2"/>
      <c r="D998" s="16"/>
      <c r="E998" s="16"/>
      <c r="F998" s="16"/>
      <c r="G998" s="16"/>
      <c r="H998" s="16"/>
      <c r="I998" s="16"/>
      <c r="J998" s="16"/>
      <c r="K998" s="16"/>
    </row>
    <row r="999" spans="1:11" ht="12.75">
      <c r="A999" s="16"/>
      <c r="B999" s="17"/>
      <c r="C999" s="2"/>
      <c r="D999" s="16"/>
      <c r="E999" s="16"/>
      <c r="F999" s="16"/>
      <c r="G999" s="16"/>
      <c r="H999" s="16"/>
      <c r="I999" s="16"/>
      <c r="J999" s="16"/>
      <c r="K999" s="16"/>
    </row>
    <row r="1000" spans="1:11" ht="12.75">
      <c r="A1000" s="16"/>
      <c r="B1000" s="17"/>
      <c r="C1000" s="2"/>
      <c r="D1000" s="16"/>
      <c r="E1000" s="16"/>
      <c r="F1000" s="16"/>
      <c r="G1000" s="16"/>
      <c r="H1000" s="16"/>
      <c r="I1000" s="16"/>
      <c r="J1000" s="16"/>
      <c r="K1000" s="16"/>
    </row>
  </sheetData>
  <autoFilter ref="D1:D1000" xr:uid="{00000000-0009-0000-0000-000002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D1000"/>
  <sheetViews>
    <sheetView workbookViewId="0"/>
  </sheetViews>
  <sheetFormatPr defaultColWidth="12.5703125" defaultRowHeight="15.75" customHeight="1"/>
  <cols>
    <col min="1" max="1" width="21.85546875" customWidth="1"/>
    <col min="2" max="2" width="30.85546875" customWidth="1"/>
    <col min="3" max="3" width="82.140625" hidden="1" customWidth="1"/>
    <col min="4" max="4" width="29.42578125" customWidth="1"/>
  </cols>
  <sheetData>
    <row r="1" spans="1:4">
      <c r="A1" s="1" t="str">
        <f ca="1">IFERROR(__xludf.DUMMYFUNCTION("IMPORTRANGE(""https://docs.google.com/spreadsheets/d/10k1GMh10yhkQIserNdZTyM3hTqdRzdq87lbCp4ZJN2c/edit?usp=sharing"",""ProjectsListF24!A:D"")"),"Short_Title")</f>
        <v>Short_Title</v>
      </c>
      <c r="B1" s="1" t="str">
        <f ca="1">IFERROR(__xludf.DUMMYFUNCTION("""COMPUTED_VALUE"""),"Project Title")</f>
        <v>Project Title</v>
      </c>
      <c r="C1" s="2" t="str">
        <f ca="1">IFERROR(__xludf.DUMMYFUNCTION("""COMPUTED_VALUE"""),"Project Scope")</f>
        <v>Project Scope</v>
      </c>
      <c r="D1" s="1" t="str">
        <f ca="1">IFERROR(__xludf.DUMMYFUNCTION("""COMPUTED_VALUE"""),"Supervisor")</f>
        <v>Supervisor</v>
      </c>
    </row>
    <row r="2" spans="1:4">
      <c r="A2" s="1" t="str">
        <f ca="1">IFERROR(__xludf.DUMMYFUNCTION("""COMPUTED_VALUE"""),"F24-001-D-ProbeXpert")</f>
        <v>F24-001-D-ProbeXpert</v>
      </c>
      <c r="B2" s="1" t="str">
        <f ca="1">IFERROR(__xludf.DUMMYFUNCTION("""COMPUTED_VALUE"""),"ProbeXpert")</f>
        <v>ProbeXpert</v>
      </c>
      <c r="C2" s="2" t="str">
        <f ca="1">IFERROR(__xludf.DUMMYFUNCTION("""COMPUTED_VALUE"""),"ProbeXpert is a risk assessment tool that integrates security testing through independent worker nodes. Its intuitive, one click interface is designed for both tech experts and beginners alike. The platform boosts a robust tools manager, enriched by data "&amp;"from multiple sources for precise accuracy for evaluating network vulnerabilities, IP reputation, DNS health, or endpoint security. ProbeXpert offers efficient, accurate, and scalable solutions for cybersecurity and risk assessments")</f>
        <v>ProbeXpert is a risk assessment tool that integrates security testing through independent worker nodes. Its intuitive, one click interface is designed for both tech experts and beginners alike. The platform boosts a robust tools manager, enriched by data from multiple sources for precise accuracy for evaluating network vulnerabilities, IP reputation, DNS health, or endpoint security. ProbeXpert offers efficient, accurate, and scalable solutions for cybersecurity and risk assessments</v>
      </c>
      <c r="D2" s="1" t="str">
        <f ca="1">IFERROR(__xludf.DUMMYFUNCTION("""COMPUTED_VALUE"""),"Dr. Muhammad Asim")</f>
        <v>Dr. Muhammad Asim</v>
      </c>
    </row>
    <row r="3" spans="1:4">
      <c r="A3" s="1" t="str">
        <f ca="1">IFERROR(__xludf.DUMMYFUNCTION("""COMPUTED_VALUE"""),"F24-002-D-Khiladi")</f>
        <v>F24-002-D-Khiladi</v>
      </c>
      <c r="B3" s="1" t="str">
        <f ca="1">IFERROR(__xludf.DUMMYFUNCTION("""COMPUTED_VALUE"""),"Khiladi")</f>
        <v>Khiladi</v>
      </c>
      <c r="C3" s="2" t="str">
        <f ca="1">IFERROR(__xludf.DUMMYFUNCTION("""COMPUTED_VALUE"""),"Khiladi: AI-Powered Cricket Coaching is an advanced application that uses artificial intelligence to provide personalized cricket coaching and performance analysis. The project focuses on delivering real-time feedback on player techniques,(bowling), throu"&amp;"gh video analysis and performance metrics. It includes tailored training programs, strategic insights, and progress tracking to enhance players' skills. Integration with wearable technology will enable detailed data collection, making the app a comprehens"&amp;"ive tool for improving cricket performance.
Real-Time Video Analysis: Captures and analyzes player techniques using AI to provide instant feedback and recommendations.
Personalized Training Programs: Custom training regimens based on the player's skill "&amp;"level, goals, and performance data.
Performance Metrics Tracking: Monitors and displays key performance indicators like batting average, bowling speed, and fielding accuracy.
AI-Driven Skill Improvement: Offers targeted drills and exercises designed to "&amp;"enhance specific skills based on analysis.
Progress Reports: Generates detailed reports and visualizations to track improvements and identify areas for further development.
Community Features: Allows users to connect with coaches and other players for f"&amp;"eedback, advice, and sharing achievements.
Interactive Tutorials: Includes video tutorials and interactive lessons from professional coaches and players.
Functionality: Users must be able to create new cricket matches or events through an intuitive inte"&amp;"rface.")</f>
        <v>Khiladi: AI-Powered Cricket Coaching is an advanced application that uses artificial intelligence to provide personalized cricket coaching and performance analysis. The project focuses on delivering real-time feedback on player techniques,(bowling), through video analysis and performance metrics. It includes tailored training programs, strategic insights, and progress tracking to enhance players' skills. Integration with wearable technology will enable detailed data collection, making the app a comprehensive tool for improving cricket performance.
Real-Time Video Analysis: Captures and analyzes player techniques using AI to provide instant feedback and recommendations.
Personalized Training Programs: Custom training regimens based on the player's skill level, goals, and performance data.
Performance Metrics Tracking: Monitors and displays key performance indicators like batting average, bowling speed, and fielding accuracy.
AI-Driven Skill Improvement: Offers targeted drills and exercises designed to enhance specific skills based on analysis.
Progress Reports: Generates detailed reports and visualizations to track improvements and identify areas for further development.
Community Features: Allows users to connect with coaches and other players for feedback, advice, and sharing achievements.
Interactive Tutorials: Includes video tutorials and interactive lessons from professional coaches and players.
Functionality: Users must be able to create new cricket matches or events through an intuitive interface.</v>
      </c>
      <c r="D3" s="1" t="str">
        <f ca="1">IFERROR(__xludf.DUMMYFUNCTION("""COMPUTED_VALUE"""),"Mr. Saad Salman")</f>
        <v>Mr. Saad Salman</v>
      </c>
    </row>
    <row r="4" spans="1:4">
      <c r="A4" s="1" t="str">
        <f ca="1">IFERROR(__xludf.DUMMYFUNCTION("""COMPUTED_VALUE"""),"F24-003-D-GRCAssist")</f>
        <v>F24-003-D-GRCAssist</v>
      </c>
      <c r="B4" s="1" t="str">
        <f ca="1">IFERROR(__xludf.DUMMYFUNCTION("""COMPUTED_VALUE"""),"Smart ISO 27001 Compliance Solution")</f>
        <v>Smart ISO 27001 Compliance Solution</v>
      </c>
      <c r="C4" s="2" t="str">
        <f ca="1">IFERROR(__xludf.DUMMYFUNCTION("""COMPUTED_VALUE"""),"GRCAssistant is a virtual assistant for auditors, helping them conduct internal compliance easily. It automates the extraction of important network information related to ISO 27001, eliminating the need for manual extraction. Additionally, GRCAssistant us"&amp;"es NLP to extract information from company standard documents and allows auditors to manage multiple projects.
1.Automated Network Information Extraction
2.NLP Document Analysis
3.Project Management
4.User-Friendly Interface
5.Template Library
6.Recommen"&amp;"dation on compliance  
7.Excel Sheet Upload")</f>
        <v>GRCAssistant is a virtual assistant for auditors, helping them conduct internal compliance easily. It automates the extraction of important network information related to ISO 27001, eliminating the need for manual extraction. Additionally, GRCAssistant uses NLP to extract information from company standard documents and allows auditors to manage multiple projects.
1.Automated Network Information Extraction
2.NLP Document Analysis
3.Project Management
4.User-Friendly Interface
5.Template Library
6.Recommendation on compliance  
7.Excel Sheet Upload</v>
      </c>
      <c r="D4" s="1" t="str">
        <f ca="1">IFERROR(__xludf.DUMMYFUNCTION("""COMPUTED_VALUE"""),"Mr. Mehmood Ul Hassan")</f>
        <v>Mr. Mehmood Ul Hassan</v>
      </c>
    </row>
    <row r="5" spans="1:4">
      <c r="A5" s="1" t="str">
        <f ca="1">IFERROR(__xludf.DUMMYFUNCTION("""COMPUTED_VALUE"""),"F24-004-D-Traffix")</f>
        <v>F24-004-D-Traffix</v>
      </c>
      <c r="B5" s="1" t="str">
        <f ca="1">IFERROR(__xludf.DUMMYFUNCTION("""COMPUTED_VALUE"""),"Traffix")</f>
        <v>Traffix</v>
      </c>
      <c r="C5" s="2" t="str">
        <f ca="1">IFERROR(__xludf.DUMMYFUNCTION("""COMPUTED_VALUE"""),"Our project will be a smart traffic management system which will be using integration of video processing algorithms. It will be able to use cctv footages as inputs and apply scheduling algorithms on smart signals to automate them such that it reduces wai"&amp;"ting time and in return reduces traffic congestion. Also this project will be dealing with emergency vehicles to provide them clear paths and generate automated challan to reduce traffic blockage and smoother the traffic flow.
1-Real-time object detectio"&amp;"n using YOLO.
2-Car density calculation across different lanes.
3-Adaptive traffic signal scheduling based on real-time data.
4-Emergency vehicle detection and prioritization.
5-Automated vehicle challan detection for traffic violations.
6-Traffic congest"&amp;"ion control strategies.
7-Real-time monitoring of traffic conditions.
8-Manual signal timing adjustments.")</f>
        <v>Our project will be a smart traffic management system which will be using integration of video processing algorithms. It will be able to use cctv footages as inputs and apply scheduling algorithms on smart signals to automate them such that it reduces waiting time and in return reduces traffic congestion. Also this project will be dealing with emergency vehicles to provide them clear paths and generate automated challan to reduce traffic blockage and smoother the traffic flow.
1-Real-time object detection using YOLO.
2-Car density calculation across different lanes.
3-Adaptive traffic signal scheduling based on real-time data.
4-Emergency vehicle detection and prioritization.
5-Automated vehicle challan detection for traffic violations.
6-Traffic congestion control strategies.
7-Real-time monitoring of traffic conditions.
8-Manual signal timing adjustments.</v>
      </c>
      <c r="D5" s="1" t="str">
        <f ca="1">IFERROR(__xludf.DUMMYFUNCTION("""COMPUTED_VALUE"""),"Mr. Bilal Khalid Dar")</f>
        <v>Mr. Bilal Khalid Dar</v>
      </c>
    </row>
    <row r="6" spans="1:4">
      <c r="A6" s="1" t="str">
        <f ca="1">IFERROR(__xludf.DUMMYFUNCTION("""COMPUTED_VALUE"""),"F24-005-D-HireUp")</f>
        <v>F24-005-D-HireUp</v>
      </c>
      <c r="B6" s="1" t="str">
        <f ca="1">IFERROR(__xludf.DUMMYFUNCTION("""COMPUTED_VALUE"""),"HireUp")</f>
        <v>HireUp</v>
      </c>
      <c r="C6" s="2" t="str">
        <f ca="1">IFERROR(__xludf.DUMMYFUNCTION("""COMPUTED_VALUE"""),"HireUp will enable recruiters to have an automated recruitment system which will shortlist the most eligible candidates for them by automatically filtering their CVs and assessing them through automated interviews or tests. 
Applicants will receive an eas"&amp;"ier access to job opportunities as they will receive job suggestions according to their domains and desired locations. They can then apply to their desired jobs and receive notifications about the status of their application throughout. 
Features:
1. CV F"&amp;"iltration 
2. Video Interview Analysis
3. Test Creation
4. Job posting and management
5. Job search and application
6. Job Recommendations
7.  Subscription
8. Interview and test scheduling
9. Notifications
10. Application tracking")</f>
        <v>HireUp will enable recruiters to have an automated recruitment system which will shortlist the most eligible candidates for them by automatically filtering their CVs and assessing them through automated interviews or tests. 
Applicants will receive an easier access to job opportunities as they will receive job suggestions according to their domains and desired locations. They can then apply to their desired jobs and receive notifications about the status of their application throughout. 
Features:
1. CV Filtration 
2. Video Interview Analysis
3. Test Creation
4. Job posting and management
5. Job search and application
6. Job Recommendations
7.  Subscription
8. Interview and test scheduling
9. Notifications
10. Application tracking</v>
      </c>
      <c r="D6" s="1" t="str">
        <f ca="1">IFERROR(__xludf.DUMMYFUNCTION("""COMPUTED_VALUE"""),"Mr. Bilal Khalid Dar")</f>
        <v>Mr. Bilal Khalid Dar</v>
      </c>
    </row>
    <row r="7" spans="1:4">
      <c r="A7" s="1" t="str">
        <f ca="1">IFERROR(__xludf.DUMMYFUNCTION("""COMPUTED_VALUE"""),"F24-006-D-MedTrove")</f>
        <v>F24-006-D-MedTrove</v>
      </c>
      <c r="B7" s="1" t="str">
        <f ca="1">IFERROR(__xludf.DUMMYFUNCTION("""COMPUTED_VALUE"""),"MedTrove")</f>
        <v>MedTrove</v>
      </c>
      <c r="C7" s="2" t="str">
        <f ca="1">IFERROR(__xludf.DUMMYFUNCTION("""COMPUTED_VALUE"""),"Scope:
MedTrove is a cross platform mobile app which allows users to search for medications and find the appropriate medications at cheaper prices. Medibot, the AI chatbot provides basic medical advice and breaks down complex medical terms. The Pharmacy L"&amp;"ocator helps users find nearby pharmacies for convenient access to medication and services. The substitute drug identifier helps users check if two medications are safe to take together and users can book online consultations with certified doctors. Users"&amp;" can manage transactions securely with the Payment module, and contribute to those in need via the Donation feature.
MedTrove also helps users manage their intake of medications with the help of reminders.
Features:
1. Medibot
2. Pharmacy Locator
3. Med"&amp;"ication Search and Alternatives
4. Drug Interaction Checker
5. Online Consultations
6. Payment
7. Donations
8. Reminders
9. Profile Management
10. Vendor Portal
")</f>
        <v xml:space="preserve">Scope:
MedTrove is a cross platform mobile app which allows users to search for medications and find the appropriate medications at cheaper prices. Medibot, the AI chatbot provides basic medical advice and breaks down complex medical terms. The Pharmacy Locator helps users find nearby pharmacies for convenient access to medication and services. The substitute drug identifier helps users check if two medications are safe to take together and users can book online consultations with certified doctors. Users can manage transactions securely with the Payment module, and contribute to those in need via the Donation feature.
MedTrove also helps users manage their intake of medications with the help of reminders.
Features:
1. Medibot
2. Pharmacy Locator
3. Medication Search and Alternatives
4. Drug Interaction Checker
5. Online Consultations
6. Payment
7. Donations
8. Reminders
9. Profile Management
10. Vendor Portal
</v>
      </c>
      <c r="D7" s="1" t="str">
        <f ca="1">IFERROR(__xludf.DUMMYFUNCTION("""COMPUTED_VALUE"""),"Mr. Bilal Khalid Dar")</f>
        <v>Mr. Bilal Khalid Dar</v>
      </c>
    </row>
    <row r="8" spans="1:4">
      <c r="A8" s="1" t="str">
        <f ca="1">IFERROR(__xludf.DUMMYFUNCTION("""COMPUTED_VALUE"""),"F24-007-D-Voyaige")</f>
        <v>F24-007-D-Voyaige</v>
      </c>
      <c r="B8" s="1" t="str">
        <f ca="1">IFERROR(__xludf.DUMMYFUNCTION("""COMPUTED_VALUE"""),"Voyaige")</f>
        <v>Voyaige</v>
      </c>
      <c r="C8" s="2" t="str">
        <f ca="1">IFERROR(__xludf.DUMMYFUNCTION("""COMPUTED_VALUE"""),"In an era where planning a vacation may feel like navigating a maze of choices and unknowns, Voyaige stands out as a source of clarity for tourists traveling in Pakistan by addressing the numerous challenges associated with trip planning. It redefines per"&amp;"sonalization with the help of artificial intelligence (AI) and machine learning (ML). We aim to add the following features: 
- Chatbot 
- Form-based Recommendation System to Plan Itineraries 
- User Customized Trip Planning
- Tourist Attractions Panoramas"&amp;"
- Pre-Planned Trips 
- Challenges &amp; Incentives
- Booking Systems
- Payment Options")</f>
        <v>In an era where planning a vacation may feel like navigating a maze of choices and unknowns, Voyaige stands out as a source of clarity for tourists traveling in Pakistan by addressing the numerous challenges associated with trip planning. It redefines personalization with the help of artificial intelligence (AI) and machine learning (ML). We aim to add the following features: 
- Chatbot 
- Form-based Recommendation System to Plan Itineraries 
- User Customized Trip Planning
- Tourist Attractions Panoramas
- Pre-Planned Trips 
- Challenges &amp; Incentives
- Booking Systems
- Payment Options</v>
      </c>
      <c r="D8" s="1" t="str">
        <f ca="1">IFERROR(__xludf.DUMMYFUNCTION("""COMPUTED_VALUE"""),"Mr. Bilal Khalid Dar")</f>
        <v>Mr. Bilal Khalid Dar</v>
      </c>
    </row>
    <row r="9" spans="1:4">
      <c r="A9" s="1" t="str">
        <f ca="1">IFERROR(__xludf.DUMMYFUNCTION("""COMPUTED_VALUE"""),"F24-008-D-IntraSec")</f>
        <v>F24-008-D-IntraSec</v>
      </c>
      <c r="B9" s="1" t="str">
        <f ca="1">IFERROR(__xludf.DUMMYFUNCTION("""COMPUTED_VALUE"""),"Context aware user stories generator")</f>
        <v>Context aware user stories generator</v>
      </c>
      <c r="C9" s="2" t="str">
        <f ca="1">IFERROR(__xludf.DUMMYFUNCTION("""COMPUTED_VALUE"""),"Project Description:
This project focuses on developing an AI-powered tool that automates the generation of user stories from user requirements. The tool is designed to assist product managers, developers, and business analysts by translating high-level "&amp;"product requirements into clear, actionable user stories. These user stories will be detailed enough to guide the development process, ensuring alignment between stakeholders' visions and the final product. The scope of the project includes understanding "&amp;"user inputs, identifying functional and non-functional requirements, and creating comprehensive user stories that can be integrated into agile workflows.
Key Features:
1. Natural Language Processing (NLP): Utilizes advanced NLP algorithms to interpret a"&amp;"nd understand user requirements.
2. Customizable Templates: Offers a variety of user story templates to fit different project needs and methodologies.
3. AI-Driven User Story Generation: Automatically generates final user stories based on user requirement"&amp;"s and industry best practices, ensuring they are ready for immediate use in    development workflows.
4. Functional and Non-Functional Requirements Extraction: Automatically differentiates between functional and non-functional requirements from user input"&amp;"s.
5. Interactive User Interface: Features an intuitive interface for users to input, review, and modify requirements easily.
6. Requirement Validation: Includes a validation step to ensure that the generated user stories are complete and coherent.
7. Col"&amp;"laboration Features: Allows multiple users to collaborate and refine requirements in real time.
8. Version Control: Keeps track of changes to requirements and user stories, ensuring a clear history of revisions.")</f>
        <v>Project Description:
This project focuses on developing an AI-powered tool that automates the generation of user stories from user requirements. The tool is designed to assist product managers, developers, and business analysts by translating high-level product requirements into clear, actionable user stories. These user stories will be detailed enough to guide the development process, ensuring alignment between stakeholders' visions and the final product. The scope of the project includes understanding user inputs, identifying functional and non-functional requirements, and creating comprehensive user stories that can be integrated into agile workflows.
Key Features:
1. Natural Language Processing (NLP): Utilizes advanced NLP algorithms to interpret and understand user requirements.
2. Customizable Templates: Offers a variety of user story templates to fit different project needs and methodologies.
3. AI-Driven User Story Generation: Automatically generates final user stories based on user requirements and industry best practices, ensuring they are ready for immediate use in    development workflows.
4. Functional and Non-Functional Requirements Extraction: Automatically differentiates between functional and non-functional requirements from user inputs.
5. Interactive User Interface: Features an intuitive interface for users to input, review, and modify requirements easily.
6. Requirement Validation: Includes a validation step to ensure that the generated user stories are complete and coherent.
7. Collaboration Features: Allows multiple users to collaborate and refine requirements in real time.
8. Version Control: Keeps track of changes to requirements and user stories, ensuring a clear history of revisions.</v>
      </c>
      <c r="D9" s="1" t="str">
        <f ca="1">IFERROR(__xludf.DUMMYFUNCTION("""COMPUTED_VALUE"""),"Dr. Muhammad Asim")</f>
        <v>Dr. Muhammad Asim</v>
      </c>
    </row>
    <row r="10" spans="1:4">
      <c r="A10" s="1" t="str">
        <f ca="1">IFERROR(__xludf.DUMMYFUNCTION("""COMPUTED_VALUE"""),"F24-009-D-FearLESS")</f>
        <v>F24-009-D-FearLESS</v>
      </c>
      <c r="B10" s="1" t="str">
        <f ca="1">IFERROR(__xludf.DUMMYFUNCTION("""COMPUTED_VALUE"""),"FearLESS")</f>
        <v>FearLESS</v>
      </c>
      <c r="C10" s="2" t="str">
        <f ca="1">IFERROR(__xludf.DUMMYFUNCTION("""COMPUTED_VALUE"""),"FearLESS is an application that uses Virtual Reality to provide the users with Exposure Therapy (VRET), this helps users face their fear gradually and overcome them. The exposure to the fear will be done using VR simulations. Users can also get help from "&amp;"a therapist/psychiatrist on our application, who can guide them (using video chat and messages) and help them face their fears. 
FearLESS's key features include:
1. Phobia Simulations (users see simulations of a particular phobia)
2. Simulation Levels (us"&amp;"ers can access easy, medium and hard levels of the simulation)
3. Counseling (users can chat and message the therapist)
4. Intensity Confirmation of fear (using questionnaires)
5. Progress Tracking (to see if simulations are helping users overcome their f"&amp;"ears)
6. Payment Module (users select a payment method to access therapist)
7. User Profile Management 
8. Feedback (of the application and simulations)")</f>
        <v>FearLESS is an application that uses Virtual Reality to provide the users with Exposure Therapy (VRET), this helps users face their fear gradually and overcome them. The exposure to the fear will be done using VR simulations. Users can also get help from a therapist/psychiatrist on our application, who can guide them (using video chat and messages) and help them face their fears. 
FearLESS's key features include:
1. Phobia Simulations (users see simulations of a particular phobia)
2. Simulation Levels (users can access easy, medium and hard levels of the simulation)
3. Counseling (users can chat and message the therapist)
4. Intensity Confirmation of fear (using questionnaires)
5. Progress Tracking (to see if simulations are helping users overcome their fears)
6. Payment Module (users select a payment method to access therapist)
7. User Profile Management 
8. Feedback (of the application and simulations)</v>
      </c>
      <c r="D10" s="1" t="str">
        <f ca="1">IFERROR(__xludf.DUMMYFUNCTION("""COMPUTED_VALUE"""),"Mr. Bilal Khalid Dar")</f>
        <v>Mr. Bilal Khalid Dar</v>
      </c>
    </row>
    <row r="11" spans="1:4">
      <c r="A11" s="1" t="str">
        <f ca="1">IFERROR(__xludf.DUMMYFUNCTION("""COMPUTED_VALUE"""),"F24-010-D-TalkTracks")</f>
        <v>F24-010-D-TalkTracks</v>
      </c>
      <c r="B11" s="1" t="str">
        <f ca="1">IFERROR(__xludf.DUMMYFUNCTION("""COMPUTED_VALUE"""),"Talk Tracks")</f>
        <v>Talk Tracks</v>
      </c>
      <c r="C11" s="2" t="str">
        <f ca="1">IFERROR(__xludf.DUMMYFUNCTION("""COMPUTED_VALUE"""),"Users have to navigate to the main page of Talk Tracks and to access features of our web app, they would have to Log in/Sign up to their Account. Now, they will be redirected to Talk Tracks Home Page. The user will be free to explore all features such as "&amp;"Search through audio/video files, Generate Summary, Generate Subtitles and Reduce Noise, purchase packages or manage their profile. If the user desires to explore or access a features, they will click on the button for that particular feature and will be "&amp;"redirected to the feature page. On this page, the user will upload an audio/video file or even record their own audio at the spot. Now let’s observe what the further steps would be for each feature.
For example, user desires to Search through audio/video "&amp;"files, after uploading the file user will enter the upload button, then a search field will appear for the user to enter a word, phrase or record their voice. The user will have the option to syntactically or semantically search this input in the uploaded"&amp;" file. Wherever the matched text (semantic or syntactic) lies, the audio/video timestamps will get highlighted along with the matched phrase. In addition, a chatbot will be available for the user to interact with their file and extract information efficie"&amp;"ntly from the file. User will ask queries to the bot and receive answers present in the file. If the user desires to Generate summary of the audio/video file, after uploading the file, the user will have the option to generate extractive or abstractive su"&amp;"mmarization. Once the option is selected, summary will be generated. The user will download this summary but clicking the download button. Similar steps will be taken for subtitle generation and noise reduction as well.
All the files uploaded and the proc"&amp;"essing done on the files will be stored on the user profile.
Features:
1. Semantic Search
2. Syntactic Search 
3. Summary Generation 
4. Noise Reduction 
5. Subtitle Generation
6.Chatbot Assisstant
7 User Profile Management 
8. Admin Portal Management 
9."&amp;" Payment Management")</f>
        <v>Users have to navigate to the main page of Talk Tracks and to access features of our web app, they would have to Log in/Sign up to their Account. Now, they will be redirected to Talk Tracks Home Page. The user will be free to explore all features such as Search through audio/video files, Generate Summary, Generate Subtitles and Reduce Noise, purchase packages or manage their profile. If the user desires to explore or access a features, they will click on the button for that particular feature and will be redirected to the feature page. On this page, the user will upload an audio/video file or even record their own audio at the spot. Now let’s observe what the further steps would be for each feature.
For example, user desires to Search through audio/video files, after uploading the file user will enter the upload button, then a search field will appear for the user to enter a word, phrase or record their voice. The user will have the option to syntactically or semantically search this input in the uploaded file. Wherever the matched text (semantic or syntactic) lies, the audio/video timestamps will get highlighted along with the matched phrase. In addition, a chatbot will be available for the user to interact with their file and extract information efficiently from the file. User will ask queries to the bot and receive answers present in the file. If the user desires to Generate summary of the audio/video file, after uploading the file, the user will have the option to generate extractive or abstractive summarization. Once the option is selected, summary will be generated. The user will download this summary but clicking the download button. Similar steps will be taken for subtitle generation and noise reduction as well.
All the files uploaded and the processing done on the files will be stored on the user profile.
Features:
1. Semantic Search
2. Syntactic Search 
3. Summary Generation 
4. Noise Reduction 
5. Subtitle Generation
6.Chatbot Assisstant
7 User Profile Management 
8. Admin Portal Management 
9. Payment Management</v>
      </c>
      <c r="D11" s="1" t="str">
        <f ca="1">IFERROR(__xludf.DUMMYFUNCTION("""COMPUTED_VALUE"""),"Mr. Bilal Khalid Dar")</f>
        <v>Mr. Bilal Khalid Dar</v>
      </c>
    </row>
    <row r="12" spans="1:4">
      <c r="A12" s="1" t="str">
        <f ca="1">IFERROR(__xludf.DUMMYFUNCTION("""COMPUTED_VALUE"""),"F24-011-D-SmartGuard")</f>
        <v>F24-011-D-SmartGuard</v>
      </c>
      <c r="B12" s="1" t="str">
        <f ca="1">IFERROR(__xludf.DUMMYFUNCTION("""COMPUTED_VALUE"""),"SmartGuard: Advanced Shoplifting Detection System")</f>
        <v>SmartGuard: Advanced Shoplifting Detection System</v>
      </c>
      <c r="C12" s="2" t="str">
        <f ca="1">IFERROR(__xludf.DUMMYFUNCTION("""COMPUTED_VALUE"""),"Project Scope Description:
The SmartGuard project focuses on creating an advanced shoplifting detection system that utilizes artificial intelligence to enhance retail security. By integrating machine learning algorithms with computer vision technology, Sm"&amp;"artGuard will provide real-time monitoring and detection of suspicious activities within retail environments. The system aims to significantly reduce incidents of shoplifting, improve overall store security, and offer actionable insights and alerts to sto"&amp;"re management, ultimately minimizing financial losses and supporting a safer shopping experience.
Key Features:
1. Real-time shoplifting detection using AI-driven algorithms.
2. Integration of computer vision for continuous surveillance.
3. Automated ale"&amp;"rt system for suspicious activities.
4. User-friendly interface for monitoring and managing alerts.
5. Detailed reporting and analytics on shoplifting incidents.
6. Ability to differentiate between genuine theft and false alarms.
7. Historical data analys"&amp;"is to identify patterns and trends.
8. Scalability to support various retail environments, including stores, supermarkets, and pharmacies.
9. Customizable alert settings for different store policies.
10. Secure data storage and access control for sensitiv"&amp;"e information.")</f>
        <v>Project Scope Description:
The SmartGuard project focuses on creating an advanced shoplifting detection system that utilizes artificial intelligence to enhance retail security. By integrating machine learning algorithms with computer vision technology, SmartGuard will provide real-time monitoring and detection of suspicious activities within retail environments. The system aims to significantly reduce incidents of shoplifting, improve overall store security, and offer actionable insights and alerts to store management, ultimately minimizing financial losses and supporting a safer shopping experience.
Key Features:
1. Real-time shoplifting detection using AI-driven algorithms.
2. Integration of computer vision for continuous surveillance.
3. Automated alert system for suspicious activities.
4. User-friendly interface for monitoring and managing alerts.
5. Detailed reporting and analytics on shoplifting incidents.
6. Ability to differentiate between genuine theft and false alarms.
7. Historical data analysis to identify patterns and trends.
8. Scalability to support various retail environments, including stores, supermarkets, and pharmacies.
9. Customizable alert settings for different store policies.
10. Secure data storage and access control for sensitive information.</v>
      </c>
      <c r="D12" s="1" t="str">
        <f ca="1">IFERROR(__xludf.DUMMYFUNCTION("""COMPUTED_VALUE"""),"Dr. Asif Muhammad")</f>
        <v>Dr. Asif Muhammad</v>
      </c>
    </row>
    <row r="13" spans="1:4">
      <c r="A13" s="1" t="str">
        <f ca="1">IFERROR(__xludf.DUMMYFUNCTION("""COMPUTED_VALUE"""),"F24-012-D-SprintCraft")</f>
        <v>F24-012-D-SprintCraft</v>
      </c>
      <c r="B13" s="1" t="str">
        <f ca="1">IFERROR(__xludf.DUMMYFUNCTION("""COMPUTED_VALUE"""),"RefactoAi : Revamping Code Excellence through AI-Driven Refactoring")</f>
        <v>RefactoAi : Revamping Code Excellence through AI-Driven Refactoring</v>
      </c>
      <c r="C13" s="2" t="str">
        <f ca="1">IFERROR(__xludf.DUMMYFUNCTION("""COMPUTED_VALUE"""),"Description: This project aims to revamp a single Python file by leveraging LLMs for AI-driven refactoring, automated testing for errors, and performance optimization. The project involves analyzing the existing code, identifying areas for improvement, an"&amp;"d using LLMs to suggest and implement changes. Additionally, the project utilizes pylint for code analysis and gathers user requirements to ensure the refactored code meets their needs.
Features:
 1.⁠ ⁠AI-driven Code Refactoring: Using LLMs to suggest c"&amp;"ode improvements and refactoring.
 2.⁠ ⁠Automated Testing of errors: Implementing automated testing for the single Python file to check errors.
 3.⁠ ⁠Code Analysis: Analyzing the existing code using pylint to identify areas for improvement.
 4.⁠ ⁠Perfo"&amp;"rmance Optimization: Using LLMs to suggest performance improvements.
 5.⁠ ⁠Requirements Gathering: Collecting user requirements to ensure the refactored code meets their needs.
 6.⁠ ⁠Requirements Integration: Adding user requirements to the existing cod"&amp;"e.
 7.⁠ ⁠Code Quality Enhancement: Improving code readability, maintainability, and efficiency.
 8.⁠ ⁠LLM Integration: Utilizing LLMs for code refactoring and optimization.
")</f>
        <v xml:space="preserve">Description: This project aims to revamp a single Python file by leveraging LLMs for AI-driven refactoring, automated testing for errors, and performance optimization. The project involves analyzing the existing code, identifying areas for improvement, and using LLMs to suggest and implement changes. Additionally, the project utilizes pylint for code analysis and gathers user requirements to ensure the refactored code meets their needs.
Features:
 1.⁠ ⁠AI-driven Code Refactoring: Using LLMs to suggest code improvements and refactoring.
 2.⁠ ⁠Automated Testing of errors: Implementing automated testing for the single Python file to check errors.
 3.⁠ ⁠Code Analysis: Analyzing the existing code using pylint to identify areas for improvement.
 4.⁠ ⁠Performance Optimization: Using LLMs to suggest performance improvements.
 5.⁠ ⁠Requirements Gathering: Collecting user requirements to ensure the refactored code meets their needs.
 6.⁠ ⁠Requirements Integration: Adding user requirements to the existing code.
 7.⁠ ⁠Code Quality Enhancement: Improving code readability, maintainability, and efficiency.
 8.⁠ ⁠LLM Integration: Utilizing LLMs for code refactoring and optimization.
</v>
      </c>
      <c r="D13" s="1" t="str">
        <f ca="1">IFERROR(__xludf.DUMMYFUNCTION("""COMPUTED_VALUE"""),"Mr. Pir Sami Ullah Shah")</f>
        <v>Mr. Pir Sami Ullah Shah</v>
      </c>
    </row>
    <row r="14" spans="1:4">
      <c r="A14" s="1" t="str">
        <f ca="1">IFERROR(__xludf.DUMMYFUNCTION("""COMPUTED_VALUE"""),"F24-013-D-SnapShop")</f>
        <v>F24-013-D-SnapShop</v>
      </c>
      <c r="B14" s="1" t="str">
        <f ca="1">IFERROR(__xludf.DUMMYFUNCTION("""COMPUTED_VALUE"""),"SnapShop ")</f>
        <v xml:space="preserve">SnapShop </v>
      </c>
      <c r="C14" s="2" t="str">
        <f ca="1">IFERROR(__xludf.DUMMYFUNCTION("""COMPUTED_VALUE"""),"Snap Shop is an innovative platform that leverages Generative AI to revolutionize e-commerce advertising. This project enables users to create seamless, high-quality ads by generating images of models wearing specified clothing items in various poses. The"&amp;" process is straightforward: users provide an image of a subject in an initial pose, upload a clothing item, and then specify the desired pose. Snap Shop’s AI then generates a realistic image of the subject wearing the clothing item in the specified pose."&amp;" This cutting-edge solution is designed to streamline ad creation, enhance visual appeal, and drive engagement for e-commerce platforms.
Key Features:
- Ad Generation on Provided Person
- AI-Powered Pose Generation
- Clothing Item Integration
- Customiz"&amp;"able Pose
- High-Quality Image Rendering
- Custom Scene Generation
- Intuitive User Interface
- Flexible Styling Options")</f>
        <v>Snap Shop is an innovative platform that leverages Generative AI to revolutionize e-commerce advertising. This project enables users to create seamless, high-quality ads by generating images of models wearing specified clothing items in various poses. The process is straightforward: users provide an image of a subject in an initial pose, upload a clothing item, and then specify the desired pose. Snap Shop’s AI then generates a realistic image of the subject wearing the clothing item in the specified pose. This cutting-edge solution is designed to streamline ad creation, enhance visual appeal, and drive engagement for e-commerce platforms.
Key Features:
- Ad Generation on Provided Person
- AI-Powered Pose Generation
- Clothing Item Integration
- Customizable Pose
- High-Quality Image Rendering
- Custom Scene Generation
- Intuitive User Interface
- Flexible Styling Options</v>
      </c>
      <c r="D14" s="1" t="str">
        <f ca="1">IFERROR(__xludf.DUMMYFUNCTION("""COMPUTED_VALUE"""),"Dr. Hammad Majeed")</f>
        <v>Dr. Hammad Majeed</v>
      </c>
    </row>
    <row r="15" spans="1:4">
      <c r="A15" s="1" t="str">
        <f ca="1">IFERROR(__xludf.DUMMYFUNCTION("""COMPUTED_VALUE"""),"F24-014-D-Sehat-e-tafseel")</f>
        <v>F24-014-D-Sehat-e-tafseel</v>
      </c>
      <c r="B15" s="1" t="str">
        <f ca="1">IFERROR(__xludf.DUMMYFUNCTION("""COMPUTED_VALUE"""),"Development of a Centralized Electronic Medical Record System – in HealthCare &amp; Governance")</f>
        <v>Development of a Centralized Electronic Medical Record System – in HealthCare &amp; Governance</v>
      </c>
      <c r="C15" s="2" t="str">
        <f ca="1">IFERROR(__xludf.DUMMYFUNCTION("""COMPUTED_VALUE"""),"We aim to develop an advanced application for Pakistan's healthcare system that assigns each patient a unique reference ID based on their CNIC number during their initial hospital visit. This application will store comprehensive patient data in a centrali"&amp;"zed database accessible by all hospitals. It will record details such as the doctors consulted, reasons for visits, tests conducted, and their results. This system will ensure that a patient's entire medical history is readily available during subsequent "&amp;"hospital visits through their reference ID. This will streamline the consultation process by eliminating the need for repetitive history-taking and alleviate patients from the burden of remembering their medical history and test results. The solution prom"&amp;"ises significant benefits for both healthcare providers and patients by enhancing efficiency and accuracy in medical care.
Key Features:
1) Patient Profile
2) Medical History
3) Test Reports
4) Medications and Allergies
5) Application Forms
6) Operation F"&amp;"orms
7) Discharge Forms
8) Consent Forms
9) Data Accessibility and Sharing
10) Data Privacy and Security
11) Doctor Consultation
12) Healthcare Chatbot")</f>
        <v>We aim to develop an advanced application for Pakistan's healthcare system that assigns each patient a unique reference ID based on their CNIC number during their initial hospital visit. This application will store comprehensive patient data in a centralized database accessible by all hospitals. It will record details such as the doctors consulted, reasons for visits, tests conducted, and their results. This system will ensure that a patient's entire medical history is readily available during subsequent hospital visits through their reference ID. This will streamline the consultation process by eliminating the need for repetitive history-taking and alleviate patients from the burden of remembering their medical history and test results. The solution promises significant benefits for both healthcare providers and patients by enhancing efficiency and accuracy in medical care.
Key Features:
1) Patient Profile
2) Medical History
3) Test Reports
4) Medications and Allergies
5) Application Forms
6) Operation Forms
7) Discharge Forms
8) Consent Forms
9) Data Accessibility and Sharing
10) Data Privacy and Security
11) Doctor Consultation
12) Healthcare Chatbot</v>
      </c>
      <c r="D15" s="1" t="str">
        <f ca="1">IFERROR(__xludf.DUMMYFUNCTION("""COMPUTED_VALUE"""),"Mr. Owais Idrees")</f>
        <v>Mr. Owais Idrees</v>
      </c>
    </row>
    <row r="16" spans="1:4">
      <c r="A16" s="1" t="str">
        <f ca="1">IFERROR(__xludf.DUMMYFUNCTION("""COMPUTED_VALUE"""),"F24-015-D-Sketch2Face")</f>
        <v>F24-015-D-Sketch2Face</v>
      </c>
      <c r="B16" s="1" t="str">
        <f ca="1">IFERROR(__xludf.DUMMYFUNCTION("""COMPUTED_VALUE"""),"Face Synthesis Using Sketch and Textual Descriptions")</f>
        <v>Face Synthesis Using Sketch and Textual Descriptions</v>
      </c>
      <c r="C16" s="2" t="str">
        <f ca="1">IFERROR(__xludf.DUMMYFUNCTION("""COMPUTED_VALUE"""),"The project aims to develop a system that generates realistic facial images from sketches and text descriptions using Generative Adversarial Networks (GANs). It involves preprocessing a paired dataset of sketches, text, and images, designing and training "&amp;"a GAN model, and optimizing it for detailed and accurate image synthesis. The project also includes a user-friendly interface for inputting sketches and descriptions, exploring various GAN architectures to optimize performance and image quality. 
Key Feat"&amp;"ures :
 1. Facial Image generation using sketches.
2. Facial Image generation using text.
3. Implementation of GANs.
4. High Accuracy.
5. User Interface.
6. High Performance.
7. Image Preprocessing.
8. Customizability and Flexibility.")</f>
        <v>The project aims to develop a system that generates realistic facial images from sketches and text descriptions using Generative Adversarial Networks (GANs). It involves preprocessing a paired dataset of sketches, text, and images, designing and training a GAN model, and optimizing it for detailed and accurate image synthesis. The project also includes a user-friendly interface for inputting sketches and descriptions, exploring various GAN architectures to optimize performance and image quality. 
Key Features :
 1. Facial Image generation using sketches.
2. Facial Image generation using text.
3. Implementation of GANs.
4. High Accuracy.
5. User Interface.
6. High Performance.
7. Image Preprocessing.
8. Customizability and Flexibility.</v>
      </c>
      <c r="D16" s="1" t="str">
        <f ca="1">IFERROR(__xludf.DUMMYFUNCTION("""COMPUTED_VALUE"""),"Ms. Saira Qamar")</f>
        <v>Ms. Saira Qamar</v>
      </c>
    </row>
    <row r="17" spans="1:4">
      <c r="A17" s="1" t="str">
        <f ca="1">IFERROR(__xludf.DUMMYFUNCTION("""COMPUTED_VALUE"""),"F24-016-D-InsightWire")</f>
        <v>F24-016-D-InsightWire</v>
      </c>
      <c r="B17" s="1" t="str">
        <f ca="1">IFERROR(__xludf.DUMMYFUNCTION("""COMPUTED_VALUE"""),"Insight Wire : News Media Bias Analyzer")</f>
        <v>Insight Wire : News Media Bias Analyzer</v>
      </c>
      <c r="C17" s="2" t="str">
        <f ca="1">IFERROR(__xludf.DUMMYFUNCTION("""COMPUTED_VALUE"""),"The project aims to create a news aggregation platform that addresses media bias. By collecting and analyzing news articles from a diverse range of sources, the platform will offer comprehensive insights into the political leanings and biases of various m"&amp;"edia outlets. We will have advanced bias detection algorithms, and tools for comparing stories across different sources. The platform will also include visual representations of bias and coverage, AI-powered summarization of articles, and unique features "&amp;"like Twitter trends analysis and local news highlighting. Additionally, it will allow user to contribute to bias ratings and a personal bias dashboard to help users understand their own reading habits. This multifaceted approach aims to promote critical t"&amp;"hinking and reduce media polarization by providing a clearer, more balanced view of the news landscape.
Features:
News Aggregation: Collects articles from various sources via web scraping and APIs.
Categorization and Tagging: Uses NLP to categorize and"&amp;" tag articles by topic and metadata.
Bias Detection: Analyzes articles and sources for political bias using sentiment analysis and machine learning.
Story Comparison: Displays articles on the same topic from multiple sources for perspective comparison.
"&amp;"
Visual Representation: Provides charts and graphs to visualize bias and coverage.
Summarization: Automatically summarizes articles and identifies key themes.
Twitter Trends Analysis: Analyzes and displays trending topics on Twitter.
Local News Highlig"&amp;"hting: Prioritizes coverage of local news and community issues.
User Voting on Bias: Allows users to contribute to bias ratings and feedback.
Personal Bias Dashboard: Provides insights into users' reading habits and potential biases.")</f>
        <v>The project aims to create a news aggregation platform that addresses media bias. By collecting and analyzing news articles from a diverse range of sources, the platform will offer comprehensive insights into the political leanings and biases of various media outlets. We will have advanced bias detection algorithms, and tools for comparing stories across different sources. The platform will also include visual representations of bias and coverage, AI-powered summarization of articles, and unique features like Twitter trends analysis and local news highlighting. Additionally, it will allow user to contribute to bias ratings and a personal bias dashboard to help users understand their own reading habits. This multifaceted approach aims to promote critical thinking and reduce media polarization by providing a clearer, more balanced view of the news landscape.
Features:
News Aggregation: Collects articles from various sources via web scraping and APIs.
Categorization and Tagging: Uses NLP to categorize and tag articles by topic and metadata.
Bias Detection: Analyzes articles and sources for political bias using sentiment analysis and machine learning.
Story Comparison: Displays articles on the same topic from multiple sources for perspective comparison.
Visual Representation: Provides charts and graphs to visualize bias and coverage.
Summarization: Automatically summarizes articles and identifies key themes.
Twitter Trends Analysis: Analyzes and displays trending topics on Twitter.
Local News Highlighting: Prioritizes coverage of local news and community issues.
User Voting on Bias: Allows users to contribute to bias ratings and feedback.
Personal Bias Dashboard: Provides insights into users' reading habits and potential biases.</v>
      </c>
      <c r="D17" s="1" t="str">
        <f ca="1">IFERROR(__xludf.DUMMYFUNCTION("""COMPUTED_VALUE"""),"Ms. Kainat Iqbal")</f>
        <v>Ms. Kainat Iqbal</v>
      </c>
    </row>
    <row r="18" spans="1:4">
      <c r="A18" s="1" t="str">
        <f ca="1">IFERROR(__xludf.DUMMYFUNCTION("""COMPUTED_VALUE"""),"F24-017-D-BotForge")</f>
        <v>F24-017-D-BotForge</v>
      </c>
      <c r="B18" s="1" t="str">
        <f ca="1">IFERROR(__xludf.DUMMYFUNCTION("""COMPUTED_VALUE"""),"BotForge: Build Your Bot with Ease")</f>
        <v>BotForge: Build Your Bot with Ease</v>
      </c>
      <c r="C18" s="2" t="str">
        <f ca="1">IFERROR(__xludf.DUMMYFUNCTION("""COMPUTED_VALUE"""),"PROJECT OVERVIEW
Develop a web application that enables users to create personalized chatbots based on their
data. The application will use micro frontend architecture to enhance modularity, scalability, and maintainability.
Key Modules:
UI Customization"&amp;" Module
Data Upload Module
Profile Management Module
Chatbot Hosting Module
Natural Language Processing (NLP) Module
Voice Interaction Module
Collaboration Module
AI-Driven Insights Module")</f>
        <v>PROJECT OVERVIEW
Develop a web application that enables users to create personalized chatbots based on their
data. The application will use micro frontend architecture to enhance modularity, scalability, and maintainability.
Key Modules:
UI Customization Module
Data Upload Module
Profile Management Module
Chatbot Hosting Module
Natural Language Processing (NLP) Module
Voice Interaction Module
Collaboration Module
AI-Driven Insights Module</v>
      </c>
      <c r="D18" s="1" t="str">
        <f ca="1">IFERROR(__xludf.DUMMYFUNCTION("""COMPUTED_VALUE"""),"Dr. Atif Jilani")</f>
        <v>Dr. Atif Jilani</v>
      </c>
    </row>
    <row r="19" spans="1:4">
      <c r="A19" s="1" t="str">
        <f ca="1">IFERROR(__xludf.DUMMYFUNCTION("""COMPUTED_VALUE"""),"F24-018-D-GradeMate")</f>
        <v>F24-018-D-GradeMate</v>
      </c>
      <c r="B19" s="1" t="str">
        <f ca="1">IFERROR(__xludf.DUMMYFUNCTION("""COMPUTED_VALUE"""),"A smart app designed to scan and evaluate handwritten C++ programs, automating grading and detect plagiarism.")</f>
        <v>A smart app designed to scan and evaluate handwritten C++ programs, automating grading and detect plagiarism.</v>
      </c>
      <c r="C19" s="2" t="str">
        <f ca="1">IFERROR(__xludf.DUMMYFUNCTION("""COMPUTED_VALUE"""),"GradeMate is an innovative application designed to streamline the assessment process of handwritten programming quizzes in C++. The app utilizes advanced image recognition technology to scan handwritten submissions, automatically grade them based on prede"&amp;"fined rubrics, and detect potential plagiarism among submissions. The goal is to provide educators with a reliable and efficient tool to evaluate student work, reducing manual effort and ensuring consistency in grading.
Key Features:
- Handwriting Recogn"&amp;"ition
- Automated Grading
- Plagiarism Detection
- User Friendly Interface
- Cloud Storage
- Offline Functionality
- Customization Option
- Batch Processing of quizzes
")</f>
        <v xml:space="preserve">GradeMate is an innovative application designed to streamline the assessment process of handwritten programming quizzes in C++. The app utilizes advanced image recognition technology to scan handwritten submissions, automatically grade them based on predefined rubrics, and detect potential plagiarism among submissions. The goal is to provide educators with a reliable and efficient tool to evaluate student work, reducing manual effort and ensuring consistency in grading.
Key Features:
- Handwriting Recognition
- Automated Grading
- Plagiarism Detection
- User Friendly Interface
- Cloud Storage
- Offline Functionality
- Customization Option
- Batch Processing of quizzes
</v>
      </c>
      <c r="D19" s="1" t="str">
        <f ca="1">IFERROR(__xludf.DUMMYFUNCTION("""COMPUTED_VALUE"""),"Ms. Saira Qamar")</f>
        <v>Ms. Saira Qamar</v>
      </c>
    </row>
    <row r="20" spans="1:4">
      <c r="A20" s="1" t="str">
        <f ca="1">IFERROR(__xludf.DUMMYFUNCTION("""COMPUTED_VALUE"""),"F24-019-D-DataTails")</f>
        <v>F24-019-D-DataTails</v>
      </c>
      <c r="B20" s="1" t="str">
        <f ca="1">IFERROR(__xludf.DUMMYFUNCTION("""COMPUTED_VALUE"""),"DocUCare")</f>
        <v>DocUCare</v>
      </c>
      <c r="C20" s="2" t="str">
        <f ca="1">IFERROR(__xludf.DUMMYFUNCTION("""COMPUTED_VALUE"""),"DocUCare is an AI-powered healthcare system designed to automate the patient-doctor interaction process. The system leverages speech-to-text technology, natural language processing (NLP), and medical transcription services to enable efficient, multilingua"&amp;"l, voice-based conversations with patients and doctors. DocUCare automates the collection of patient data, generates comprehensive reports, and provides transcription services, enhancing healthcare efficiency and reducing manual effort.
Key Features:
"&amp;"Multilingual Medical Transcription: (English, Urdu)
Audio-Based Chatbot: For gathering medical history, symptoms, and other relevant data without manual input.
Doctor-Patient Meeting Integration: Integration with telemedicine platforms (Zoom, Google"&amp;" Meet) for online consultations.
Medical Transcription: Automatically transcribes doctor-patient conversations, ensuring error-free transcriptions for future reference, including detailed prescriptions and treatment plans.
Speaker Identification: Di"&amp;"stinguishes between patient and doctor voices, assigning contextually relevant labels to ensure accurate transcription of symptoms, prescriptions, and recommendations.
Context-Aware NLP Models: To provide context-aware insights during the conversation,"&amp;" asking follow-up questions and generating comprehensive reports.
Integration with EHR: Syncs all patient data, conversation minutes, and reports directly with Electronic Health Records (EHR) systems, ensuring secure and seamless record-keeping.
Post-"&amp;"Consultation Summaries: Automatically generates detailed summaries of the entire consultation, including doctor's recommendations, prescriptions, and care plans.")</f>
        <v>DocUCare is an AI-powered healthcare system designed to automate the patient-doctor interaction process. The system leverages speech-to-text technology, natural language processing (NLP), and medical transcription services to enable efficient, multilingual, voice-based conversations with patients and doctors. DocUCare automates the collection of patient data, generates comprehensive reports, and provides transcription services, enhancing healthcare efficiency and reducing manual effort.
Key Features:
Multilingual Medical Transcription: (English, Urdu)
Audio-Based Chatbot: For gathering medical history, symptoms, and other relevant data without manual input.
Doctor-Patient Meeting Integration: Integration with telemedicine platforms (Zoom, Google Meet) for online consultations.
Medical Transcription: Automatically transcribes doctor-patient conversations, ensuring error-free transcriptions for future reference, including detailed prescriptions and treatment plans.
Speaker Identification: Distinguishes between patient and doctor voices, assigning contextually relevant labels to ensure accurate transcription of symptoms, prescriptions, and recommendations.
Context-Aware NLP Models: To provide context-aware insights during the conversation, asking follow-up questions and generating comprehensive reports.
Integration with EHR: Syncs all patient data, conversation minutes, and reports directly with Electronic Health Records (EHR) systems, ensuring secure and seamless record-keeping.
Post-Consultation Summaries: Automatically generates detailed summaries of the entire consultation, including doctor's recommendations, prescriptions, and care plans.</v>
      </c>
      <c r="D20" s="1" t="str">
        <f ca="1">IFERROR(__xludf.DUMMYFUNCTION("""COMPUTED_VALUE"""),"Dr. Muhammad Arshad Islam")</f>
        <v>Dr. Muhammad Arshad Islam</v>
      </c>
    </row>
    <row r="21" spans="1:4">
      <c r="A21" s="1" t="str">
        <f ca="1">IFERROR(__xludf.DUMMYFUNCTION("""COMPUTED_VALUE"""),"F24-020-D-Mumtahin")</f>
        <v>F24-020-D-Mumtahin</v>
      </c>
      <c r="B21" s="1" t="str">
        <f ca="1">IFERROR(__xludf.DUMMYFUNCTION("""COMPUTED_VALUE"""),"AI Evaluator")</f>
        <v>AI Evaluator</v>
      </c>
      <c r="C21" s="2" t="str">
        <f ca="1">IFERROR(__xludf.DUMMYFUNCTION("""COMPUTED_VALUE"""),"Our project AIE focuses on helping the industry to check coding based assignments, which is a hectic work on its own. Our project will facilitate in checking the code and finding plagiarism  which will find similarities in the codes of submission and also"&amp;" try to find them on the internet. It will help the user identify the plagiarisms and also help conduct demos where we will use it to take demos and record the facial expressions of the students looking for issues i.e. if they are looking around, are not "&amp;"properly responding and then we use NLP to check the responses and their correctness and marking the assignment, which can be later disputed and can be rechecked in case of unsatisfactory results.
Key Features:
Facial Recognition.
Plagiarism Detection.
Sl"&amp;"ot Management.
Submission Checking.
Facial Expression Evaluation.
Generate Report.
Evaluation of Assignments.
Video Demos.
")</f>
        <v xml:space="preserve">Our project AIE focuses on helping the industry to check coding based assignments, which is a hectic work on its own. Our project will facilitate in checking the code and finding plagiarism  which will find similarities in the codes of submission and also try to find them on the internet. It will help the user identify the plagiarisms and also help conduct demos where we will use it to take demos and record the facial expressions of the students looking for issues i.e. if they are looking around, are not properly responding and then we use NLP to check the responses and their correctness and marking the assignment, which can be later disputed and can be rechecked in case of unsatisfactory results.
Key Features:
Facial Recognition.
Plagiarism Detection.
Slot Management.
Submission Checking.
Facial Expression Evaluation.
Generate Report.
Evaluation of Assignments.
Video Demos.
</v>
      </c>
      <c r="D21" s="1" t="str">
        <f ca="1">IFERROR(__xludf.DUMMYFUNCTION("""COMPUTED_VALUE"""),"Mr. Saad Salman")</f>
        <v>Mr. Saad Salman</v>
      </c>
    </row>
    <row r="22" spans="1:4">
      <c r="A22" s="1" t="str">
        <f ca="1">IFERROR(__xludf.DUMMYFUNCTION("""COMPUTED_VALUE"""),"F24-021-D-Connexus")</f>
        <v>F24-021-D-Connexus</v>
      </c>
      <c r="B22" s="1" t="str">
        <f ca="1">IFERROR(__xludf.DUMMYFUNCTION("""COMPUTED_VALUE"""),"Virtual Reality-based Social Interaction Training System for Introverted Individuals")</f>
        <v>Virtual Reality-based Social Interaction Training System for Introverted Individuals</v>
      </c>
      <c r="C22" s="2" t="str">
        <f ca="1">IFERROR(__xludf.DUMMYFUNCTION("""COMPUTED_VALUE"""),"The ""Virtual Reality-based Social Interaction Training System for Introverted Individuals"" is an innovative VR-based platform designed to help introverts navigate and manage real-world social scenarios through immersive simulations. By leveraging advanc"&amp;"ed virtual reality technology, the system creates realistic environments where users can practice and refine their social skills in a controlled, supportive setting. The project aims to build confidence, improve communication abilities, and reduce social "&amp;"anxiety by providing personalized training modules and feedback. It incorporates various scenarios ranging from casual conversations to professional interactions, tailored to the user's comfort level and progress.
Key Features:
1) Immersive VR Scenarios"&amp;": Realistic simulations of diverse social situations including everyday interactions, professional meetings, and public speaking events.
2) Customizable Difficulty Levels: Adjustable settings to match the user's comfort level and gradually increase the c"&amp;"hallenge.
3) Personalized Feedback: Detailed performance analysis and constructive feedback to help users improve their social skills.
4) Interactive AI Characters: Virtual characters with dynamic responses to simulate real-life conversations and social"&amp;" cues.
5) Progress Tracking: Tools for monitoring user progress over time, including skill improvements and areas needing attention.
6) Scenario Replay: The ability to revisit and practice specific scenarios to reinforce learning and gain confidence.
7"&amp;") Voice Recognition and Analysis: Built-in voice recognition to provide real-time feedback on speech clarity, tone, and pacing, helping users refine their verbal communication skills.
8) Integration with Wearables: Support for VR-compatible wearables to "&amp;"enhance the immersion and provide physiological feedback.")</f>
        <v>The "Virtual Reality-based Social Interaction Training System for Introverted Individuals" is an innovative VR-based platform designed to help introverts navigate and manage real-world social scenarios through immersive simulations. By leveraging advanced virtual reality technology, the system creates realistic environments where users can practice and refine their social skills in a controlled, supportive setting. The project aims to build confidence, improve communication abilities, and reduce social anxiety by providing personalized training modules and feedback. It incorporates various scenarios ranging from casual conversations to professional interactions, tailored to the user's comfort level and progress.
Key Features:
1) Immersive VR Scenarios: Realistic simulations of diverse social situations including everyday interactions, professional meetings, and public speaking events.
2) Customizable Difficulty Levels: Adjustable settings to match the user's comfort level and gradually increase the challenge.
3) Personalized Feedback: Detailed performance analysis and constructive feedback to help users improve their social skills.
4) Interactive AI Characters: Virtual characters with dynamic responses to simulate real-life conversations and social cues.
5) Progress Tracking: Tools for monitoring user progress over time, including skill improvements and areas needing attention.
6) Scenario Replay: The ability to revisit and practice specific scenarios to reinforce learning and gain confidence.
7) Voice Recognition and Analysis: Built-in voice recognition to provide real-time feedback on speech clarity, tone, and pacing, helping users refine their verbal communication skills.
8) Integration with Wearables: Support for VR-compatible wearables to enhance the immersion and provide physiological feedback.</v>
      </c>
      <c r="D22" s="1" t="str">
        <f ca="1">IFERROR(__xludf.DUMMYFUNCTION("""COMPUTED_VALUE"""),"Ms. Noor ul Ain")</f>
        <v>Ms. Noor ul Ain</v>
      </c>
    </row>
    <row r="23" spans="1:4">
      <c r="A23" s="1" t="str">
        <f ca="1">IFERROR(__xludf.DUMMYFUNCTION("""COMPUTED_VALUE"""),"F24-022-D-Apna Budget")</f>
        <v>F24-022-D-Apna Budget</v>
      </c>
      <c r="B23" s="1" t="str">
        <f ca="1">IFERROR(__xludf.DUMMYFUNCTION("""COMPUTED_VALUE"""),"Apna Budget: Empowering Your Financial Future through Smart Budgeting")</f>
        <v>Apna Budget: Empowering Your Financial Future through Smart Budgeting</v>
      </c>
      <c r="C23" s="2" t="str">
        <f ca="1">IFERROR(__xludf.DUMMYFUNCTION("""COMPUTED_VALUE"""),"We aim to produce a cross-platform mobile application aimed towards the general population of Pakistan. With a heavy economic decline we aim to produce an application to help provide users with better financial literacy by helping them budget, plan, visua"&amp;"lize, and forecast thus providing them financial advice on their finances thus empowering them through automatically picking up transactions through SMS along with the ability to enter transactions manually. Our application is focused on the Pakistani mar"&amp;"ket which will run on iOS and android and will run in offline as well. 𝗢𝘂𝗿 𝗮𝗽𝗽𝗹𝗶𝗰𝗮𝘁𝗶𝗼𝗻 𝘄𝗶𝗹𝗹 𝗻𝗼𝘁 𝗯𝗲 𝗳𝗼𝗰𝘂𝘀𝗲𝗱 𝗼𝗻 𝗽𝗲𝗿𝗳𝗼𝗿𝗺𝗶𝗻𝗴 𝘁𝗿𝗮𝗻𝘀𝗮𝗰𝘁𝗶𝗼𝗻𝘀. We will not be dealing with any money or wallets. Furthermore, our"&amp;" application will be focused on basic predictions. 
𝐴 𝑑𝑒𝑡𝑎𝑖𝑙𝑒𝑑 𝑠𝑐𝑜𝑝𝑒 𝑠ℎ𝑎𝑙𝑙 𝑏𝑒 𝑝𝑟𝑜𝑣𝑖𝑑𝑒𝑑 𝑖𝑛 𝑜𝑢𝑟 𝑝𝑟𝑜𝑗𝑒𝑐𝑡 𝑑𝑜𝑐𝑢𝑚𝑒𝑛𝑡 𝑙𝑎𝑡𝑒𝑟 𝑜𝑛 𝑎𝑠 𝑤𝑒𝑙𝑙
Features:
- SMS reading for automatic transaction retrieval
- "&amp;"Ability to manually add transactions
- Ability to categorize transaction
- Sorting and filtering categories
- Creating budgets for different transaction categories
- Notifications
- Visualization of categories and spending
- Reminders for bill payments, p"&amp;"artial payments, cash withdrawals, and other manual reminders
- Ability to set plans and goals
- Dynamic goal planning using models
- Generating models for plan related recommendations
- Scenario planning and visualization
- Stock visualization
- Comparis"&amp;"on of different insurance, savings, and retirement plans etc.")</f>
        <v>We aim to produce a cross-platform mobile application aimed towards the general population of Pakistan. With a heavy economic decline we aim to produce an application to help provide users with better financial literacy by helping them budget, plan, visualize, and forecast thus providing them financial advice on their finances thus empowering them through automatically picking up transactions through SMS along with the ability to enter transactions manually. Our application is focused on the Pakistani market which will run on iOS and android and will run in offline as well. 𝗢𝘂𝗿 𝗮𝗽𝗽𝗹𝗶𝗰𝗮𝘁𝗶𝗼𝗻 𝘄𝗶𝗹𝗹 𝗻𝗼𝘁 𝗯𝗲 𝗳𝗼𝗰𝘂𝘀𝗲𝗱 𝗼𝗻 𝗽𝗲𝗿𝗳𝗼𝗿𝗺𝗶𝗻𝗴 𝘁𝗿𝗮𝗻𝘀𝗮𝗰𝘁𝗶𝗼𝗻𝘀. We will not be dealing with any money or wallets. Furthermore, our application will be focused on basic predictions. 
𝐴 𝑑𝑒𝑡𝑎𝑖𝑙𝑒𝑑 𝑠𝑐𝑜𝑝𝑒 𝑠ℎ𝑎𝑙𝑙 𝑏𝑒 𝑝𝑟𝑜𝑣𝑖𝑑𝑒𝑑 𝑖𝑛 𝑜𝑢𝑟 𝑝𝑟𝑜𝑗𝑒𝑐𝑡 𝑑𝑜𝑐𝑢𝑚𝑒𝑛𝑡 𝑙𝑎𝑡𝑒𝑟 𝑜𝑛 𝑎𝑠 𝑤𝑒𝑙𝑙
Features:
- SMS reading for automatic transaction retrieval
- Ability to manually add transactions
- Ability to categorize transaction
- Sorting and filtering categories
- Creating budgets for different transaction categories
- Notifications
- Visualization of categories and spending
- Reminders for bill payments, partial payments, cash withdrawals, and other manual reminders
- Ability to set plans and goals
- Dynamic goal planning using models
- Generating models for plan related recommendations
- Scenario planning and visualization
- Stock visualization
- Comparison of different insurance, savings, and retirement plans etc.</v>
      </c>
      <c r="D23" s="1" t="str">
        <f ca="1">IFERROR(__xludf.DUMMYFUNCTION("""COMPUTED_VALUE"""),"Ms. Marium Hida")</f>
        <v>Ms. Marium Hida</v>
      </c>
    </row>
    <row r="24" spans="1:4">
      <c r="A24" s="1" t="str">
        <f ca="1">IFERROR(__xludf.DUMMYFUNCTION("""COMPUTED_VALUE"""),"F24-023-D-RefactoAi")</f>
        <v>F24-023-D-RefactoAi</v>
      </c>
      <c r="B24" s="1" t="str">
        <f ca="1">IFERROR(__xludf.DUMMYFUNCTION("""COMPUTED_VALUE"""),"AI-Driven Sales Conversation Enhancement Tool")</f>
        <v>AI-Driven Sales Conversation Enhancement Tool</v>
      </c>
      <c r="C24" s="2" t="str">
        <f ca="1">IFERROR(__xludf.DUMMYFUNCTION("""COMPUTED_VALUE"""),"Calls Craft is an AI-driven sales conversation enhancement tool designed to assist sales professionals by providing real-time insights and suggestions. The platform integrates advanced AI analysis for behavioral and emotional assessment, automatic transcr"&amp;"iption, and meeting minutes generation, ensuring more effective and personalized communication. Built as a web application using the MERN stack, Calls Craft offers features such as Zoom integration, document sharing and preview, a rich text editor for not"&amp;"e-taking, and dynamic visualization tools. It seamlessly integrates with a CRM system to manage and track sales activities, making it a comprehensive solution for improving sales performance.")</f>
        <v>Calls Craft is an AI-driven sales conversation enhancement tool designed to assist sales professionals by providing real-time insights and suggestions. The platform integrates advanced AI analysis for behavioral and emotional assessment, automatic transcription, and meeting minutes generation, ensuring more effective and personalized communication. Built as a web application using the MERN stack, Calls Craft offers features such as Zoom integration, document sharing and preview, a rich text editor for note-taking, and dynamic visualization tools. It seamlessly integrates with a CRM system to manage and track sales activities, making it a comprehensive solution for improving sales performance.</v>
      </c>
      <c r="D24" s="1" t="str">
        <f ca="1">IFERROR(__xludf.DUMMYFUNCTION("""COMPUTED_VALUE"""),"Mr. Pir Sami Ullah Shah")</f>
        <v>Mr. Pir Sami Ullah Shah</v>
      </c>
    </row>
    <row r="25" spans="1:4">
      <c r="A25" s="1" t="str">
        <f ca="1">IFERROR(__xludf.DUMMYFUNCTION("""COMPUTED_VALUE"""),"F24-024-D-TherapEase")</f>
        <v>F24-024-D-TherapEase</v>
      </c>
      <c r="B25" s="1" t="str">
        <f ca="1">IFERROR(__xludf.DUMMYFUNCTION("""COMPUTED_VALUE"""),"A Virtual Therapist Assistant Digital Twin")</f>
        <v>A Virtual Therapist Assistant Digital Twin</v>
      </c>
      <c r="C25" s="2" t="str">
        <f ca="1">IFERROR(__xludf.DUMMYFUNCTION("""COMPUTED_VALUE"""),"The project aims to develop an Assistant designed to support therapists in diagnosing and treating people with autism. This assistant will interact with the person to assess their position on the autism spectrum, providing therapists with a quantified sco"&amp;"re that reflects the severity of autism. By leveraging advanced AI technologies, including Computer Vision (CV) ,Generative AI and Natural Language Processing (NLP). The customizable 3D model will operate in various environments tailored to each person's "&amp;"unique needs, and a comprehensive database will store and visualize the child's progress over time.
1. Emotion Detection and Facial Features
2. Generating Questions based on previous input
3. Database for keeping records
4. Interactive Dashboard for"&amp;" Therapist
5. Generating Background Images to keep the person Engaged
6. Autism Spectrum Scoring
7. Text-To-Speech
8. Voice Recognition
9. Multilingual (Optional)
10. LipSync(Optional)")</f>
        <v>The project aims to develop an Assistant designed to support therapists in diagnosing and treating people with autism. This assistant will interact with the person to assess their position on the autism spectrum, providing therapists with a quantified score that reflects the severity of autism. By leveraging advanced AI technologies, including Computer Vision (CV) ,Generative AI and Natural Language Processing (NLP). The customizable 3D model will operate in various environments tailored to each person's unique needs, and a comprehensive database will store and visualize the child's progress over time.
1. Emotion Detection and Facial Features
2. Generating Questions based on previous input
3. Database for keeping records
4. Interactive Dashboard for Therapist
5. Generating Background Images to keep the person Engaged
6. Autism Spectrum Scoring
7. Text-To-Speech
8. Voice Recognition
9. Multilingual (Optional)
10. LipSync(Optional)</v>
      </c>
      <c r="D25" s="1" t="str">
        <f ca="1">IFERROR(__xludf.DUMMYFUNCTION("""COMPUTED_VALUE"""),"Dr. Usman Habib")</f>
        <v>Dr. Usman Habib</v>
      </c>
    </row>
    <row r="26" spans="1:4">
      <c r="A26" s="1" t="str">
        <f ca="1">IFERROR(__xludf.DUMMYFUNCTION("""COMPUTED_VALUE"""),"F24-025-D-DocUCare")</f>
        <v>F24-025-D-DocUCare</v>
      </c>
      <c r="B26" s="1" t="str">
        <f ca="1">IFERROR(__xludf.DUMMYFUNCTION("""COMPUTED_VALUE"""),"Insider Threat Identification using SIEM Solution Enhanced by AI Model.")</f>
        <v>Insider Threat Identification using SIEM Solution Enhanced by AI Model.</v>
      </c>
      <c r="C26" s="2" t="str">
        <f ca="1">IFERROR(__xludf.DUMMYFUNCTION("""COMPUTED_VALUE"""),"Scope: Internal Network of an Organization
The project will involve developing a SIEM dashboard/Integration. This dashboard will provide real-time monitoring, detection, and analysis of security events across the organization's internal network. This wil"&amp;"l include both system and network logs and will feature visualizations, such as event trend graphs and source distribution pie charts, along with filtering options for quick insights into potential threats. This will also include dataset creation and labe"&amp;"lling from the ground up. 
Key Features:
Insider Threat Detection
Internal Network Monitoring 
Threat Visualisation 
Model Training 
Dataset Creation 
Dataset Labelling 
Agent Creation
SIEM Integration 
")</f>
        <v xml:space="preserve">Scope: Internal Network of an Organization
The project will involve developing a SIEM dashboard/Integration. This dashboard will provide real-time monitoring, detection, and analysis of security events across the organization's internal network. This will include both system and network logs and will feature visualizations, such as event trend graphs and source distribution pie charts, along with filtering options for quick insights into potential threats. This will also include dataset creation and labelling from the ground up. 
Key Features:
Insider Threat Detection
Internal Network Monitoring 
Threat Visualisation 
Model Training 
Dataset Creation 
Dataset Labelling 
Agent Creation
SIEM Integration 
</v>
      </c>
      <c r="D26" s="1" t="str">
        <f ca="1">IFERROR(__xludf.DUMMYFUNCTION("""COMPUTED_VALUE"""),"Mr. Saad Salman")</f>
        <v>Mr. Saad Salman</v>
      </c>
    </row>
    <row r="27" spans="1:4">
      <c r="A27" s="1" t="str">
        <f ca="1">IFERROR(__xludf.DUMMYFUNCTION("""COMPUTED_VALUE"""),"F24-026-D-VocalCraftAI")</f>
        <v>F24-026-D-VocalCraftAI</v>
      </c>
      <c r="B27" s="1" t="str">
        <f ca="1">IFERROR(__xludf.DUMMYFUNCTION("""COMPUTED_VALUE"""),"VocalCraft: AI-Driven Pamphlet Creation Through Voice Commands")</f>
        <v>VocalCraft: AI-Driven Pamphlet Creation Through Voice Commands</v>
      </c>
      <c r="C27" s="2" t="str">
        <f ca="1">IFERROR(__xludf.DUMMYFUNCTION("""COMPUTED_VALUE"""),"The project is focused on developing an AI-driven system that automates the creation of fast food pamphlets using voice input. By integrating an image generation model and a large language model (LLM), the system allows users, particularly small business "&amp;"owners, to generate customized marketing materials quickly and efficiently without requiring design expertise. The scope of the project includes the development of a user-friendly interface that accepts voice commands, processes them to generate relevant "&amp;"content and imagery, and outputs ready-to-use pamphlets. The project aims to empower users with limited resources to create professional-grade marketing materials, enhancing their ability to promote their products effectively.
Key Features:
1. Voice Comm"&amp;"and Input: Users can create pamphlets by speaking instructions, making the process accessible and easy.
2. Automated Image Generation: The software uses AI to generate relevant images based on the user's spoken content.
3. Text Content Generation: The sys"&amp;"tem utilizes an LLM to create persuasive and contextually appropriate text for the pamphlets.
4. Customizable Templates: Users can choose from various design templates to match their brand's style.
5. Real-time Preview: The software provides a real-time p"&amp;"review of the pamphlet as it's being created.
6. User-Friendly Interface: The interface is intuitive, designed for users with little to no design or technical experience.
7. Cloud-Based Storage: Generated pamphlets can be saved and accessed from the cloud"&amp;", ensuring easy storage and retrieval.
8. Print-Ready Output: The software produces high-quality, print-ready files suitable for professional printing.
9. Analytics and Feedback: The system includes basic analytics to track the effectiveness of different "&amp;"pamphlet designs and content, offering feedback for improvements.")</f>
        <v>The project is focused on developing an AI-driven system that automates the creation of fast food pamphlets using voice input. By integrating an image generation model and a large language model (LLM), the system allows users, particularly small business owners, to generate customized marketing materials quickly and efficiently without requiring design expertise. The scope of the project includes the development of a user-friendly interface that accepts voice commands, processes them to generate relevant content and imagery, and outputs ready-to-use pamphlets. The project aims to empower users with limited resources to create professional-grade marketing materials, enhancing their ability to promote their products effectively.
Key Features:
1. Voice Command Input: Users can create pamphlets by speaking instructions, making the process accessible and easy.
2. Automated Image Generation: The software uses AI to generate relevant images based on the user's spoken content.
3. Text Content Generation: The system utilizes an LLM to create persuasive and contextually appropriate text for the pamphlets.
4. Customizable Templates: Users can choose from various design templates to match their brand's style.
5. Real-time Preview: The software provides a real-time preview of the pamphlet as it's being created.
6. User-Friendly Interface: The interface is intuitive, designed for users with little to no design or technical experience.
7. Cloud-Based Storage: Generated pamphlets can be saved and accessed from the cloud, ensuring easy storage and retrieval.
8. Print-Ready Output: The software produces high-quality, print-ready files suitable for professional printing.
9. Analytics and Feedback: The system includes basic analytics to track the effectiveness of different pamphlet designs and content, offering feedback for improvements.</v>
      </c>
      <c r="D27" s="1" t="str">
        <f ca="1">IFERROR(__xludf.DUMMYFUNCTION("""COMPUTED_VALUE"""),"Dr. Asif Naeem")</f>
        <v>Dr. Asif Naeem</v>
      </c>
    </row>
    <row r="28" spans="1:4">
      <c r="A28" s="1" t="str">
        <f ca="1">IFERROR(__xludf.DUMMYFUNCTION("""COMPUTED_VALUE"""),"F24-027-D-SpecBot")</f>
        <v>F24-027-D-SpecBot</v>
      </c>
      <c r="B28" s="1" t="str">
        <f ca="1">IFERROR(__xludf.DUMMYFUNCTION("""COMPUTED_VALUE"""),"Automated Code Generation Based on Specs")</f>
        <v>Automated Code Generation Based on Specs</v>
      </c>
      <c r="C28" s="2" t="str">
        <f ca="1">IFERROR(__xludf.DUMMYFUNCTION("""COMPUTED_VALUE"""),"SpecBot is a cutting-edge tool designed to generate automated code tailored to the user's hardware specifications. It leverages knowledge graphs or large language models (LLMs) for intelligent code generation, producing recursive or iterative code based o"&amp;"n specific hardware configurations. By removing dependencies and generating new variables, SpecBot enhances code efficiency and prevents race conditions and shared cache conflicts, improving space complexity. It optimizes execution time, converting sequen"&amp;"tial code to parallel code in languages like C++ using OpenMP or OpenMPI, and in Python using Ray or the threading library. Additionally, it handles spatial exceptions in mathematical calculations, ensuring accurate results. SpecBot is deployed as an easy"&amp;"-to-use Visual Studio Code (VSC) extension.")</f>
        <v>SpecBot is a cutting-edge tool designed to generate automated code tailored to the user's hardware specifications. It leverages knowledge graphs or large language models (LLMs) for intelligent code generation, producing recursive or iterative code based on specific hardware configurations. By removing dependencies and generating new variables, SpecBot enhances code efficiency and prevents race conditions and shared cache conflicts, improving space complexity. It optimizes execution time, converting sequential code to parallel code in languages like C++ using OpenMP or OpenMPI, and in Python using Ray or the threading library. Additionally, it handles spatial exceptions in mathematical calculations, ensuring accurate results. SpecBot is deployed as an easy-to-use Visual Studio Code (VSC) extension.</v>
      </c>
      <c r="D28" s="1" t="str">
        <f ca="1">IFERROR(__xludf.DUMMYFUNCTION("""COMPUTED_VALUE"""),"Dr. Muhammad Arshad Islam")</f>
        <v>Dr. Muhammad Arshad Islam</v>
      </c>
    </row>
    <row r="29" spans="1:4">
      <c r="A29" s="1" t="str">
        <f ca="1">IFERROR(__xludf.DUMMYFUNCTION("""COMPUTED_VALUE"""),"F24-028-D-Art2Sprite")</f>
        <v>F24-028-D-Art2Sprite</v>
      </c>
      <c r="B29" s="1" t="str">
        <f ca="1">IFERROR(__xludf.DUMMYFUNCTION("""COMPUTED_VALUE"""),"Art2Sprite: AI Conversion from Hand-Drawn Sketches to Digital Sprite Sheets")</f>
        <v>Art2Sprite: AI Conversion from Hand-Drawn Sketches to Digital Sprite Sheets</v>
      </c>
      <c r="C29" s="2" t="str">
        <f ca="1">IFERROR(__xludf.DUMMYFUNCTION("""COMPUTED_VALUE"""),"ART2SPRITE (A2S) is an innovative platform designed to automate the transformation of hand-drawn sketches into fully functional digital sprite sheets for use in video games, animations, and other digital media. Leveraging advanced AI-driven models and ima"&amp;"ge processing techniques, A2S streamlines the conversion process, enabling artists to easily enhance, refine, and convert their artwork into ready-to-use sprites. The platform offers an intuitive interface and powerful tools for customization,, making it "&amp;"an essential tool for game developers, animators, and digital designers.
Key Features:
- Sketch-to-Image Conversion: Converts hand-drawn sketches into detailed digital images using advanced AI models.
- Image Processing: Enhances the quality of sketches "&amp;"through noise reduction, sharpening, and contrast adjustment.
- Automated Sprite Generation: Creates ready-to-use sprites from the enhanced images, optimized for digital applications using a text prompt.
- Sprite Sheet Creation: Automatically generates sp"&amp;"rite sheets for efficient use in game engines, with files for mapping sprites.
- Interactive Preview: Previewing and interacting with sprites before final export.
- Background Removal: Provides tools to automatically remove backgrounds, ensuring clean, tr"&amp;"ansparent sprites.
- Resolution Adjustment: Allows users to resize images to meet specific resolution requirements.
- PNG Conversion: Ensures all final outputs are in PNG format, supporting transparency and high-quality rendering.
- User-Friendly Interfac"&amp;"e: Features an intuitive UI for easy upload, processing, and download of images.
- Customizable Output Options: Lets users adjust sprite attributes like size, color palette, and resolution to match their needs.
- Version Control: Tracks and stores previou"&amp;"s versions of images, allowing users to revert to earlier stages if needed.")</f>
        <v>ART2SPRITE (A2S) is an innovative platform designed to automate the transformation of hand-drawn sketches into fully functional digital sprite sheets for use in video games, animations, and other digital media. Leveraging advanced AI-driven models and image processing techniques, A2S streamlines the conversion process, enabling artists to easily enhance, refine, and convert their artwork into ready-to-use sprites. The platform offers an intuitive interface and powerful tools for customization,, making it an essential tool for game developers, animators, and digital designers.
Key Features:
- Sketch-to-Image Conversion: Converts hand-drawn sketches into detailed digital images using advanced AI models.
- Image Processing: Enhances the quality of sketches through noise reduction, sharpening, and contrast adjustment.
- Automated Sprite Generation: Creates ready-to-use sprites from the enhanced images, optimized for digital applications using a text prompt.
- Sprite Sheet Creation: Automatically generates sprite sheets for efficient use in game engines, with files for mapping sprites.
- Interactive Preview: Previewing and interacting with sprites before final export.
- Background Removal: Provides tools to automatically remove backgrounds, ensuring clean, transparent sprites.
- Resolution Adjustment: Allows users to resize images to meet specific resolution requirements.
- PNG Conversion: Ensures all final outputs are in PNG format, supporting transparency and high-quality rendering.
- User-Friendly Interface: Features an intuitive UI for easy upload, processing, and download of images.
- Customizable Output Options: Lets users adjust sprite attributes like size, color palette, and resolution to match their needs.
- Version Control: Tracks and stores previous versions of images, allowing users to revert to earlier stages if needed.</v>
      </c>
      <c r="D29" s="1" t="str">
        <f ca="1">IFERROR(__xludf.DUMMYFUNCTION("""COMPUTED_VALUE"""),"Ms. Marium Hida")</f>
        <v>Ms. Marium Hida</v>
      </c>
    </row>
    <row r="30" spans="1:4">
      <c r="A30" s="1" t="str">
        <f ca="1">IFERROR(__xludf.DUMMYFUNCTION("""COMPUTED_VALUE"""),"F24-029-D-VerseCraft")</f>
        <v>F24-029-D-VerseCraft</v>
      </c>
      <c r="B30" s="1" t="str">
        <f ca="1">IFERROR(__xludf.DUMMYFUNCTION("""COMPUTED_VALUE"""),"VerseCraft:Transforming Story, novel and creative writing with Ai enhanced productivity tool")</f>
        <v>VerseCraft:Transforming Story, novel and creative writing with Ai enhanced productivity tool</v>
      </c>
      <c r="C30" s="2" t="str">
        <f ca="1">IFERROR(__xludf.DUMMYFUNCTION("""COMPUTED_VALUE"""),"VerseCraft is a software platform designed to help writers by using AI to boost their creative writing. It provides a complete environment where writers can create stories, work with others, and overcome creative blocks with AI tools. We will be fine-tuni"&amp;"ng and optimizing AI models, including LLMs, to enhance these tools and make them more effective. VerseCraft aims to improve productivity with a customizable writing interface and secure content through advanced technology. Whether you're a seasoned write"&amp;"r or just starting out, VerseCraft is here to simplify the creative process, letting you focus on storytelling while it takes care of everything else, from generating ideas to managing your workflow.  Key features: AI-Powered Story Assistance, Mind Map fo"&amp;"r Brainstorming, Collaborative Writing, Version Control, Character Development Assistant, Inline Notes Creation, Content Customization and Personalization, Decentralized/Hybrid Content Management, Social Sharing and Community Engagement, Interactive Plot "&amp;"Development Tool. These are main features but during implementation some more changes can be expected ")</f>
        <v xml:space="preserve">VerseCraft is a software platform designed to help writers by using AI to boost their creative writing. It provides a complete environment where writers can create stories, work with others, and overcome creative blocks with AI tools. We will be fine-tuning and optimizing AI models, including LLMs, to enhance these tools and make them more effective. VerseCraft aims to improve productivity with a customizable writing interface and secure content through advanced technology. Whether you're a seasoned writer or just starting out, VerseCraft is here to simplify the creative process, letting you focus on storytelling while it takes care of everything else, from generating ideas to managing your workflow.  Key features: AI-Powered Story Assistance, Mind Map for Brainstorming, Collaborative Writing, Version Control, Character Development Assistant, Inline Notes Creation, Content Customization and Personalization, Decentralized/Hybrid Content Management, Social Sharing and Community Engagement, Interactive Plot Development Tool. These are main features but during implementation some more changes can be expected </v>
      </c>
      <c r="D30" s="1" t="str">
        <f ca="1">IFERROR(__xludf.DUMMYFUNCTION("""COMPUTED_VALUE"""),"Mr. Owais Idrees")</f>
        <v>Mr. Owais Idrees</v>
      </c>
    </row>
    <row r="31" spans="1:4">
      <c r="A31" s="1" t="str">
        <f ca="1">IFERROR(__xludf.DUMMYFUNCTION("""COMPUTED_VALUE"""),"F24-030-R-SurgiGuide")</f>
        <v>F24-030-R-SurgiGuide</v>
      </c>
      <c r="B31" s="1" t="str">
        <f ca="1">IFERROR(__xludf.DUMMYFUNCTION("""COMPUTED_VALUE"""),"SurgiGuide: AI-Powered Decision Support for Surgeons")</f>
        <v>SurgiGuide: AI-Powered Decision Support for Surgeons</v>
      </c>
      <c r="C31" s="2" t="str">
        <f ca="1">IFERROR(__xludf.DUMMYFUNCTION("""COMPUTED_VALUE"""),"SurgiGuide is an AI-driven surgical assistance system designed to enhance the precision, efficiency, and safety of surgical procedures. The project focuses on developing an intelligent platform that provides real-time guidance, error detection, and decisi"&amp;"on support to surgeons during operations. By analyzing live data, SurgiGuide offers predictive insights, monitors vital signs, and suggests optimal actions to mitigate risks and improve patient outcomes.")</f>
        <v>SurgiGuide is an AI-driven surgical assistance system designed to enhance the precision, efficiency, and safety of surgical procedures. The project focuses on developing an intelligent platform that provides real-time guidance, error detection, and decision support to surgeons during operations. By analyzing live data, SurgiGuide offers predictive insights, monitors vital signs, and suggests optimal actions to mitigate risks and improve patient outcomes.</v>
      </c>
      <c r="D31" s="1" t="str">
        <f ca="1">IFERROR(__xludf.DUMMYFUNCTION("""COMPUTED_VALUE"""),"Ms. Marium Hida")</f>
        <v>Ms. Marium Hida</v>
      </c>
    </row>
    <row r="32" spans="1:4">
      <c r="A32" s="1" t="str">
        <f ca="1">IFERROR(__xludf.DUMMYFUNCTION("""COMPUTED_VALUE"""),"F24-031-D-KubeSecure")</f>
        <v>F24-031-D-KubeSecure</v>
      </c>
      <c r="B32" s="1" t="str">
        <f ca="1">IFERROR(__xludf.DUMMYFUNCTION("""COMPUTED_VALUE"""),"AI-Driven Network Anomaly Detection for Securing Kubernetes Clusters")</f>
        <v>AI-Driven Network Anomaly Detection for Securing Kubernetes Clusters</v>
      </c>
      <c r="C32" s="2" t="str">
        <f ca="1">IFERROR(__xludf.DUMMYFUNCTION("""COMPUTED_VALUE"""),"KubeSecure is an advanced security solution designed to enhance the integrity and protection of Kubernetes clusters through real-time anomaly detection. Leveraging state-of-the-art deep learning models, KubeSecure continuously monitors network traffic wit"&amp;"hin the cluster to identify and respond to suspicious activities. The system is capable of blocking malicious IP addresses and redirecting traffic to an external honeypot for further analysis. Key features are:
1. In time traffic analysis
2. Deep Learning"&amp;"-Based Detection
3. Automated Response Mechanism
4. Comprehensive Logging and Alerting
5. User-Friendly Dashboards
6. Creating own DDOS Dataset")</f>
        <v>KubeSecure is an advanced security solution designed to enhance the integrity and protection of Kubernetes clusters through real-time anomaly detection. Leveraging state-of-the-art deep learning models, KubeSecure continuously monitors network traffic within the cluster to identify and respond to suspicious activities. The system is capable of blocking malicious IP addresses and redirecting traffic to an external honeypot for further analysis. Key features are:
1. In time traffic analysis
2. Deep Learning-Based Detection
3. Automated Response Mechanism
4. Comprehensive Logging and Alerting
5. User-Friendly Dashboards
6. Creating own DDOS Dataset</v>
      </c>
      <c r="D32" s="1" t="str">
        <f ca="1">IFERROR(__xludf.DUMMYFUNCTION("""COMPUTED_VALUE"""),"Dr. Muhammad Arshad Islam")</f>
        <v>Dr. Muhammad Arshad Islam</v>
      </c>
    </row>
    <row r="33" spans="1:4">
      <c r="A33" s="1" t="str">
        <f ca="1">IFERROR(__xludf.DUMMYFUNCTION("""COMPUTED_VALUE"""),"F24-032-D-CallsCraft")</f>
        <v>F24-032-D-CallsCraft</v>
      </c>
      <c r="B33" s="1" t="str">
        <f ca="1">IFERROR(__xludf.DUMMYFUNCTION("""COMPUTED_VALUE"""),"DataTails: Weaving Unstructured Data into Insightful Visuals")</f>
        <v>DataTails: Weaving Unstructured Data into Insightful Visuals</v>
      </c>
      <c r="C33" s="2" t="str">
        <f ca="1">IFERROR(__xludf.DUMMYFUNCTION("""COMPUTED_VALUE"""),"DataTails is a Web Analytics Platform that delivers insights from unstructured data by analyzing user queries and dynamically selecting the most relevant visualizations. It makes it easier for people to explore and manage data, and quicker to discover and"&amp;" share insights. It uses LLMs, data scraping and advanced visualization tools to provide relevant answers to both free and premium users.")</f>
        <v>DataTails is a Web Analytics Platform that delivers insights from unstructured data by analyzing user queries and dynamically selecting the most relevant visualizations. It makes it easier for people to explore and manage data, and quicker to discover and share insights. It uses LLMs, data scraping and advanced visualization tools to provide relevant answers to both free and premium users.</v>
      </c>
      <c r="D33" s="1" t="str">
        <f ca="1">IFERROR(__xludf.DUMMYFUNCTION("""COMPUTED_VALUE"""),"Mr. Pir Sami Ullah Shah")</f>
        <v>Mr. Pir Sami Ullah Shah</v>
      </c>
    </row>
    <row r="34" spans="1:4">
      <c r="A34" s="1" t="str">
        <f ca="1">IFERROR(__xludf.DUMMYFUNCTION("""COMPUTED_VALUE"""),"F24-033-D-Emit")</f>
        <v>F24-033-D-Emit</v>
      </c>
      <c r="B34" s="1" t="str">
        <f ca="1">IFERROR(__xludf.DUMMYFUNCTION("""COMPUTED_VALUE"""),"AI Fashion Design Studio: Innovating Design, Virtual Try-On, and Ad Generation for Eastern Wear.")</f>
        <v>AI Fashion Design Studio: Innovating Design, Virtual Try-On, and Ad Generation for Eastern Wear.</v>
      </c>
      <c r="C34" s="2" t="str">
        <f ca="1">IFERROR(__xludf.DUMMYFUNCTION("""COMPUTED_VALUE"""),"
The ""AI-Driven Fashion Studio"" is a cutting-edge software platform designed to transform the fashion design process by leveraging generative AI technologies. It focuses on the creation, visualization, and marketing of Eastern wear, providing designers "&amp;"with advanced tools that streamline everything from fabric selection and design to producing polished video advertisements. By integrating AI-powered virtual try-ons and dynamic scene generation, the platform enhances both the creative process and the fin"&amp;"al presentation, making it an indispensable tool for fashion designers and brands aiming to innovate in the industry.
Key Features:
1. Automated Designing: Streamlined selection of attire, fabric, and embroidery through AI-driven automation.
2. Comprehen"&amp;"sive Database: Extensive collection of designs, fabrics, and accessories sourced from leading Pakistani fashion brands.
3. 360-Degree Visualization: Full-view garment visualization to facilitate detailed design refinement.
4. AI-Powered Virtual Try-On: Re"&amp;"alistic simulation of garment fit and drape on various body types.
5. 3D Environment Designing: Dynamic 3D environment creation for detailed design exploration.
6. Advertisement Photo Generation: Automatic generation of high-quality advertisement images w"&amp;"ith AI-generated scenes.
7. Video Ad Generation: Creation of short video ads featuring AI models showcasing designed garments in custom scenes.
8. Style Transfer for Design Variations: AI-based style transfer to generate personalized design variations.
9."&amp;" AI-powered recommendation engine: according to person (height, weight, complexion etc)
10. User Authentication and Access Control: Secure login and access management to protect user data and designs.")</f>
        <v xml:space="preserve">
The "AI-Driven Fashion Studio" is a cutting-edge software platform designed to transform the fashion design process by leveraging generative AI technologies. It focuses on the creation, visualization, and marketing of Eastern wear, providing designers with advanced tools that streamline everything from fabric selection and design to producing polished video advertisements. By integrating AI-powered virtual try-ons and dynamic scene generation, the platform enhances both the creative process and the final presentation, making it an indispensable tool for fashion designers and brands aiming to innovate in the industry.
Key Features:
1. Automated Designing: Streamlined selection of attire, fabric, and embroidery through AI-driven automation.
2. Comprehensive Database: Extensive collection of designs, fabrics, and accessories sourced from leading Pakistani fashion brands.
3. 360-Degree Visualization: Full-view garment visualization to facilitate detailed design refinement.
4. AI-Powered Virtual Try-On: Realistic simulation of garment fit and drape on various body types.
5. 3D Environment Designing: Dynamic 3D environment creation for detailed design exploration.
6. Advertisement Photo Generation: Automatic generation of high-quality advertisement images with AI-generated scenes.
7. Video Ad Generation: Creation of short video ads featuring AI models showcasing designed garments in custom scenes.
8. Style Transfer for Design Variations: AI-based style transfer to generate personalized design variations.
9. AI-powered recommendation engine: according to person (height, weight, complexion etc)
10. User Authentication and Access Control: Secure login and access management to protect user data and designs.</v>
      </c>
      <c r="D34" s="1" t="str">
        <f ca="1">IFERROR(__xludf.DUMMYFUNCTION("""COMPUTED_VALUE"""),"Dr. Shahela Saif")</f>
        <v>Dr. Shahela Saif</v>
      </c>
    </row>
    <row r="35" spans="1:4">
      <c r="A35" s="1" t="str">
        <f ca="1">IFERROR(__xludf.DUMMYFUNCTION("""COMPUTED_VALUE"""),"F24-034-R-ImpairAssist")</f>
        <v>F24-034-R-ImpairAssist</v>
      </c>
      <c r="B35" s="1" t="str">
        <f ca="1">IFERROR(__xludf.DUMMYFUNCTION("""COMPUTED_VALUE"""),"Caption Generating Mobile App for Audibly Impaired")</f>
        <v>Caption Generating Mobile App for Audibly Impaired</v>
      </c>
      <c r="C35" s="2" t="str">
        <f ca="1">IFERROR(__xludf.DUMMYFUNCTION("""COMPUTED_VALUE"""),"A mobile/web application that will bridge the communication gap between hearing impaired people and the rest of the world. The app will use a multimodal approach to incorporate audio and visual data to accurately produce realtime captions of the speech of"&amp;" the person conversing with the hearing impaired individual. The app will have the following salient features:
1) Real-Time Preprocessing of audio and visual data before it can be passed to the models.
2) A speech to text model that uses audio input (in "&amp;"the form of speech) to generate captions. 
3) A lip reading model that uses visual input to generate captions.
4) A bidirectional transformer to combine the outputs of the two models so that they compliment and rectify each other.
5)Real time caption gene"&amp;"ration using the microphone and camera of a mobile phone so that when a hearing impaired individual points their phone toward a person with the app opened, the app will generate accurate caption for what the person is saying.
6) Real time caption generati"&amp;"on for video conferencing.
7) Captioning of recorded videos.
8) Paraphrasing and grammar correction of captions based on user preference.
How does our captioning differ from regular methods, it leverages two different forms of data which is audio and vid"&amp;"eo. A speech to text model starts to fail if audio noise is introduced to the input, similarly a lip reading model starts to fail when the subject is out of focus or the video quality is bad. By identifying issues in both models and using the best feature"&amp;"s from both models to fix each other's shortcomings we plan to generate highly accurate captions and mitigate the flaws of the two models by using them together as compared to if the models were used on their own.
")</f>
        <v xml:space="preserve">A mobile/web application that will bridge the communication gap between hearing impaired people and the rest of the world. The app will use a multimodal approach to incorporate audio and visual data to accurately produce realtime captions of the speech of the person conversing with the hearing impaired individual. The app will have the following salient features:
1) Real-Time Preprocessing of audio and visual data before it can be passed to the models.
2) A speech to text model that uses audio input (in the form of speech) to generate captions. 
3) A lip reading model that uses visual input to generate captions.
4) A bidirectional transformer to combine the outputs of the two models so that they compliment and rectify each other.
5)Real time caption generation using the microphone and camera of a mobile phone so that when a hearing impaired individual points their phone toward a person with the app opened, the app will generate accurate caption for what the person is saying.
6) Real time caption generation for video conferencing.
7) Captioning of recorded videos.
8) Paraphrasing and grammar correction of captions based on user preference.
How does our captioning differ from regular methods, it leverages two different forms of data which is audio and video. A speech to text model starts to fail if audio noise is introduced to the input, similarly a lip reading model starts to fail when the subject is out of focus or the video quality is bad. By identifying issues in both models and using the best features from both models to fix each other's shortcomings we plan to generate highly accurate captions and mitigate the flaws of the two models by using them together as compared to if the models were used on their own.
</v>
      </c>
      <c r="D35" s="1" t="str">
        <f ca="1">IFERROR(__xludf.DUMMYFUNCTION("""COMPUTED_VALUE"""),"Ms. Marium Hida")</f>
        <v>Ms. Marium Hida</v>
      </c>
    </row>
    <row r="36" spans="1:4">
      <c r="A36" s="1" t="str">
        <f ca="1">IFERROR(__xludf.DUMMYFUNCTION("""COMPUTED_VALUE"""),"F24-035-D-AIFDS")</f>
        <v>F24-035-D-AIFDS</v>
      </c>
      <c r="B36" s="1" t="str">
        <f ca="1">IFERROR(__xludf.DUMMYFUNCTION("""COMPUTED_VALUE"""),"Efficient Authentication and Confidentiality Mechanism for RPL based IOT Networks")</f>
        <v>Efficient Authentication and Confidentiality Mechanism for RPL based IOT Networks</v>
      </c>
      <c r="C36" s="2" t="str">
        <f ca="1">IFERROR(__xludf.DUMMYFUNCTION("""COMPUTED_VALUE"""),"This project focuses on enhancing the security of resource-constrained Internet of Things (IoT) devices by implementing a comprehensive security framework. The scope includes integrating the Routing Protocol for Low Power and Lossy Networks (RPL) protocol"&amp;" with Elliptic Curve Cryptography (ECC), and SIMON and SPECK Lightweight Cryptography (LWC). The RPL protocol, utilizing ECC and Challenge Response System, will ensure robust authentication, key management, and revocation. The SIMON and SPECK lightweight "&amp;"Cryptography mechanisms will strengthen data confidentiality. The project also aims to maintain session integrity through forward and backward privacy measures while balancing the need for heightened security with the limited computational resources of Io"&amp;"T devices. The ultimate goal is to fortify the IoT ecosystem against evolving cyber threats while respecting the operational constraints of these devices.
Key Features:
1.  Secure RPL Protocol (SRPL) Integration: Implements SRPL for secure routing in IoT"&amp;" networks.
2. Elliptic Curve Cryptography (ECC) Utilization: Ensures efficient key management and robust authentication.
3. SIMON and SPECK Lightweight Cryptography: Provides data confidentiality with minimal resource usage.
4. Challenge-Response Authenti"&amp;"cation: Strengthens authentication mechanisms through challenge-response systems.
5. Forward and Backward Privacy: Maintains session integrity by protecting against unauthorized access to past and future communications.
6. Resource-Efficient Security: Bal"&amp;"ances strong security measures with the limited computational resources of IoT devices.
7. Resilient Security Framework: Establishes a comprehensive and adaptable security framework tailored to IoT needs.
8. Protection Against Evolving Threats: Fortifies "&amp;"IoT devices against both current and emerging cyber threats.
9. Key Management and Revocation: Ensures secure and efficient management and revocation of cryptographic keys.")</f>
        <v>This project focuses on enhancing the security of resource-constrained Internet of Things (IoT) devices by implementing a comprehensive security framework. The scope includes integrating the Routing Protocol for Low Power and Lossy Networks (RPL) protocol with Elliptic Curve Cryptography (ECC), and SIMON and SPECK Lightweight Cryptography (LWC). The RPL protocol, utilizing ECC and Challenge Response System, will ensure robust authentication, key management, and revocation. The SIMON and SPECK lightweight Cryptography mechanisms will strengthen data confidentiality. The project also aims to maintain session integrity through forward and backward privacy measures while balancing the need for heightened security with the limited computational resources of IoT devices. The ultimate goal is to fortify the IoT ecosystem against evolving cyber threats while respecting the operational constraints of these devices.
Key Features:
1.  Secure RPL Protocol (SRPL) Integration: Implements SRPL for secure routing in IoT networks.
2. Elliptic Curve Cryptography (ECC) Utilization: Ensures efficient key management and robust authentication.
3. SIMON and SPECK Lightweight Cryptography: Provides data confidentiality with minimal resource usage.
4. Challenge-Response Authentication: Strengthens authentication mechanisms through challenge-response systems.
5. Forward and Backward Privacy: Maintains session integrity by protecting against unauthorized access to past and future communications.
6. Resource-Efficient Security: Balances strong security measures with the limited computational resources of IoT devices.
7. Resilient Security Framework: Establishes a comprehensive and adaptable security framework tailored to IoT needs.
8. Protection Against Evolving Threats: Fortifies IoT devices against both current and emerging cyber threats.
9. Key Management and Revocation: Ensures secure and efficient management and revocation of cryptographic keys.</v>
      </c>
      <c r="D36" s="1" t="str">
        <f ca="1">IFERROR(__xludf.DUMMYFUNCTION("""COMPUTED_VALUE"""),"Mr. Irfan Ullah")</f>
        <v>Mr. Irfan Ullah</v>
      </c>
    </row>
    <row r="37" spans="1:4">
      <c r="A37" s="1" t="str">
        <f ca="1">IFERROR(__xludf.DUMMYFUNCTION("""COMPUTED_VALUE"""),"F24-036-R-EACMR-IoT")</f>
        <v>F24-036-R-EACMR-IoT</v>
      </c>
      <c r="B37" s="1" t="str">
        <f ca="1">IFERROR(__xludf.DUMMYFUNCTION("""COMPUTED_VALUE"""),"Trust Based Rank Attack Detection Mechanism for IOT")</f>
        <v>Trust Based Rank Attack Detection Mechanism for IOT</v>
      </c>
      <c r="C37" s="2" t="str">
        <f ca="1">IFERROR(__xludf.DUMMYFUNCTION("""COMPUTED_VALUE"""),"Project Scope:
The project involves the development of a security mechanism for RPL (Routing Protocol for Low-Power and Lossy Networks) in IoT environments. The primary objective is to detect rank attacks within the RPL network and accurately identify mal"&amp;"icious nodes. This is achieved through a lightweight and efficient trust-based mechanism, ensuring minimal overhead and maintaining the network's performance while enhancing its security.
Key Features:
1. Trust-Based Detection:  Implements a trust-based "&amp;"algorithm to identify malicious nodes involved in rank attacks.
2. Lightweight Mechanism:  Designed for minimal computational and communication overhead to suit resource-constrained IoT devices.
3. Real-Time Monitoring: Continuously monitors the RPL netwo"&amp;"rk for anomalies indicative of rank attacks.
4. Node Ranking:  Assigns trust scores to nodes based on their behavior, aiding in the identification of compromised nodes.
5. Efficient Response: Provides timely responses to detected attacks, isolating or mit"&amp;"igating the impact of malicious nodes.
6. Low-Power Consumption: Optimized for IoT devices, ensuring low energy consumption during detection and reporting processes.
7. Scalability: Capable of operating in both small and large-scale IoT networks without d"&amp;"egradation in performance.
8. Compatibility: Designed to integrate seamlessly with existing RPL implementations in IoT networks.")</f>
        <v>Project Scope:
The project involves the development of a security mechanism for RPL (Routing Protocol for Low-Power and Lossy Networks) in IoT environments. The primary objective is to detect rank attacks within the RPL network and accurately identify malicious nodes. This is achieved through a lightweight and efficient trust-based mechanism, ensuring minimal overhead and maintaining the network's performance while enhancing its security.
Key Features:
1. Trust-Based Detection:  Implements a trust-based algorithm to identify malicious nodes involved in rank attacks.
2. Lightweight Mechanism:  Designed for minimal computational and communication overhead to suit resource-constrained IoT devices.
3. Real-Time Monitoring: Continuously monitors the RPL network for anomalies indicative of rank attacks.
4. Node Ranking:  Assigns trust scores to nodes based on their behavior, aiding in the identification of compromised nodes.
5. Efficient Response: Provides timely responses to detected attacks, isolating or mitigating the impact of malicious nodes.
6. Low-Power Consumption: Optimized for IoT devices, ensuring low energy consumption during detection and reporting processes.
7. Scalability: Capable of operating in both small and large-scale IoT networks without degradation in performance.
8. Compatibility: Designed to integrate seamlessly with existing RPL implementations in IoT networks.</v>
      </c>
      <c r="D37" s="1" t="str">
        <f ca="1">IFERROR(__xludf.DUMMYFUNCTION("""COMPUTED_VALUE"""),"Mr. Jawad Hassan")</f>
        <v>Mr. Jawad Hassan</v>
      </c>
    </row>
    <row r="38" spans="1:4">
      <c r="A38" s="1" t="str">
        <f ca="1">IFERROR(__xludf.DUMMYFUNCTION("""COMPUTED_VALUE"""),"F24-037-D-ArchiVisionAI")</f>
        <v>F24-037-D-ArchiVisionAI</v>
      </c>
      <c r="B38" s="1" t="str">
        <f ca="1">IFERROR(__xludf.DUMMYFUNCTION("""COMPUTED_VALUE"""),"Architecture and interior design application")</f>
        <v>Architecture and interior design application</v>
      </c>
      <c r="C38" s="2" t="str">
        <f ca="1">IFERROR(__xludf.DUMMYFUNCTION("""COMPUTED_VALUE"""),"ArchiVisionAI is an AI-powered platform that seamlessly combines architecture design (floorplan design), interior design, and real-time shopping experiences into a single mobile application. The project aims to improvise how users visualize and plan their"&amp;" living spaces by allowing them to generate 3D architectural maps and design layouts for homes. Users can upload photos of their rooms and receive AI-generated design suggestions created by textual commands. The platform assists users with real-time produ"&amp;"ct visualization like placing furniture in their living space to see how it looks in the room. These are some key features of the project:
1. 3D Architectural Map (floorplan ) Generation: Create detailed 3D architectural maps for buildings and houses.
2"&amp;". Interior Design Recommendations: AI-driven suggestions for interior design including furniture, color schemes, curtain designs, wallpaper designs and layouts.
3. Real-Time Product Visualization: Place real-life products like sofas into a photo of your "&amp;"room to see how they fit and look.
4. Voice to Voice Interaction: Engage with the app using voice commands in English, enhancing the ease and effectivity of the renovation process.
5. Customization and Editing: Users can make multiple revisions to AI-ge"&amp;"nerated designs through prompts, refining the output until they achieve their desired look.
6. Augmented Reality (AR) Integration: Optional AR feature that lets users visualize designs and furniture in their actual living space for an immersive experienc"&amp;"e.
7. Multi-User Collaboration: Allow multiple users to collaborate on a single project, with an admin managing access and design inputs.
8. User-Friendly Interface: A clean and intuitive interface designed to make navigation and design processes easy f"&amp;"or users of all technical skill levels.
9. Version History and Undo/Redo: Track all changes made to a design with version history and easily revert to previous versions or undo specific actions.")</f>
        <v>ArchiVisionAI is an AI-powered platform that seamlessly combines architecture design (floorplan design), interior design, and real-time shopping experiences into a single mobile application. The project aims to improvise how users visualize and plan their living spaces by allowing them to generate 3D architectural maps and design layouts for homes. Users can upload photos of their rooms and receive AI-generated design suggestions created by textual commands. The platform assists users with real-time product visualization like placing furniture in their living space to see how it looks in the room. These are some key features of the project:
1. 3D Architectural Map (floorplan ) Generation: Create detailed 3D architectural maps for buildings and houses.
2. Interior Design Recommendations: AI-driven suggestions for interior design including furniture, color schemes, curtain designs, wallpaper designs and layouts.
3. Real-Time Product Visualization: Place real-life products like sofas into a photo of your room to see how they fit and look.
4. Voice to Voice Interaction: Engage with the app using voice commands in English, enhancing the ease and effectivity of the renovation process.
5. Customization and Editing: Users can make multiple revisions to AI-generated designs through prompts, refining the output until they achieve their desired look.
6. Augmented Reality (AR) Integration: Optional AR feature that lets users visualize designs and furniture in their actual living space for an immersive experience.
7. Multi-User Collaboration: Allow multiple users to collaborate on a single project, with an admin managing access and design inputs.
8. User-Friendly Interface: A clean and intuitive interface designed to make navigation and design processes easy for users of all technical skill levels.
9. Version History and Undo/Redo: Track all changes made to a design with version history and easily revert to previous versions or undo specific actions.</v>
      </c>
      <c r="D38" s="1" t="str">
        <f ca="1">IFERROR(__xludf.DUMMYFUNCTION("""COMPUTED_VALUE"""),"Mr. Ahmad Raza")</f>
        <v>Mr. Ahmad Raza</v>
      </c>
    </row>
    <row r="39" spans="1:4">
      <c r="A39" s="1" t="str">
        <f ca="1">IFERROR(__xludf.DUMMYFUNCTION("""COMPUTED_VALUE"""),"F24-038-R-TRank-IOT")</f>
        <v>F24-038-R-TRank-IOT</v>
      </c>
      <c r="B39" s="1" t="str">
        <f ca="1">IFERROR(__xludf.DUMMYFUNCTION("""COMPUTED_VALUE"""),"Nether's Gate: A Malware Obfuscator for C++")</f>
        <v>Nether's Gate: A Malware Obfuscator for C++</v>
      </c>
      <c r="C39" s="2" t="str">
        <f ca="1">IFERROR(__xludf.DUMMYFUNCTION("""COMPUTED_VALUE"""),"The scope of our project titled ""Nether's Gate: A Malware Obfuscator for C++"" focuses on developing a robust compiler that integrates multiple advanced obfuscation and evasion techniques to enhance the stealth of a Malware. This project will involve the"&amp;" development of a compiler possessing the following traits:
- variable encryption
- complete code encryption
- insertion of garbage code to hinder reverse engineering
- insertion of garbage data to create confusion during analysis
- API unhooking to hide"&amp;" function calls from EDRs
- metamorphism to alter the code structure without changing functionality
- import obfuscation to obscure external dependencies
- Advanced AV and EDR evasion techniques such as flow obfuscation to further complicate detection and"&amp;" analysis by security tools
- Sandbox Evasion Techniques")</f>
        <v>The scope of our project titled "Nether's Gate: A Malware Obfuscator for C++" focuses on developing a robust compiler that integrates multiple advanced obfuscation and evasion techniques to enhance the stealth of a Malware. This project will involve the development of a compiler possessing the following traits:
- variable encryption
- complete code encryption
- insertion of garbage code to hinder reverse engineering
- insertion of garbage data to create confusion during analysis
- API unhooking to hide function calls from EDRs
- metamorphism to alter the code structure without changing functionality
- import obfuscation to obscure external dependencies
- Advanced AV and EDR evasion techniques such as flow obfuscation to further complicate detection and analysis by security tools
- Sandbox Evasion Techniques</v>
      </c>
      <c r="D39" s="1" t="str">
        <f ca="1">IFERROR(__xludf.DUMMYFUNCTION("""COMPUTED_VALUE"""),"Mr. Jawad Hassan")</f>
        <v>Mr. Jawad Hassan</v>
      </c>
    </row>
    <row r="40" spans="1:4">
      <c r="A40" s="1" t="str">
        <f ca="1">IFERROR(__xludf.DUMMYFUNCTION("""COMPUTED_VALUE"""),"F24-039-D-OptiFit")</f>
        <v>F24-039-D-OptiFit</v>
      </c>
      <c r="B40" s="1" t="str">
        <f ca="1">IFERROR(__xludf.DUMMYFUNCTION("""COMPUTED_VALUE"""),"Virtual Glasses Try-On")</f>
        <v>Virtual Glasses Try-On</v>
      </c>
      <c r="C40" s="2" t="str">
        <f ca="1">IFERROR(__xludf.DUMMYFUNCTION("""COMPUTED_VALUE"""),"The Virtual Glasses Try-On project is a software solution that lets users try on glasses frames using their device's camera. Using AR and facial recognition, 3D models of glasses are superimposed onto the user’s face for a personalised experience. The pro"&amp;"ject aims to create a standalone product that can be integrated with or sold to eyewear retailers, with a demo website and possibly a mobile app as the initial deliverable.
** Features **
1) Frame Selection: Extensive library of glasses frames for users t"&amp;"o choose from.
2) Virtual Try-On: Real-time AR to overlay selected frames onto the user’s face.
3) Face Detection: Advanced facial recognition to detect and track facial movements.
4) Frame Customization: Options to adjust the frame’s color and style.
5) "&amp;"3D Model Creation: 3D models of various glasses frames.
6) Face Model Construction: Develop a detailed 3D face model for accurate frame fitting.
7) Integration Capability: Potential for integration with third-party eyewear retailers in the future.
8) 3D F"&amp;"rame Preview: allow users to interactively view and rotate the 3D model of the glasses")</f>
        <v>The Virtual Glasses Try-On project is a software solution that lets users try on glasses frames using their device's camera. Using AR and facial recognition, 3D models of glasses are superimposed onto the user’s face for a personalised experience. The project aims to create a standalone product that can be integrated with or sold to eyewear retailers, with a demo website and possibly a mobile app as the initial deliverable.
** Features **
1) Frame Selection: Extensive library of glasses frames for users to choose from.
2) Virtual Try-On: Real-time AR to overlay selected frames onto the user’s face.
3) Face Detection: Advanced facial recognition to detect and track facial movements.
4) Frame Customization: Options to adjust the frame’s color and style.
5) 3D Model Creation: 3D models of various glasses frames.
6) Face Model Construction: Develop a detailed 3D face model for accurate frame fitting.
7) Integration Capability: Potential for integration with third-party eyewear retailers in the future.
8) 3D Frame Preview: allow users to interactively view and rotate the 3D model of the glasses</v>
      </c>
      <c r="D40" s="1" t="str">
        <f ca="1">IFERROR(__xludf.DUMMYFUNCTION("""COMPUTED_VALUE"""),"Dr. Imran Ashraf")</f>
        <v>Dr. Imran Ashraf</v>
      </c>
    </row>
    <row r="41" spans="1:4">
      <c r="A41" s="1" t="str">
        <f ca="1">IFERROR(__xludf.DUMMYFUNCTION("""COMPUTED_VALUE"""),"F24-040-D-NoduleNet")</f>
        <v>F24-040-D-NoduleNet</v>
      </c>
      <c r="B41" s="1" t="str">
        <f ca="1">IFERROR(__xludf.DUMMYFUNCTION("""COMPUTED_VALUE"""),"AI-Powered Multi-Cancer Diagnosis System")</f>
        <v>AI-Powered Multi-Cancer Diagnosis System</v>
      </c>
      <c r="C41" s="2" t="str">
        <f ca="1">IFERROR(__xludf.DUMMYFUNCTION("""COMPUTED_VALUE"""),"Project Scope:
This project aims to develop an AI-based multi-cancer detection system specializing in lung, breast, and skin cancers. Utilizing cutting-edge deep learning techniques, the system will not only classify cancer types but also perform segment"&amp;"ation, cancer prediction in next 1-6 years, and provide a web application for medical professionals to interact with the model. The platform will be designed to improve diagnostic accuracy and efficiency, offering a robust, user-friendly interface that su"&amp;"pports comprehensive analysis.
Key Features:
1. Multi-Cancer Detection: Accurate detection of lung, breast, and skin cancers using advanced CNN architectures.
2. Precise Segmentation: Use of models like U-Net for detailed segmentation of cancerous regi"&amp;"ons.
3. Future Cancer Prediction: Upon analyzing the CT Scan or MRI, the system will predict the likelihood of developing cancer in next 1-6 years.
4. Heatmaps and Attention Maps: Visualization tools to highlight areas of the image the model focuses on."&amp;"
5. 3D Visualization: 3D tools for viewing and interacting with CT scan images.
6. Patient History Integration: Upload and analysis of patient history for context-aware predictions.
7. Collaboration: A dicussion forums for doctors to dicuss a specific "&amp;"case.
8. Reporting Tools: Users will be able to generate detailed analysis reports in PDF formats for further analysis and discussion with other doctors.  
9. Data Security and Compliance: Implement advanced security measures such as data encryption, se"&amp;"cure data storage, and compliance with healthcare regulations like HIPAA to ensure patient data is protected.
10. API Integration: Provide APIs to allow the web application to integrate with other hospital management systems, electronic health records (E"&amp;"HR), or third-party software for seamless data exchange.")</f>
        <v>Project Scope:
This project aims to develop an AI-based multi-cancer detection system specializing in lung, breast, and skin cancers. Utilizing cutting-edge deep learning techniques, the system will not only classify cancer types but also perform segmentation, cancer prediction in next 1-6 years, and provide a web application for medical professionals to interact with the model. The platform will be designed to improve diagnostic accuracy and efficiency, offering a robust, user-friendly interface that supports comprehensive analysis.
Key Features:
1. Multi-Cancer Detection: Accurate detection of lung, breast, and skin cancers using advanced CNN architectures.
2. Precise Segmentation: Use of models like U-Net for detailed segmentation of cancerous regions.
3. Future Cancer Prediction: Upon analyzing the CT Scan or MRI, the system will predict the likelihood of developing cancer in next 1-6 years.
4. Heatmaps and Attention Maps: Visualization tools to highlight areas of the image the model focuses on.
5. 3D Visualization: 3D tools for viewing and interacting with CT scan images.
6. Patient History Integration: Upload and analysis of patient history for context-aware predictions.
7. Collaboration: A dicussion forums for doctors to dicuss a specific case.
8. Reporting Tools: Users will be able to generate detailed analysis reports in PDF formats for further analysis and discussion with other doctors.  
9. Data Security and Compliance: Implement advanced security measures such as data encryption, secure data storage, and compliance with healthcare regulations like HIPAA to ensure patient data is protected.
10. API Integration: Provide APIs to allow the web application to integrate with other hospital management systems, electronic health records (EHR), or third-party software for seamless data exchange.</v>
      </c>
      <c r="D41" s="1" t="str">
        <f ca="1">IFERROR(__xludf.DUMMYFUNCTION("""COMPUTED_VALUE"""),"Dr. Shahela Saif")</f>
        <v>Dr. Shahela Saif</v>
      </c>
    </row>
    <row r="42" spans="1:4">
      <c r="A42" s="1" t="str">
        <f ca="1">IFERROR(__xludf.DUMMYFUNCTION("""COMPUTED_VALUE"""),"F24-041-D-PhysioVision")</f>
        <v>F24-041-D-PhysioVision</v>
      </c>
      <c r="B42" s="1" t="str">
        <f ca="1">IFERROR(__xludf.DUMMYFUNCTION("""COMPUTED_VALUE"""),"AI-Powered Personal Physio")</f>
        <v>AI-Powered Personal Physio</v>
      </c>
      <c r="C42" s="2" t="str">
        <f ca="1">IFERROR(__xludf.DUMMYFUNCTION("""COMPUTED_VALUE"""),"This AI-driven cross-platform app offers personalized physiotherapy routines and nutrition plans for arthritis recovery. Combining a chatbot with a computer vision system, it tailors diet guidance and exercise suggestions to each user's needs. The compute"&amp;"r vision model monitors and corrects exercise postures in real time, providing feedback through a multilingual audiobot in English and Urdu, along with visual cues. Session reports and user feedback are used to refine future routines and diet plans.
Featu"&amp;"res 
1.	Personalized Physiotherapist Chatbot for Diet and Exercise Guidance
2.	Pain Severity-Based Exercise Recommendations
3.	Real-Time Exercise Monitoring
4.	Real-Time Multilingual Posture Correction Feedback via Audio Bot (English and Urdu)
5.	Real-Tim"&amp;"e Visual Exercise Correction Cues
6.	Session Analysis and Reporting
7.	User Feedback Integration
8.	Dynamic Routine Adjustments for Future Exercise Recommendations
9.	Cross-Platform Accessibility 24/7
10.	Scalable Infrastructure")</f>
        <v>This AI-driven cross-platform app offers personalized physiotherapy routines and nutrition plans for arthritis recovery. Combining a chatbot with a computer vision system, it tailors diet guidance and exercise suggestions to each user's needs. The computer vision model monitors and corrects exercise postures in real time, providing feedback through a multilingual audiobot in English and Urdu, along with visual cues. Session reports and user feedback are used to refine future routines and diet plans.
Features 
1.	Personalized Physiotherapist Chatbot for Diet and Exercise Guidance
2.	Pain Severity-Based Exercise Recommendations
3.	Real-Time Exercise Monitoring
4.	Real-Time Multilingual Posture Correction Feedback via Audio Bot (English and Urdu)
5.	Real-Time Visual Exercise Correction Cues
6.	Session Analysis and Reporting
7.	User Feedback Integration
8.	Dynamic Routine Adjustments for Future Exercise Recommendations
9.	Cross-Platform Accessibility 24/7
10.	Scalable Infrastructure</v>
      </c>
      <c r="D42" s="1" t="str">
        <f ca="1">IFERROR(__xludf.DUMMYFUNCTION("""COMPUTED_VALUE"""),"Mr. Muhammad Farrukh Bashir")</f>
        <v>Mr. Muhammad Farrukh Bashir</v>
      </c>
    </row>
    <row r="43" spans="1:4">
      <c r="A43" s="1" t="str">
        <f ca="1">IFERROR(__xludf.DUMMYFUNCTION("""COMPUTED_VALUE"""),"F24-042-D-CommPulse")</f>
        <v>F24-042-D-CommPulse</v>
      </c>
      <c r="B43" s="1" t="str">
        <f ca="1">IFERROR(__xludf.DUMMYFUNCTION("""COMPUTED_VALUE"""),"CommPulse: Intelligent Meeting Quality Monitoring and Analysis")</f>
        <v>CommPulse: Intelligent Meeting Quality Monitoring and Analysis</v>
      </c>
      <c r="C43" s="2" t="str">
        <f ca="1">IFERROR(__xludf.DUMMYFUNCTION("""COMPUTED_VALUE"""),"Description
“CommPulse: Intelligent Meeting Quality Monitoring and Analysis” is a desktop application made for monitoring and improving the quality of online meetings. The application leverages real-time audio analysis to assess sentiments, active partic"&amp;"ipation, clarity, and adherence to the agenda during meetings. CommPulse gives detailed analysis about the communication dynamics, therefore helping users to improve. Post-meeting, the application generates meeting minutes, which are time and person speci"&amp;"fic. The performance criteria is predefined, which ensures consistency in productivity and effectiveness of meetings.
Key Features
 - Real-Time Audio Analysis: Assess the sentiment, active participation, clarity and adherence to the agenda during meetin"&amp;"gs
 - Feedback Visualization: Give real-time feedback to the user about the quality of the meeting
 - Meeting Minutes: Intelligently generate meeting minutes for each individual after the meeting has ended
 - Performance Metrics: Give time and person spec"&amp;"ific performance metrics after the meeting
 - Time-stamped highlights: Give time stamped highlights for easy navigation in the post meeting")</f>
        <v>Description
“CommPulse: Intelligent Meeting Quality Monitoring and Analysis” is a desktop application made for monitoring and improving the quality of online meetings. The application leverages real-time audio analysis to assess sentiments, active participation, clarity, and adherence to the agenda during meetings. CommPulse gives detailed analysis about the communication dynamics, therefore helping users to improve. Post-meeting, the application generates meeting minutes, which are time and person specific. The performance criteria is predefined, which ensures consistency in productivity and effectiveness of meetings.
Key Features
 - Real-Time Audio Analysis: Assess the sentiment, active participation, clarity and adherence to the agenda during meetings
 - Feedback Visualization: Give real-time feedback to the user about the quality of the meeting
 - Meeting Minutes: Intelligently generate meeting minutes for each individual after the meeting has ended
 - Performance Metrics: Give time and person specific performance metrics after the meeting
 - Time-stamped highlights: Give time stamped highlights for easy navigation in the post meeting</v>
      </c>
      <c r="D43" s="1" t="str">
        <f ca="1">IFERROR(__xludf.DUMMYFUNCTION("""COMPUTED_VALUE"""),"Mr. Aqib Rehman")</f>
        <v>Mr. Aqib Rehman</v>
      </c>
    </row>
    <row r="44" spans="1:4">
      <c r="A44" s="1" t="str">
        <f ca="1">IFERROR(__xludf.DUMMYFUNCTION("""COMPUTED_VALUE"""),"F24-043-D-InternetSurfers")</f>
        <v>F24-043-D-InternetSurfers</v>
      </c>
      <c r="B44" s="1" t="str">
        <f ca="1">IFERROR(__xludf.DUMMYFUNCTION("""COMPUTED_VALUE"""),"Internet Surfers: An Adventure To Learn Internet Safety")</f>
        <v>Internet Surfers: An Adventure To Learn Internet Safety</v>
      </c>
      <c r="C44" s="2" t="str">
        <f ca="1">IFERROR(__xludf.DUMMYFUNCTION("""COMPUTED_VALUE"""),"Scope:
This project aims to develop an educational game that teaches children aged 8-16 about various internet dangers, including cyberbullying, scams, viruses, privacy theft, phishing, and improper internet etiquette, and how to handle them effectively. "&amp;"The game will feature multiple mini-games, each focusing on a different online risk through engaging and interactive gameplay. It will be available on mobile platforms. The project will involve several phases, including design, development, testing, and l"&amp;"aunch, with ongoing updates based on user feedback.
Key Features:
1) Interactive minigames that provide a challenge for the players to overcome.
2) Educational content mixed in the game that teaches players about internet safety.
3) Achievement system to"&amp;" reward the players based on their performance and to keep them engaged.
4) Children friendly theme fostering a safe learning environment among the players.
5) Feedback mechanism to improve the game based on what the audience wants.
6) Gamified real life "&amp;"scenarios that teach players how to act properly when faced with such scenarios.
7) Parental controls for the parents to monitor their child's progress and control their activity in the game.
8) Interactive tutorials that guide players on how to play the "&amp;"minigames and steps to ensure safety over the internet.")</f>
        <v>Scope:
This project aims to develop an educational game that teaches children aged 8-16 about various internet dangers, including cyberbullying, scams, viruses, privacy theft, phishing, and improper internet etiquette, and how to handle them effectively. The game will feature multiple mini-games, each focusing on a different online risk through engaging and interactive gameplay. It will be available on mobile platforms. The project will involve several phases, including design, development, testing, and launch, with ongoing updates based on user feedback.
Key Features:
1) Interactive minigames that provide a challenge for the players to overcome.
2) Educational content mixed in the game that teaches players about internet safety.
3) Achievement system to reward the players based on their performance and to keep them engaged.
4) Children friendly theme fostering a safe learning environment among the players.
5) Feedback mechanism to improve the game based on what the audience wants.
6) Gamified real life scenarios that teach players how to act properly when faced with such scenarios.
7) Parental controls for the parents to monitor their child's progress and control their activity in the game.
8) Interactive tutorials that guide players on how to play the minigames and steps to ensure safety over the internet.</v>
      </c>
      <c r="D44" s="1" t="str">
        <f ca="1">IFERROR(__xludf.DUMMYFUNCTION("""COMPUTED_VALUE"""),"Ms. Nirmal Tariq")</f>
        <v>Ms. Nirmal Tariq</v>
      </c>
    </row>
    <row r="45" spans="1:4">
      <c r="A45" s="1" t="str">
        <f ca="1">IFERROR(__xludf.DUMMYFUNCTION("""COMPUTED_VALUE"""),"F24-044-D-InsuraSync")</f>
        <v>F24-044-D-InsuraSync</v>
      </c>
      <c r="B45" s="1" t="str">
        <f ca="1">IFERROR(__xludf.DUMMYFUNCTION("""COMPUTED_VALUE"""),"AI Powered Insurance Claims Processing System")</f>
        <v>AI Powered Insurance Claims Processing System</v>
      </c>
      <c r="C45" s="2" t="str">
        <f ca="1">IFERROR(__xludf.DUMMYFUNCTION("""COMPUTED_VALUE"""),"The AI-Powered Insurance Claims Processing System is designed to transform the way insurance companies manage claims by automating and optimizing various aspects of the claims process. The system aims to reduce the time and effort required to process clai"&amp;"ms while enhancing accuracy and customer satisfaction. It will leverage advanced machine learning and data analytics technologies to streamline claim intake, detect discrepancies, estimate repair costs, and prevent fraud. The platform will employ keyword "&amp;"matching to compare customer claims with policy keywords for precise claim processing.
Features:
1. Automated Claims Processing
2. Discrepancy Detection
3. Automated Repair Cost Estimation
4. Advanced Data Analytics 
5. Fraud/Anomaly Detection
6. Custome"&amp;"r Self-Service Portal
7. Comprehensive Reporting
8. Document Management System
9. Mobile Application
10. Automated Email Notification")</f>
        <v>The AI-Powered Insurance Claims Processing System is designed to transform the way insurance companies manage claims by automating and optimizing various aspects of the claims process. The system aims to reduce the time and effort required to process claims while enhancing accuracy and customer satisfaction. It will leverage advanced machine learning and data analytics technologies to streamline claim intake, detect discrepancies, estimate repair costs, and prevent fraud. The platform will employ keyword matching to compare customer claims with policy keywords for precise claim processing.
Features:
1. Automated Claims Processing
2. Discrepancy Detection
3. Automated Repair Cost Estimation
4. Advanced Data Analytics 
5. Fraud/Anomaly Detection
6. Customer Self-Service Portal
7. Comprehensive Reporting
8. Document Management System
9. Mobile Application
10. Automated Email Notification</v>
      </c>
      <c r="D45" s="1" t="str">
        <f ca="1">IFERROR(__xludf.DUMMYFUNCTION("""COMPUTED_VALUE"""),"Dr. Ali Zeeshan Ijaz")</f>
        <v>Dr. Ali Zeeshan Ijaz</v>
      </c>
    </row>
    <row r="46" spans="1:4">
      <c r="A46" s="1" t="str">
        <f ca="1">IFERROR(__xludf.DUMMYFUNCTION("""COMPUTED_VALUE"""),"F24-046-D-Nether'sGate")</f>
        <v>F24-046-D-Nether'sGate</v>
      </c>
      <c r="B46" s="1" t="str">
        <f ca="1">IFERROR(__xludf.DUMMYFUNCTION("""COMPUTED_VALUE"""),"EDI Connect")</f>
        <v>EDI Connect</v>
      </c>
      <c r="C46" s="2" t="str">
        <f ca="1">IFERROR(__xludf.DUMMYFUNCTION("""COMPUTED_VALUE"""),"Our project is focused on creating an automated system to handle Electronic Data Interchange (EDI) transactions between majorly approved standards worldwide. This involves automating the generation of mappings across various EDI standards and user-specifi"&amp;"c ERP systems, as well as enhancing user interaction through a user-friendly interface. 
1.  Identify EDI Standard  
2.  Generate Mapping Across Standards  
3.  Identify User-End ERP System  
4.  Generate Mapping Against the User ERP System  
5.  Store E"&amp;"DI Formats and Files Sent by the User  
6.  Generate Mapping Using LLMs/RAG  
7.  User-Friendly Interface  
8.  Data Preprocessing of EDI Files Sent by the User  
9.  Data Preprocessing of Standards for LLM Training  
10. EDI to JSON/XML Conversion for In"&amp;"creased User Understandability ")</f>
        <v xml:space="preserve">Our project is focused on creating an automated system to handle Electronic Data Interchange (EDI) transactions between majorly approved standards worldwide. This involves automating the generation of mappings across various EDI standards and user-specific ERP systems, as well as enhancing user interaction through a user-friendly interface. 
1.  Identify EDI Standard  
2.  Generate Mapping Across Standards  
3.  Identify User-End ERP System  
4.  Generate Mapping Against the User ERP System  
5.  Store EDI Formats and Files Sent by the User  
6.  Generate Mapping Using LLMs/RAG  
7.  User-Friendly Interface  
8.  Data Preprocessing of EDI Files Sent by the User  
9.  Data Preprocessing of Standards for LLM Training  
10. EDI to JSON/XML Conversion for Increased User Understandability </v>
      </c>
      <c r="D46" s="1" t="str">
        <f ca="1">IFERROR(__xludf.DUMMYFUNCTION("""COMPUTED_VALUE"""),"Dr. Muhammad Asim")</f>
        <v>Dr. Muhammad Asim</v>
      </c>
    </row>
    <row r="47" spans="1:4">
      <c r="A47" s="1" t="str">
        <f ca="1">IFERROR(__xludf.DUMMYFUNCTION("""COMPUTED_VALUE"""),"F24-047-D-ScholarChain")</f>
        <v>F24-047-D-ScholarChain</v>
      </c>
      <c r="B47" s="1" t="str">
        <f ca="1">IFERROR(__xludf.DUMMYFUNCTION("""COMPUTED_VALUE"""),"AI-Driven Student Loan System on the Blockchain")</f>
        <v>AI-Driven Student Loan System on the Blockchain</v>
      </c>
      <c r="C47" s="2" t="str">
        <f ca="1">IFERROR(__xludf.DUMMYFUNCTION("""COMPUTED_VALUE"""),"The project aims to develop an automated study lending system that offers interest-free loans to students, supported by social welfare entities through a crowd-sourced platform. By integrating blockchain technology, the system ensures a secure, transparen"&amp;"t, and tamper-proof lending process. Additionally, a language model (LLM) will be utilized to enhance the loan application experience, providing personalized assistance, automated customer support, and streamlined processes. This integration ensures stude"&amp;"nts can easily access loans without interest, with a focus on security, efficiency, and transparency, aligning with the mission of social welfare and educational empowerment.
Key Features:
1. Decentralized Verification: Leverages blockchain for secure, "&amp;"decentralized identity and eligibility verification, ensuring trust and transparency.
2. Immutable Ledger: Records all transactions on an unalterable blockchain ledger to maintain the integrity and transparency of the lending process.
3. Smart Contracts: "&amp;"Automates the execution of loan agreements and repayments through smart contracts, eliminating the need for intermediaries.
4. Automated Customer Support: Utilizes a language model to provide instant, AI-driven responses to common queries, significantly i"&amp;"mproving user experience and support efficiency.
5. Personalized Reimbursement Plan: Employs a language model to analyze individual financial situations and suggest customized repayment schedules, offering flexibility to students.
6. Loan Application Assi"&amp;"stance: Uses language models to guide students through the loan application process, helping them complete forms accurately and improving approval rates.
7. Risk Assessment: Leverages a language model to analyze borrower profiles and transaction history, "&amp;"enhancing the accuracy and effectiveness of risk assessment in loan disbursement.
8. Payment Scheduling: Automates payment reminders and schedules, ensuring timely repayments and reducing the burden on students.
9. Expense Tracking: Offers tools for stude"&amp;"nts to track their loan expenses, helping them manage their finances effectively.
10. Transparent Fund Allocation: Ensures donors can track the allocation of their contributions, fostering trust in the funding process.")</f>
        <v>The project aims to develop an automated study lending system that offers interest-free loans to students, supported by social welfare entities through a crowd-sourced platform. By integrating blockchain technology, the system ensures a secure, transparent, and tamper-proof lending process. Additionally, a language model (LLM) will be utilized to enhance the loan application experience, providing personalized assistance, automated customer support, and streamlined processes. This integration ensures students can easily access loans without interest, with a focus on security, efficiency, and transparency, aligning with the mission of social welfare and educational empowerment.
Key Features:
1. Decentralized Verification: Leverages blockchain for secure, decentralized identity and eligibility verification, ensuring trust and transparency.
2. Immutable Ledger: Records all transactions on an unalterable blockchain ledger to maintain the integrity and transparency of the lending process.
3. Smart Contracts: Automates the execution of loan agreements and repayments through smart contracts, eliminating the need for intermediaries.
4. Automated Customer Support: Utilizes a language model to provide instant, AI-driven responses to common queries, significantly improving user experience and support efficiency.
5. Personalized Reimbursement Plan: Employs a language model to analyze individual financial situations and suggest customized repayment schedules, offering flexibility to students.
6. Loan Application Assistance: Uses language models to guide students through the loan application process, helping them complete forms accurately and improving approval rates.
7. Risk Assessment: Leverages a language model to analyze borrower profiles and transaction history, enhancing the accuracy and effectiveness of risk assessment in loan disbursement.
8. Payment Scheduling: Automates payment reminders and schedules, ensuring timely repayments and reducing the burden on students.
9. Expense Tracking: Offers tools for students to track their loan expenses, helping them manage their finances effectively.
10. Transparent Fund Allocation: Ensures donors can track the allocation of their contributions, fostering trust in the funding process.</v>
      </c>
      <c r="D47" s="1" t="str">
        <f ca="1">IFERROR(__xludf.DUMMYFUNCTION("""COMPUTED_VALUE"""),"Dr. Muhammad Asim")</f>
        <v>Dr. Muhammad Asim</v>
      </c>
    </row>
    <row r="48" spans="1:4">
      <c r="A48" s="1" t="str">
        <f ca="1">IFERROR(__xludf.DUMMYFUNCTION("""COMPUTED_VALUE"""),"F24-048-D-unHinged")</f>
        <v>F24-048-D-unHinged</v>
      </c>
      <c r="B48" s="1" t="str">
        <f ca="1">IFERROR(__xludf.DUMMYFUNCTION("""COMPUTED_VALUE"""),"Mentally Unstable Patient escapes Mental Asylum.")</f>
        <v>Mentally Unstable Patient escapes Mental Asylum.</v>
      </c>
      <c r="C48" s="2" t="str">
        <f ca="1">IFERROR(__xludf.DUMMYFUNCTION("""COMPUTED_VALUE"""),"This project aims to develop a challenging, isometric survival game that delves into the psychological experience of a mentally unstable individual confined to a mental asylum. The game will emphasize procedural generation and immersive gameplay, offering"&amp;" a unique perspective on mental health and the struggle for survival.
Key Features:
1. Isometric Graphics: A visually distinct and immersive aesthetic.
2. Procedural Generation: Randomized maps and levels using Wave Collapse Function and Diamond-Square"&amp;" Algorithm for variety and replayability.
3. Fear Sensing AI: Intelligent enemies that can track the player's location based on their fear level.
4. Dynamic Lighting: A limited-time torch mechanicism that affects gameplay and procedural generation.
5. "&amp;"Short-Term Memory Loss: A gameplay mechanicism that simulates the challenges faced by individuals with mental health conditions.
6. Permanent Death Mode: A challenging difficulty level that adds to the game's tension and realism.
7. Non-Violent Theme: A"&amp;" focus on psychological horror and survival, avoiding aggression, violence and gore.
8. Mental Health Awareness: A platform to raise awareness about mental health issues and the challenges faced by those affected.
9. Exploration and Puzzle-Solving: A mi"&amp;"x of exploration and puzzle-solving elements to enhance the gameplay experience.
10. Immersive Sound Design: A haunting and atmospheric soundtrack to complement the game's theme.")</f>
        <v>This project aims to develop a challenging, isometric survival game that delves into the psychological experience of a mentally unstable individual confined to a mental asylum. The game will emphasize procedural generation and immersive gameplay, offering a unique perspective on mental health and the struggle for survival.
Key Features:
1. Isometric Graphics: A visually distinct and immersive aesthetic.
2. Procedural Generation: Randomized maps and levels using Wave Collapse Function and Diamond-Square Algorithm for variety and replayability.
3. Fear Sensing AI: Intelligent enemies that can track the player's location based on their fear level.
4. Dynamic Lighting: A limited-time torch mechanicism that affects gameplay and procedural generation.
5. Short-Term Memory Loss: A gameplay mechanicism that simulates the challenges faced by individuals with mental health conditions.
6. Permanent Death Mode: A challenging difficulty level that adds to the game's tension and realism.
7. Non-Violent Theme: A focus on psychological horror and survival, avoiding aggression, violence and gore.
8. Mental Health Awareness: A platform to raise awareness about mental health issues and the challenges faced by those affected.
9. Exploration and Puzzle-Solving: A mix of exploration and puzzle-solving elements to enhance the gameplay experience.
10. Immersive Sound Design: A haunting and atmospheric soundtrack to complement the game's theme.</v>
      </c>
      <c r="D48" s="1" t="str">
        <f ca="1">IFERROR(__xludf.DUMMYFUNCTION("""COMPUTED_VALUE"""),"Ms. Nirmal Tariq")</f>
        <v>Ms. Nirmal Tariq</v>
      </c>
    </row>
    <row r="49" spans="1:4">
      <c r="A49" s="1" t="str">
        <f ca="1">IFERROR(__xludf.DUMMYFUNCTION("""COMPUTED_VALUE"""),"F24-049-D-Instructo")</f>
        <v>F24-049-D-Instructo</v>
      </c>
      <c r="B49" s="1" t="str">
        <f ca="1">IFERROR(__xludf.DUMMYFUNCTION("""COMPUTED_VALUE"""),"AI powered educational video generation")</f>
        <v>AI powered educational video generation</v>
      </c>
      <c r="C49" s="2" t="str">
        <f ca="1">IFERROR(__xludf.DUMMYFUNCTION("""COMPUTED_VALUE"""),"We are developing an advanced educational platform powered by generative AI, designed to cater to the unique needs of visual learners. Traditional educational tools often lack customisation and interactivity, which can hinder effective learning for many s"&amp;"tudents. Our solution addresses these gaps by offering a fully customizable and engaging learning experience. These are some key features:
1. The application is available on both web and mobile platforms, ensuring easy access across devices.
2. Users can "&amp;"interact with the platform to receive tailored text or video content based on specific topics or types of questions they want to explore.
3. The platform generates video summaries and text explanations based on user prompts, enabling quick and effective l"&amp;"earning.
4. Custom quizzes are generated to test user knowledge, with progress tracking features to monitor improvement over time.
5. Videos can be downloaded and viewed offline, ensuring uninterrupted learning even without an internet connection.
6. Deta"&amp;"iled explanations for incorrect quiz answers help users understand their mistakes and learn effectively.
7. A robust login/logout system ensures that each user’s progress is securely saved and can be accessed anytime.")</f>
        <v>We are developing an advanced educational platform powered by generative AI, designed to cater to the unique needs of visual learners. Traditional educational tools often lack customisation and interactivity, which can hinder effective learning for many students. Our solution addresses these gaps by offering a fully customizable and engaging learning experience. These are some key features:
1. The application is available on both web and mobile platforms, ensuring easy access across devices.
2. Users can interact with the platform to receive tailored text or video content based on specific topics or types of questions they want to explore.
3. The platform generates video summaries and text explanations based on user prompts, enabling quick and effective learning.
4. Custom quizzes are generated to test user knowledge, with progress tracking features to monitor improvement over time.
5. Videos can be downloaded and viewed offline, ensuring uninterrupted learning even without an internet connection.
6. Detailed explanations for incorrect quiz answers help users understand their mistakes and learn effectively.
7. A robust login/logout system ensures that each user’s progress is securely saved and can be accessed anytime.</v>
      </c>
      <c r="D49" s="1" t="str">
        <f ca="1">IFERROR(__xludf.DUMMYFUNCTION("""COMPUTED_VALUE"""),"Dr. Muhammad Ishtiaq")</f>
        <v>Dr. Muhammad Ishtiaq</v>
      </c>
    </row>
    <row r="50" spans="1:4">
      <c r="A50" s="1" t="str">
        <f ca="1">IFERROR(__xludf.DUMMYFUNCTION("""COMPUTED_VALUE"""),"F24-050-D-Scholarly")</f>
        <v>F24-050-D-Scholarly</v>
      </c>
      <c r="B50" s="1" t="str">
        <f ca="1">IFERROR(__xludf.DUMMYFUNCTION("""COMPUTED_VALUE"""),"Scholarly: AI Driven Smart Learning Assistant")</f>
        <v>Scholarly: AI Driven Smart Learning Assistant</v>
      </c>
      <c r="C50" s="2" t="str">
        <f ca="1">IFERROR(__xludf.DUMMYFUNCTION("""COMPUTED_VALUE"""),"Scope:
	The project aims to develop an innovative educational app designed to revolutionize how students interact with and comprehend learning-based content. The app allows users to upload material and automatically generates a diverse range of assessment"&amp;"s, including multiple-choice questions (MCQs), fill-in-the-blank exercises, and true/false questions. These assessments are designed to reinforce learning and provide immediate feedback. The app also features an intelligent grading system that evaluates s"&amp;"tudent performance, highlights incorrect answers, and offers correct answers with detailed explanations, available in both AI-generated videos and summarized text formats. Additionally, the app is equipped with a feature that generates personalized learni"&amp;"ng roadmaps based on the uploaded content, supplemented by short, instructional videos to guide students through the material effectively. This project aims to enhance the learning experience by combining traditional study methods with cutting-edge AI tec"&amp;"hnology, making education more interactive, personalized, and efficient.
Features:
          User Dashboard and Analytics.
          Upload Book.
          Generate Key Assessments (MCQs, Fill in the Blank, True/False).
          Difficulty-Based Assessm"&amp;"ent Generation.
          Real-Time Assessment Evaluation.
          Performance Based Report Generation.
          AI Generated Explanations for Incorrect Answers.
          Content Based Roadmap Generation.
          AI-Generated Content Explanation.
  "&amp;"        Topic based AI Generated Learning Videos.
          User Authentication and Creation.
")</f>
        <v xml:space="preserve">Scope:
	The project aims to develop an innovative educational app designed to revolutionize how students interact with and comprehend learning-based content. The app allows users to upload material and automatically generates a diverse range of assessments, including multiple-choice questions (MCQs), fill-in-the-blank exercises, and true/false questions. These assessments are designed to reinforce learning and provide immediate feedback. The app also features an intelligent grading system that evaluates student performance, highlights incorrect answers, and offers correct answers with detailed explanations, available in both AI-generated videos and summarized text formats. Additionally, the app is equipped with a feature that generates personalized learning roadmaps based on the uploaded content, supplemented by short, instructional videos to guide students through the material effectively. This project aims to enhance the learning experience by combining traditional study methods with cutting-edge AI technology, making education more interactive, personalized, and efficient.
Features:
          User Dashboard and Analytics.
          Upload Book.
          Generate Key Assessments (MCQs, Fill in the Blank, True/False).
          Difficulty-Based Assessment Generation.
          Real-Time Assessment Evaluation.
          Performance Based Report Generation.
          AI Generated Explanations for Incorrect Answers.
          Content Based Roadmap Generation.
          AI-Generated Content Explanation.
          Topic based AI Generated Learning Videos.
          User Authentication and Creation.
</v>
      </c>
      <c r="D50" s="1" t="str">
        <f ca="1">IFERROR(__xludf.DUMMYFUNCTION("""COMPUTED_VALUE"""),"Dr. Asif Muhammad")</f>
        <v>Dr. Asif Muhammad</v>
      </c>
    </row>
    <row r="51" spans="1:4">
      <c r="A51" s="1" t="str">
        <f ca="1">IFERROR(__xludf.DUMMYFUNCTION("""COMPUTED_VALUE"""),"F24-051-D-ASLi")</f>
        <v>F24-051-D-ASLi</v>
      </c>
      <c r="B51" s="1" t="str">
        <f ca="1">IFERROR(__xludf.DUMMYFUNCTION("""COMPUTED_VALUE"""),"ASLi: A Real-Time ASL Interpreter for Inclusive Web Experiences")</f>
        <v>ASLi: A Real-Time ASL Interpreter for Inclusive Web Experiences</v>
      </c>
      <c r="C51" s="2" t="str">
        <f ca="1">IFERROR(__xludf.DUMMYFUNCTION("""COMPUTED_VALUE"""),"The proposed project aims to develop a browser extension or software application designed to enhance digital accessibility for the Deaf and hard-of-hearing community by providing real-time American Sign Language (ASL) interpretation of online content. The"&amp;" scope of the project includes translating website text, audio, and video content into ASL, which will be displayed through an animated 3D avatar that signs in real-time. The avatar will also convey emotional context via facial expressions and body and ha"&amp;"nd gestures, ensuring that users not only receive the information but also understand the underlying emotions. This project is poised to make the web more inclusive by bridging the communication gap for users who rely on sign language.
1- Real-Time ASL Tr"&amp;"anslation: Converts text, audio, and video content on web pages into ASL in real-time.
2- Animated 3D Avatar: A lifelike avatar that performs ASL signs, including hand gestures, facial expressions, and body language.
3- Emotion Detection: Integration of s"&amp;"entiment analysis to convey emotions through hand gestures and avatar expressions.
4- Speech-to-Text Integration: Converts audio content into text and then translates it into ASL.
5- Web Accessibility Compliance: Ensures compatibility with accessibility s"&amp;"tandards like WCAG to make the web more inclusive.
6- Cross-Browser Support: Compatible with major web browsers like Chrome, Firefox, and Edge.
7- User-Friendly Interface: Intuitive and accessible interface that allows easy interaction with the avatar.
8-"&amp;" NLP-Driven Contextual Understanding: Uses NLP to understand the context of text, identifying idiomatic expressions, colloquialisms, and complex sentence structures, ensuring accurate and contextually appropriate ASL translations.")</f>
        <v>The proposed project aims to develop a browser extension or software application designed to enhance digital accessibility for the Deaf and hard-of-hearing community by providing real-time American Sign Language (ASL) interpretation of online content. The scope of the project includes translating website text, audio, and video content into ASL, which will be displayed through an animated 3D avatar that signs in real-time. The avatar will also convey emotional context via facial expressions and body and hand gestures, ensuring that users not only receive the information but also understand the underlying emotions. This project is poised to make the web more inclusive by bridging the communication gap for users who rely on sign language.
1- Real-Time ASL Translation: Converts text, audio, and video content on web pages into ASL in real-time.
2- Animated 3D Avatar: A lifelike avatar that performs ASL signs, including hand gestures, facial expressions, and body language.
3- Emotion Detection: Integration of sentiment analysis to convey emotions through hand gestures and avatar expressions.
4- Speech-to-Text Integration: Converts audio content into text and then translates it into ASL.
5- Web Accessibility Compliance: Ensures compatibility with accessibility standards like WCAG to make the web more inclusive.
6- Cross-Browser Support: Compatible with major web browsers like Chrome, Firefox, and Edge.
7- User-Friendly Interface: Intuitive and accessible interface that allows easy interaction with the avatar.
8- NLP-Driven Contextual Understanding: Uses NLP to understand the context of text, identifying idiomatic expressions, colloquialisms, and complex sentence structures, ensuring accurate and contextually appropriate ASL translations.</v>
      </c>
      <c r="D51" s="1" t="str">
        <f ca="1">IFERROR(__xludf.DUMMYFUNCTION("""COMPUTED_VALUE"""),"Ms. Noor ul Ain")</f>
        <v>Ms. Noor ul Ain</v>
      </c>
    </row>
    <row r="52" spans="1:4">
      <c r="A52" s="1" t="str">
        <f ca="1">IFERROR(__xludf.DUMMYFUNCTION("""COMPUTED_VALUE"""),"F24-052-D-RethinkVC")</f>
        <v>F24-052-D-RethinkVC</v>
      </c>
      <c r="B52" s="1" t="str">
        <f ca="1">IFERROR(__xludf.DUMMYFUNCTION("""COMPUTED_VALUE"""),"Rethinking Version Control For Real Time Collaboration")</f>
        <v>Rethinking Version Control For Real Time Collaboration</v>
      </c>
      <c r="C52" s="2" t="str">
        <f ca="1">IFERROR(__xludf.DUMMYFUNCTION("""COMPUTED_VALUE"""),"The project will develop an advanced version control system that seamlessly integrates document or codebase management, designed to support real-time collaborative work across diverse teams. The system will provide sophisticated branching, merging, and co"&amp;"nflict resolution features, catering to both technical and non-technical users. It will offer detailed change tracking, comprehensive access controls, and streamlined rollback options, ensuring that all users can efficiently manage and synchronize their c"&amp;"ontributions. The scope includes creating an intuitive interface that simplifies complex versioning tasks, making it accessible for everyday document editing as well as complex software development projects.")</f>
        <v>The project will develop an advanced version control system that seamlessly integrates document or codebase management, designed to support real-time collaborative work across diverse teams. The system will provide sophisticated branching, merging, and conflict resolution features, catering to both technical and non-technical users. It will offer detailed change tracking, comprehensive access controls, and streamlined rollback options, ensuring that all users can efficiently manage and synchronize their contributions. The scope includes creating an intuitive interface that simplifies complex versioning tasks, making it accessible for everyday document editing as well as complex software development projects.</v>
      </c>
      <c r="D52" s="1" t="str">
        <f ca="1">IFERROR(__xludf.DUMMYFUNCTION("""COMPUTED_VALUE"""),"Dr. Muhammad Arshad Islam")</f>
        <v>Dr. Muhammad Arshad Islam</v>
      </c>
    </row>
    <row r="53" spans="1:4">
      <c r="A53" s="1" t="str">
        <f ca="1">IFERROR(__xludf.DUMMYFUNCTION("""COMPUTED_VALUE"""),"F24-053-D-VoiceGrocery")</f>
        <v>F24-053-D-VoiceGrocery</v>
      </c>
      <c r="B53" s="1" t="str">
        <f ca="1">IFERROR(__xludf.DUMMYFUNCTION("""COMPUTED_VALUE"""),"VoiceGrocery :Accessible shopping for visually impaired")</f>
        <v>VoiceGrocery :Accessible shopping for visually impaired</v>
      </c>
      <c r="C53" s="2" t="str">
        <f ca="1">IFERROR(__xludf.DUMMYFUNCTION("""COMPUTED_VALUE"""),"VoiceGrocery is a mobile application aimed at providing visually impaired individuals with a fully accessible and independent grocery shopping experience. The app leverages voice technology and virtual assistant integration to facilitate hands-free naviga"&amp;"tion, product search, and checkout. Users can interact with the app in either English or Urdu, catering to a broader audience, including those who are less educated or illiterate and may only be comfortable speaking Urdu. The project will be developed for"&amp;" both Android and iOS platforms, ensuring broad accessibility. Key development phases include research, design, core development, testing, and post-launch support. The app's functionality includes voice-activated navigation, real-time support, shopping li"&amp;"st management, and secure checkout, with a focus on user accessibility and data security.
Features:-
1. Voice-Activated navigation 
2. Virtual assistant integration 
3. Multiple language support 
4. Voice activated checkouts
5. Delivery and pickup options"&amp;" 
6. Accessibility (e.g Voice feedback, Text-to-speech)
7. Real time inventory and store integration 
8. Voice search and product browsing
9. Voice activated product verification
10. Voice activated discount notifications
11. Scanning product for verifica"&amp;"tion")</f>
        <v>VoiceGrocery is a mobile application aimed at providing visually impaired individuals with a fully accessible and independent grocery shopping experience. The app leverages voice technology and virtual assistant integration to facilitate hands-free navigation, product search, and checkout. Users can interact with the app in either English or Urdu, catering to a broader audience, including those who are less educated or illiterate and may only be comfortable speaking Urdu. The project will be developed for both Android and iOS platforms, ensuring broad accessibility. Key development phases include research, design, core development, testing, and post-launch support. The app's functionality includes voice-activated navigation, real-time support, shopping list management, and secure checkout, with a focus on user accessibility and data security.
Features:-
1. Voice-Activated navigation 
2. Virtual assistant integration 
3. Multiple language support 
4. Voice activated checkouts
5. Delivery and pickup options 
6. Accessibility (e.g Voice feedback, Text-to-speech)
7. Real time inventory and store integration 
8. Voice search and product browsing
9. Voice activated product verification
10. Voice activated discount notifications
11. Scanning product for verification</v>
      </c>
      <c r="D53" s="1" t="str">
        <f ca="1">IFERROR(__xludf.DUMMYFUNCTION("""COMPUTED_VALUE"""),"Ms. Marium Hida")</f>
        <v>Ms. Marium Hida</v>
      </c>
    </row>
    <row r="54" spans="1:4">
      <c r="A54" s="1" t="str">
        <f ca="1">IFERROR(__xludf.DUMMYFUNCTION("""COMPUTED_VALUE"""),"F24-054-D-IlmPath")</f>
        <v>F24-054-D-IlmPath</v>
      </c>
      <c r="B54" s="1" t="str">
        <f ca="1">IFERROR(__xludf.DUMMYFUNCTION("""COMPUTED_VALUE"""),"IlmPath")</f>
        <v>IlmPath</v>
      </c>
      <c r="C54" s="2" t="str">
        <f ca="1">IFERROR(__xludf.DUMMYFUNCTION("""COMPUTED_VALUE"""),"This project aims to develop a comprehensive application designed to enrich Quranic education through a suite of interactive tools and robust verification systems. The platform will offer users a variety of features to deepen their understanding and pract"&amp;"ical application of Quranic teachings. By incorporating advanced search functionalities, personalized learning experiences, and daily engagement tools, the app seeks to cater to diverse learning styles and preferences. It also emphasizes the importance of"&amp;" accurate recitation and offers guidance on proper Tajweed, ensuring users can confidently recite and comprehend the Quran. Overall, the application will serve as a valuable resource for anyone looking to enhance their Quranic knowledge and practice.
Fea"&amp;"tures
1. Surah / Ayah Finder
2. Qirat test
3. Quran Learning
4. Suggestion of relation Ayahs with respective topic
5. Ayah of the day – Play sequential recording of the Quran daily
6. Bookmark a Surah / Ayah
7. Make personal notes on any Surah / Ayah
8. Q"&amp;"uiz and Assessments")</f>
        <v>This project aims to develop a comprehensive application designed to enrich Quranic education through a suite of interactive tools and robust verification systems. The platform will offer users a variety of features to deepen their understanding and practical application of Quranic teachings. By incorporating advanced search functionalities, personalized learning experiences, and daily engagement tools, the app seeks to cater to diverse learning styles and preferences. It also emphasizes the importance of accurate recitation and offers guidance on proper Tajweed, ensuring users can confidently recite and comprehend the Quran. Overall, the application will serve as a valuable resource for anyone looking to enhance their Quranic knowledge and practice.
Features
1. Surah / Ayah Finder
2. Qirat test
3. Quran Learning
4. Suggestion of relation Ayahs with respective topic
5. Ayah of the day – Play sequential recording of the Quran daily
6. Bookmark a Surah / Ayah
7. Make personal notes on any Surah / Ayah
8. Quiz and Assessments</v>
      </c>
      <c r="D54" s="1" t="str">
        <f ca="1">IFERROR(__xludf.DUMMYFUNCTION("""COMPUTED_VALUE"""),"Dr. Asif Muhammad")</f>
        <v>Dr. Asif Muhammad</v>
      </c>
    </row>
    <row r="55" spans="1:4">
      <c r="A55" s="1" t="str">
        <f ca="1">IFERROR(__xludf.DUMMYFUNCTION("""COMPUTED_VALUE"""),"F24-055-D-EDIConnect")</f>
        <v>F24-055-D-EDIConnect</v>
      </c>
      <c r="B55" s="1" t="str">
        <f ca="1">IFERROR(__xludf.DUMMYFUNCTION("""COMPUTED_VALUE"""),"Enhanced Driver Assist")</f>
        <v>Enhanced Driver Assist</v>
      </c>
      <c r="C55" s="2" t="str">
        <f ca="1">IFERROR(__xludf.DUMMYFUNCTION("""COMPUTED_VALUE"""),"The Driver Monitoring and Assist System enhances driver safety and comfort by integrating real-time monitoring, AI-powered assistance, and edge computing to provide key vehicle safety features. It operates with minimal cloud reliance, ensuring rapid proce"&amp;"ssing on constrained devices.
Key Features:
1. Real-time lane detection and departure warnings.
2. Driving pattern identification and reports.
3. Driver attention monitoring via eye-tracking, face pose.
4. Voice-activated assistant for hands-free control"&amp;".
5. Active listening for rapid response to commands.
6. Hardware implementation with raspberry pi and coral tpu. 
7. Localized computation for fast, on-device processing.
8. Integration with OBD-II for vehicle and driver monitoring.
9. Customizable drive"&amp;"r profiles and preferences.")</f>
        <v>The Driver Monitoring and Assist System enhances driver safety and comfort by integrating real-time monitoring, AI-powered assistance, and edge computing to provide key vehicle safety features. It operates with minimal cloud reliance, ensuring rapid processing on constrained devices.
Key Features:
1. Real-time lane detection and departure warnings.
2. Driving pattern identification and reports.
3. Driver attention monitoring via eye-tracking, face pose.
4. Voice-activated assistant for hands-free control.
5. Active listening for rapid response to commands.
6. Hardware implementation with raspberry pi and coral tpu. 
7. Localized computation for fast, on-device processing.
8. Integration with OBD-II for vehicle and driver monitoring.
9. Customizable driver profiles and preferences.</v>
      </c>
      <c r="D55" s="1" t="str">
        <f ca="1">IFERROR(__xludf.DUMMYFUNCTION("""COMPUTED_VALUE"""),"Dr. Naveed Ahmad")</f>
        <v>Dr. Naveed Ahmad</v>
      </c>
    </row>
    <row r="56" spans="1:4">
      <c r="A56" s="1" t="str">
        <f ca="1">IFERROR(__xludf.DUMMYFUNCTION("""COMPUTED_VALUE"""),"F24-056-D-VRCrypticHunt")</f>
        <v>F24-056-D-VRCrypticHunt</v>
      </c>
      <c r="B56" s="1" t="str">
        <f ca="1">IFERROR(__xludf.DUMMYFUNCTION("""COMPUTED_VALUE"""),"Immersive Virtual Reality Scavenger Hunt with Encrypted Treasure Decryption")</f>
        <v>Immersive Virtual Reality Scavenger Hunt with Encrypted Treasure Decryption</v>
      </c>
      <c r="C56" s="2" t="str">
        <f ca="1">IFERROR(__xludf.DUMMYFUNCTION("""COMPUTED_VALUE"""),"The goal of this project is to create an engaging virtual reality (VR) treasure hunt game in which players must search and decipher a virtual environment in order to find hidden valuables. To accommodate players of all skill levels, the game will offer a "&amp;"rich and engaging world with changing degrees of complexity. Cryptographic techniques will be used to encrypt each prize, which players must decrypt and access through challenges or puzzles. In addition to including instructional components that teach pla"&amp;"yers to fundamental cryptography ideas, the project will prioritise providing a seamless user experience with realistic graphics and intuitive controls. The main goal is to develop an original and captivating virtual reality game that blends technology, e"&amp;"ducation, and adventure.
Features:
- Immersive VR environment providing a realistic and engaging experience
- Encrypted treasures using various cryptographic methods
- Puzzle-based decryption for accessing treasures
- Multiple levels of difficulty to ac"&amp;"commodate different skill levels
- Intuitive and user-friendly controls designed for VR
- Clue system to assist players in finding and decrypting treasures
- Dynamic sound and visual effects for enhanced immersion
- Leaderboard and achievements system to "&amp;"track progress and motivate players")</f>
        <v>The goal of this project is to create an engaging virtual reality (VR) treasure hunt game in which players must search and decipher a virtual environment in order to find hidden valuables. To accommodate players of all skill levels, the game will offer a rich and engaging world with changing degrees of complexity. Cryptographic techniques will be used to encrypt each prize, which players must decrypt and access through challenges or puzzles. In addition to including instructional components that teach players to fundamental cryptography ideas, the project will prioritise providing a seamless user experience with realistic graphics and intuitive controls. The main goal is to develop an original and captivating virtual reality game that blends technology, education, and adventure.
Features:
- Immersive VR environment providing a realistic and engaging experience
- Encrypted treasures using various cryptographic methods
- Puzzle-based decryption for accessing treasures
- Multiple levels of difficulty to accommodate different skill levels
- Intuitive and user-friendly controls designed for VR
- Clue system to assist players in finding and decrypting treasures
- Dynamic sound and visual effects for enhanced immersion
- Leaderboard and achievements system to track progress and motivate players</v>
      </c>
      <c r="D56" s="1" t="str">
        <f ca="1">IFERROR(__xludf.DUMMYFUNCTION("""COMPUTED_VALUE"""),"Ms. Rabail Zahid")</f>
        <v>Ms. Rabail Zahid</v>
      </c>
    </row>
    <row r="57" spans="1:4">
      <c r="A57" s="1" t="str">
        <f ca="1">IFERROR(__xludf.DUMMYFUNCTION("""COMPUTED_VALUE"""),"F24-057-D-ARch360")</f>
        <v>F24-057-D-ARch360</v>
      </c>
      <c r="B57" s="1" t="str">
        <f ca="1">IFERROR(__xludf.DUMMYFUNCTION("""COMPUTED_VALUE"""),"ARchitect360: Design &amp; Visualize")</f>
        <v>ARchitect360: Design &amp; Visualize</v>
      </c>
      <c r="C57" s="2" t="str">
        <f ca="1">IFERROR(__xludf.DUMMYFUNCTION("""COMPUTED_VALUE"""),"Project Scope:
The scope of the ""ARchitect360: Design &amp; Visualize"" project is to develop an Augmented Reality (AR) application that converts architectural Computer Aided Design (CAD) files into immersive 3D visualizations. This tool will allow clients "&amp;"to preview and customize their future homes or commercial spaces, ensuring that the final construction meets their expectations. The application will enhance communication between clients and construction professionals, reducing the risk of misalignment b"&amp;"etween design and execution, and offering a seamless and interactive design experience.
Key Features:
AR Visualization of CAD files into detailed 3D models.
Customization Options for elements like wall colors, tiles, and ceiling designs.
Real-Time Visua"&amp;"l Updates based on client selections.
GenAI-Powered Chatbot for expert design guidance.
AI Agent Suggestions based on design trends and client preferences.
Collaborative Tools for client-professional interaction within the AR environment.
Snapshot feature"&amp;" for design approval and feedback.
Backend Infrastructure for data storage and processing.
User Interface designed for intuitive navigation and ease of use.
")</f>
        <v xml:space="preserve">Project Scope:
The scope of the "ARchitect360: Design &amp; Visualize" project is to develop an Augmented Reality (AR) application that converts architectural Computer Aided Design (CAD) files into immersive 3D visualizations. This tool will allow clients to preview and customize their future homes or commercial spaces, ensuring that the final construction meets their expectations. The application will enhance communication between clients and construction professionals, reducing the risk of misalignment between design and execution, and offering a seamless and interactive design experience.
Key Features:
AR Visualization of CAD files into detailed 3D models.
Customization Options for elements like wall colors, tiles, and ceiling designs.
Real-Time Visual Updates based on client selections.
GenAI-Powered Chatbot for expert design guidance.
AI Agent Suggestions based on design trends and client preferences.
Collaborative Tools for client-professional interaction within the AR environment.
Snapshot feature for design approval and feedback.
Backend Infrastructure for data storage and processing.
User Interface designed for intuitive navigation and ease of use.
</v>
      </c>
      <c r="D57" s="1" t="str">
        <f ca="1">IFERROR(__xludf.DUMMYFUNCTION("""COMPUTED_VALUE"""),"Dr. Hasan Mujtaba")</f>
        <v>Dr. Hasan Mujtaba</v>
      </c>
    </row>
    <row r="58" spans="1:4">
      <c r="A58" s="1" t="str">
        <f ca="1">IFERROR(__xludf.DUMMYFUNCTION("""COMPUTED_VALUE"""),"F24-058-D-TalentVerify")</f>
        <v>F24-058-D-TalentVerify</v>
      </c>
      <c r="B58" s="1" t="str">
        <f ca="1">IFERROR(__xludf.DUMMYFUNCTION("""COMPUTED_VALUE"""),"AI based interviewer with enhanced soft skills mapping, fact checking and real-time cheater detection.")</f>
        <v>AI based interviewer with enhanced soft skills mapping, fact checking and real-time cheater detection.</v>
      </c>
      <c r="C58" s="2" t="str">
        <f ca="1">IFERROR(__xludf.DUMMYFUNCTION("""COMPUTED_VALUE"""),"Our AI-based interviewer, aims to revolutionize the recruitment process by providing an automated screening layer for companies receiving a high volume of candidate applications. This innovative tool utilizes artificial intelligence to conduct initial int"&amp;"erviews, assess candidate responses, and identify top talent, streamlining the hiring process and reducing the workload for HR professionals. The key features are:
1) Soft skill evaluation through audio and visual inputs.
2) Personalised resume behavioral"&amp;" questions.
3) Role-Sepecific technical questions
4) Answers Fact checking.
5) Follow up Questions
6) Cheating Detection
7) Interview Scheduling
8) Tone and Emotional Intelligence Analysis
")</f>
        <v xml:space="preserve">Our AI-based interviewer, aims to revolutionize the recruitment process by providing an automated screening layer for companies receiving a high volume of candidate applications. This innovative tool utilizes artificial intelligence to conduct initial interviews, assess candidate responses, and identify top talent, streamlining the hiring process and reducing the workload for HR professionals. The key features are:
1) Soft skill evaluation through audio and visual inputs.
2) Personalised resume behavioral questions.
3) Role-Sepecific technical questions
4) Answers Fact checking.
5) Follow up Questions
6) Cheating Detection
7) Interview Scheduling
8) Tone and Emotional Intelligence Analysis
</v>
      </c>
      <c r="D58" s="1" t="str">
        <f ca="1">IFERROR(__xludf.DUMMYFUNCTION("""COMPUTED_VALUE"""),"Ms. Saira Qamar")</f>
        <v>Ms. Saira Qamar</v>
      </c>
    </row>
    <row r="59" spans="1:4">
      <c r="A59" s="1" t="str">
        <f ca="1">IFERROR(__xludf.DUMMYFUNCTION("""COMPUTED_VALUE"""),"F24-059-D-AdInsight")</f>
        <v>F24-059-D-AdInsight</v>
      </c>
      <c r="B59" s="1" t="str">
        <f ca="1">IFERROR(__xludf.DUMMYFUNCTION("""COMPUTED_VALUE"""),"AdInsight: Comprehensive Analytics for Ad Performance and User Engagement Using Glance and Emotion Detection")</f>
        <v>AdInsight: Comprehensive Analytics for Ad Performance and User Engagement Using Glance and Emotion Detection</v>
      </c>
      <c r="C59" s="2" t="str">
        <f ca="1">IFERROR(__xludf.DUMMYFUNCTION("""COMPUTED_VALUE"""),"The project aims to develop an advanced software platform that seamlessly integrates with mobile apps and web pages through SDKs or browser extensions. The software is designed to detect and analyze both video and image-based advertisements, tracking user"&amp;" interaction by monitoring glances and engagement duration. It generates analytics of areas of interest and utilizes demographic data, emotion detection, and sentiment analysis to gauge user reactions. The platform offers comprehensive analytics, real-tim"&amp;"e feedback, and actionable insights for companies, ensuring continuous improvements in adverts.
Features:
1. Integration with mobile apps and web pages via SDKs or browser extensions.
2. Compliance with user permissions and privacy regulations.
3. Detect"&amp;"ion of video and image-based ads.
4. User interaction tracking through glance detection and engagement time measurement.
5. Demographic data extraction (age, gender, location).
6. Real-time emotion detection using facial recognition and sentiment analysis"&amp;".
7. Aggregation of data for comprehensive analytics (ad performance, user engagement, emotional responses).
8. Detailed reports and dashboards for companies with insights and optimization recommendations.
9. Continuous updates based on user and company f"&amp;"eedback to improve detection algorithms and analytics capabilities.
")</f>
        <v xml:space="preserve">The project aims to develop an advanced software platform that seamlessly integrates with mobile apps and web pages through SDKs or browser extensions. The software is designed to detect and analyze both video and image-based advertisements, tracking user interaction by monitoring glances and engagement duration. It generates analytics of areas of interest and utilizes demographic data, emotion detection, and sentiment analysis to gauge user reactions. The platform offers comprehensive analytics, real-time feedback, and actionable insights for companies, ensuring continuous improvements in adverts.
Features:
1. Integration with mobile apps and web pages via SDKs or browser extensions.
2. Compliance with user permissions and privacy regulations.
3. Detection of video and image-based ads.
4. User interaction tracking through glance detection and engagement time measurement.
5. Demographic data extraction (age, gender, location).
6. Real-time emotion detection using facial recognition and sentiment analysis.
7. Aggregation of data for comprehensive analytics (ad performance, user engagement, emotional responses).
8. Detailed reports and dashboards for companies with insights and optimization recommendations.
9. Continuous updates based on user and company feedback to improve detection algorithms and analytics capabilities.
</v>
      </c>
      <c r="D59" s="1" t="str">
        <f ca="1">IFERROR(__xludf.DUMMYFUNCTION("""COMPUTED_VALUE"""),"Dr. Muhammad Arshad Islam")</f>
        <v>Dr. Muhammad Arshad Islam</v>
      </c>
    </row>
    <row r="60" spans="1:4">
      <c r="A60" s="1" t="str">
        <f ca="1">IFERROR(__xludf.DUMMYFUNCTION("""COMPUTED_VALUE"""),"F24-060-D-SmartTutor")</f>
        <v>F24-060-D-SmartTutor</v>
      </c>
      <c r="B60" s="1" t="str">
        <f ca="1">IFERROR(__xludf.DUMMYFUNCTION("""COMPUTED_VALUE"""),"Smart Tutor: AI-Enhanced learning system ")</f>
        <v xml:space="preserve">Smart Tutor: AI-Enhanced learning system </v>
      </c>
      <c r="C60" s="2" t="str">
        <f ca="1">IFERROR(__xludf.DUMMYFUNCTION("""COMPUTED_VALUE"""),"The ""SmartTutors: AI-Enhanced Learning System"" is an innovative platform designed to enhance the learning experience by integrating artificial intelligence with human expertise. This hybrid system leverages AI to provide personalized and adaptive learni"&amp;"ng paths, ensuring that students receive the support they need based on their individual learning styles. The platform also fosters a collaborative environment through social learning communities and interactive tools that help students track their progre"&amp;"ss. Additionally, it features real-time emotional analytics to help tutors adjust their teaching strategies, making the learning experience more engaging and effective.
Key Features:
1. Hybrid AI-Human Tutoring System
2. AI-Driven Tutor Matching Based o"&amp;"n Learning Style
3. Interactive Learning Maps
4. Social Learning Communities
5. Real-Time Emotional Analytics
6. Personalized Learning Paths
7. Progress Tracking Tools
8. Collaborative Problem-Solving Platforms")</f>
        <v>The "SmartTutors: AI-Enhanced Learning System" is an innovative platform designed to enhance the learning experience by integrating artificial intelligence with human expertise. This hybrid system leverages AI to provide personalized and adaptive learning paths, ensuring that students receive the support they need based on their individual learning styles. The platform also fosters a collaborative environment through social learning communities and interactive tools that help students track their progress. Additionally, it features real-time emotional analytics to help tutors adjust their teaching strategies, making the learning experience more engaging and effective.
Key Features:
1. Hybrid AI-Human Tutoring System
2. AI-Driven Tutor Matching Based on Learning Style
3. Interactive Learning Maps
4. Social Learning Communities
5. Real-Time Emotional Analytics
6. Personalized Learning Paths
7. Progress Tracking Tools
8. Collaborative Problem-Solving Platforms</v>
      </c>
      <c r="D60" s="1" t="str">
        <f ca="1">IFERROR(__xludf.DUMMYFUNCTION("""COMPUTED_VALUE"""),"Ms. Nirmal Tariq")</f>
        <v>Ms. Nirmal Tariq</v>
      </c>
    </row>
    <row r="61" spans="1:4">
      <c r="A61" s="1" t="str">
        <f ca="1">IFERROR(__xludf.DUMMYFUNCTION("""COMPUTED_VALUE"""),"F24-061-D-CrimeSight")</f>
        <v>F24-061-D-CrimeSight</v>
      </c>
      <c r="B61" s="1" t="str">
        <f ca="1">IFERROR(__xludf.DUMMYFUNCTION("""COMPUTED_VALUE"""),"Crime Sight: Crime Detection and Reporting System")</f>
        <v>Crime Sight: Crime Detection and Reporting System</v>
      </c>
      <c r="C61" s="2" t="str">
        <f ca="1">IFERROR(__xludf.DUMMYFUNCTION("""COMPUTED_VALUE"""),"This application is mainly intended for shops and marts where there is the main danger of different crimes like: fighting, shoplifting, abuse, vandalism etc. There is a slight overlap with homeowners that want to protect their home and report any nefariou"&amp;"s activity to the relevant authorities. 
- Multi Class Crime Classification in Real Time
- Realtime multi cameras integration
- Crime Reporting to Relevant Authorities
- Creating Timeline for selected person
- Sending crime alerts to mobile application
"&amp;"- Easy sharing of video footage 
- Providing analytics from observed crime
- Allowing users to monitor remotely through mobile application
- Model retraining and learning
- Time-Lapse and Playback Controls")</f>
        <v>This application is mainly intended for shops and marts where there is the main danger of different crimes like: fighting, shoplifting, abuse, vandalism etc. There is a slight overlap with homeowners that want to protect their home and report any nefarious activity to the relevant authorities. 
- Multi Class Crime Classification in Real Time
- Realtime multi cameras integration
- Crime Reporting to Relevant Authorities
- Creating Timeline for selected person
- Sending crime alerts to mobile application
- Easy sharing of video footage 
- Providing analytics from observed crime
- Allowing users to monitor remotely through mobile application
- Model retraining and learning
- Time-Lapse and Playback Controls</v>
      </c>
      <c r="D61" s="1" t="str">
        <f ca="1">IFERROR(__xludf.DUMMYFUNCTION("""COMPUTED_VALUE"""),"Ms. Nirmal Tariq")</f>
        <v>Ms. Nirmal Tariq</v>
      </c>
    </row>
    <row r="62" spans="1:4">
      <c r="A62" s="1" t="str">
        <f ca="1">IFERROR(__xludf.DUMMYFUNCTION("""COMPUTED_VALUE"""),"F24-062-D-Napalm")</f>
        <v>F24-062-D-Napalm</v>
      </c>
      <c r="B62" s="1" t="str">
        <f ca="1">IFERROR(__xludf.DUMMYFUNCTION("""COMPUTED_VALUE"""),"Napalm - Web Creation Kit")</f>
        <v>Napalm - Web Creation Kit</v>
      </c>
      <c r="C62" s="2" t="str">
        <f ca="1">IFERROR(__xludf.DUMMYFUNCTION("""COMPUTED_VALUE"""),"The project involves developing a no-code website creation platform that enables users without technical backgrounds to build and manage single-page websites easily. The platform will offer pre-designed templates that users can customize through a form-ba"&amp;"sed interface, with real-time previews of their changes. It will also incorporate AI-driven content generation to create text and images based on user prompts, streamlining the website creation process. The initial scope focuses on single-page websites su"&amp;"itable for portfolios, landing pages, and small business sites, with an emphasis on simplicity and efficiency.
Key features of the software project:
1. User-friendly, form-based interface for website customization
2. Pre-designed template selection for v"&amp;"arious purposes
3. Real-time preview of website changes
4. AI-powered text generation for website content
6. AI-driven image creation based on user descriptions
7. Automatic HTML and CSS generation
8. Customization options for colours, fonts, and layout e"&amp;"lements
9. Option for advanced users to add custom HTML, CSS, or JavaScript")</f>
        <v>The project involves developing a no-code website creation platform that enables users without technical backgrounds to build and manage single-page websites easily. The platform will offer pre-designed templates that users can customize through a form-based interface, with real-time previews of their changes. It will also incorporate AI-driven content generation to create text and images based on user prompts, streamlining the website creation process. The initial scope focuses on single-page websites suitable for portfolios, landing pages, and small business sites, with an emphasis on simplicity and efficiency.
Key features of the software project:
1. User-friendly, form-based interface for website customization
2. Pre-designed template selection for various purposes
3. Real-time preview of website changes
4. AI-powered text generation for website content
6. AI-driven image creation based on user descriptions
7. Automatic HTML and CSS generation
8. Customization options for colours, fonts, and layout elements
9. Option for advanced users to add custom HTML, CSS, or JavaScript</v>
      </c>
      <c r="D62" s="1" t="str">
        <f ca="1">IFERROR(__xludf.DUMMYFUNCTION("""COMPUTED_VALUE"""),"Ms. Saira Qamar")</f>
        <v>Ms. Saira Qamar</v>
      </c>
    </row>
    <row r="63" spans="1:4">
      <c r="A63" s="1" t="str">
        <f ca="1">IFERROR(__xludf.DUMMYFUNCTION("""COMPUTED_VALUE"""),"F24-063-D-EDA")</f>
        <v>F24-063-D-EDA</v>
      </c>
      <c r="B63" s="1" t="str">
        <f ca="1">IFERROR(__xludf.DUMMYFUNCTION("""COMPUTED_VALUE"""),"Vocalink: Voice-Only Multilingual Document Editor With Real-Time AI Agents")</f>
        <v>Vocalink: Voice-Only Multilingual Document Editor With Real-Time AI Agents</v>
      </c>
      <c r="C63" s="2" t="str">
        <f ca="1">IFERROR(__xludf.DUMMYFUNCTION("""COMPUTED_VALUE"""),"Vocalink is an AI-powered text editor that lets you create documents by speaking naturally, just like having a conversation, while it seamlessly converts your speech into well-structured text. Imagine dictating to a professional writer who refines your ph"&amp;"rasing, fills in missing words, and comprehends your intent. This is particularly beneficial for individuals with neurodivergent conditions like ADHD, dyslexia, and dysgraphia, as it reduces the cognitive strain associated with conventional typing.
KEY F"&amp;"EATURES:
• Converts natural speech into well-structured text like dictating to a professional writer.
• Processes audio in real-time for seamless interaction during document creation.
• Uses advanced agents and Mixture of Experts (MoE) to reduce Word Err"&amp;"or Rate (WER) and enhance accuracy.
• Integrates a language model to understand intent, refine phrasing, and distinguish filler phrases from content.
• Enables command execution and corrections via natural spoken commands, ensuring a continuous workflow.
"&amp;"• Speeds up document creation by allowing users to speak faster than they type, enhancing productivity.
• Automatically formats text based on spoken instructions, streamlining document creation.
• Enhances writing for neurodivergent individuals by enablin"&amp;"g natural speech expression, reducing the cognitive load of typing and editing.")</f>
        <v>Vocalink is an AI-powered text editor that lets you create documents by speaking naturally, just like having a conversation, while it seamlessly converts your speech into well-structured text. Imagine dictating to a professional writer who refines your phrasing, fills in missing words, and comprehends your intent. This is particularly beneficial for individuals with neurodivergent conditions like ADHD, dyslexia, and dysgraphia, as it reduces the cognitive strain associated with conventional typing.
KEY FEATURES:
• Converts natural speech into well-structured text like dictating to a professional writer.
• Processes audio in real-time for seamless interaction during document creation.
• Uses advanced agents and Mixture of Experts (MoE) to reduce Word Error Rate (WER) and enhance accuracy.
• Integrates a language model to understand intent, refine phrasing, and distinguish filler phrases from content.
• Enables command execution and corrections via natural spoken commands, ensuring a continuous workflow.
• Speeds up document creation by allowing users to speak faster than they type, enhancing productivity.
• Automatically formats text based on spoken instructions, streamlining document creation.
• Enhances writing for neurodivergent individuals by enabling natural speech expression, reducing the cognitive load of typing and editing.</v>
      </c>
      <c r="D63" s="1" t="str">
        <f ca="1">IFERROR(__xludf.DUMMYFUNCTION("""COMPUTED_VALUE"""),"Dr. Faisal Cheema")</f>
        <v>Dr. Faisal Cheema</v>
      </c>
    </row>
    <row r="64" spans="1:4">
      <c r="A64" s="1" t="str">
        <f ca="1">IFERROR(__xludf.DUMMYFUNCTION("""COMPUTED_VALUE"""),"F24-064-D-DoctorAI")</f>
        <v>F24-064-D-DoctorAI</v>
      </c>
      <c r="B64" s="1" t="str">
        <f ca="1">IFERROR(__xludf.DUMMYFUNCTION("""COMPUTED_VALUE"""),"Leveraging Al to generate Naval Pattern of Life (POL) for Maritime Situational Awareness.")</f>
        <v>Leveraging Al to generate Naval Pattern of Life (POL) for Maritime Situational Awareness.</v>
      </c>
      <c r="C64" s="2" t="str">
        <f ca="1">IFERROR(__xludf.DUMMYFUNCTION("""COMPUTED_VALUE"""),"Project Description:
This project aims to develop an advanced Machine Learning-based system for the Pakistan Navy to analyze historical maritime surveillance data and generate a comprehensive Pattern of Life (POL) for maritime traffic within Pakistan's E"&amp;"xclusive Economic Zone (EEZ). The system will leverage data from various sensors, including Radar, AIS, and ELINT, to establish a normal baseline for both neutral and hostile traffic. By integrating these data sources into a unified Common Recognized Mari"&amp;"time Operating Picture (CRMOP), the system will enhance situational awareness and predictive capabilities, enabling more accurate and timely responses to deviations and potential threats. The project's scope includes data preprocessing, model training, re"&amp;"al-time prediction, and alert generation, all aimed at improving the operational effectiveness of maritime surveillance and defense.
Key Features:
Data Integration: Seamless integration of multiple sensor data sources (Radar, AIS, ELINT) for comprehensi"&amp;"ve maritime surveillance.
Historical Data Analysis: Processing and analysis of historical surveillance data to identify normal traffic patterns.
Pattern of Life (POL) Generation: Automated generation of a baseline POL for neutral and hostile maritime traf"&amp;"fic.
Anomaly Detection: Real-time detection of deviations from the established POL, triggering alerts for potential threats.
Predictive Analytics: Predicting future movement patterns of vessels based on historical data and POL.
User Interface: Interactive"&amp;" dashboard for monitoring, visualizing, and analyzing maritime traffic and anomalies.
Scalability: Ability to scale the system to handle large volumes of data and integrate additional sensor inputs.
Alert and Notification System: Automated alarms and noti"&amp;"fications for rapid response to identified anomalies.
Secure Data Handling: Implementation of security protocols to protect sensitive surveillance data.")</f>
        <v>Project Description:
This project aims to develop an advanced Machine Learning-based system for the Pakistan Navy to analyze historical maritime surveillance data and generate a comprehensive Pattern of Life (POL) for maritime traffic within Pakistan's Exclusive Economic Zone (EEZ). The system will leverage data from various sensors, including Radar, AIS, and ELINT, to establish a normal baseline for both neutral and hostile traffic. By integrating these data sources into a unified Common Recognized Maritime Operating Picture (CRMOP), the system will enhance situational awareness and predictive capabilities, enabling more accurate and timely responses to deviations and potential threats. The project's scope includes data preprocessing, model training, real-time prediction, and alert generation, all aimed at improving the operational effectiveness of maritime surveillance and defense.
Key Features:
Data Integration: Seamless integration of multiple sensor data sources (Radar, AIS, ELINT) for comprehensive maritime surveillance.
Historical Data Analysis: Processing and analysis of historical surveillance data to identify normal traffic patterns.
Pattern of Life (POL) Generation: Automated generation of a baseline POL for neutral and hostile maritime traffic.
Anomaly Detection: Real-time detection of deviations from the established POL, triggering alerts for potential threats.
Predictive Analytics: Predicting future movement patterns of vessels based on historical data and POL.
User Interface: Interactive dashboard for monitoring, visualizing, and analyzing maritime traffic and anomalies.
Scalability: Ability to scale the system to handle large volumes of data and integrate additional sensor inputs.
Alert and Notification System: Automated alarms and notifications for rapid response to identified anomalies.
Secure Data Handling: Implementation of security protocols to protect sensitive surveillance data.</v>
      </c>
      <c r="D64" s="1" t="str">
        <f ca="1">IFERROR(__xludf.DUMMYFUNCTION("""COMPUTED_VALUE"""),"Dr. Asif Muhammad")</f>
        <v>Dr. Asif Muhammad</v>
      </c>
    </row>
    <row r="65" spans="1:4">
      <c r="A65" s="1" t="str">
        <f ca="1">IFERROR(__xludf.DUMMYFUNCTION("""COMPUTED_VALUE"""),"F24-065-D-SceneCraft")</f>
        <v>F24-065-D-SceneCraft</v>
      </c>
      <c r="B65" s="1" t="str">
        <f ca="1">IFERROR(__xludf.DUMMYFUNCTION("""COMPUTED_VALUE"""),"SceneCraft")</f>
        <v>SceneCraft</v>
      </c>
      <c r="C65" s="2" t="str">
        <f ca="1">IFERROR(__xludf.DUMMYFUNCTION("""COMPUTED_VALUE"""),"The L-M-5 Script Writer is an AI-powered chatbot designed to assist screenplay and book writers in developing their scripts and stories. This innovative tool aims to streamline the writing process by offering a range of features that support ideation, cha"&amp;"racter development, and script analysis. The project's scope encompasses the creation of an intelligent assistant capable of generating character personalities, completing partial scripts, analyzing existing scripts, identifying potential conflicts, and a"&amp;"utomatically tagging script elements. Additionally, the L-M-5 Script Writer will extend its capabilities to aid in character image generation, adapting books into screenplays, and assisting with general book writing tasks.
Key features of the L-M-5 Scrip"&amp;"t Writer:
1. Character personality writing - generates unique character profiles and personalities
2. Auto-complete functionality (by signature) - predicts and suggests content based on the writer's style
3. Script analysis tools - analyzes and provides "&amp;"feedback on script structure, pacing, dialogue, etc.
4. Conflicts searching and identification - identifies and suggests potential conflicts to enhance the story
5. Automatic elements tagging in scripts - automatically tags characters, locations, props an"&amp;"d other script elements
6. Character image generation - creates visual character designs based on descriptions 
7. Book to screenplay adaptation assistance - converts a book draft into a formatted screenplay
8. Book writing support - assists in writing or"&amp;"iginal book content in addition to scripts
9. AI-powered chatbot interface for user interaction
10. Customizable writing prompts and suggestions based on user input")</f>
        <v>The L-M-5 Script Writer is an AI-powered chatbot designed to assist screenplay and book writers in developing their scripts and stories. This innovative tool aims to streamline the writing process by offering a range of features that support ideation, character development, and script analysis. The project's scope encompasses the creation of an intelligent assistant capable of generating character personalities, completing partial scripts, analyzing existing scripts, identifying potential conflicts, and automatically tagging script elements. Additionally, the L-M-5 Script Writer will extend its capabilities to aid in character image generation, adapting books into screenplays, and assisting with general book writing tasks.
Key features of the L-M-5 Script Writer:
1. Character personality writing - generates unique character profiles and personalities
2. Auto-complete functionality (by signature) - predicts and suggests content based on the writer's style
3. Script analysis tools - analyzes and provides feedback on script structure, pacing, dialogue, etc.
4. Conflicts searching and identification - identifies and suggests potential conflicts to enhance the story
5. Automatic elements tagging in scripts - automatically tags characters, locations, props and other script elements
6. Character image generation - creates visual character designs based on descriptions 
7. Book to screenplay adaptation assistance - converts a book draft into a formatted screenplay
8. Book writing support - assists in writing original book content in addition to scripts
9. AI-powered chatbot interface for user interaction
10. Customizable writing prompts and suggestions based on user input</v>
      </c>
      <c r="D65" s="1" t="str">
        <f ca="1">IFERROR(__xludf.DUMMYFUNCTION("""COMPUTED_VALUE"""),"Mr. M Aamir Gulzar")</f>
        <v>Mr. M Aamir Gulzar</v>
      </c>
    </row>
    <row r="66" spans="1:4">
      <c r="A66" s="1" t="str">
        <f ca="1">IFERROR(__xludf.DUMMYFUNCTION("""COMPUTED_VALUE"""),"F24-066-D-LearnScape")</f>
        <v>F24-066-D-LearnScape</v>
      </c>
      <c r="B66" s="1" t="str">
        <f ca="1">IFERROR(__xludf.DUMMYFUNCTION("""COMPUTED_VALUE"""),"Exploring Knowledge in VR World")</f>
        <v>Exploring Knowledge in VR World</v>
      </c>
      <c r="C66" s="2" t="str">
        <f ca="1">IFERROR(__xludf.DUMMYFUNCTION("""COMPUTED_VALUE"""),"This project creates an immersive VR learning platform that enhances educational experiences by integrating interactive environments and real-time AI support. It allows students to engage with educational content in a virtual setting, where they can inter"&amp;"act with simulated elements and receive personalized assistance through an AI-driven backend, making learning more engaging and responsive to individual needs.
Key Features:
3D Virtual Classroom
Teacher Avatar Simulation
Interactive Virtual Board
Real-Ti"&amp;"me Q&amp;A
Contextual Understanding of AI
Voice and Text Input for questioning
Feedback System
Progress Tracking")</f>
        <v>This project creates an immersive VR learning platform that enhances educational experiences by integrating interactive environments and real-time AI support. It allows students to engage with educational content in a virtual setting, where they can interact with simulated elements and receive personalized assistance through an AI-driven backend, making learning more engaging and responsive to individual needs.
Key Features:
3D Virtual Classroom
Teacher Avatar Simulation
Interactive Virtual Board
Real-Time Q&amp;A
Contextual Understanding of AI
Voice and Text Input for questioning
Feedback System
Progress Tracking</v>
      </c>
      <c r="D66" s="1" t="str">
        <f ca="1">IFERROR(__xludf.DUMMYFUNCTION("""COMPUTED_VALUE"""),"Ms. Noor ul Ain")</f>
        <v>Ms. Noor ul Ain</v>
      </c>
    </row>
    <row r="67" spans="1:4">
      <c r="A67" s="1" t="str">
        <f ca="1">IFERROR(__xludf.DUMMYFUNCTION("""COMPUTED_VALUE"""),"F24-067-D-TerraVerse3D")</f>
        <v>F24-067-D-TerraVerse3D</v>
      </c>
      <c r="B67" s="1" t="str">
        <f ca="1">IFERROR(__xludf.DUMMYFUNCTION("""COMPUTED_VALUE"""),"Immersive Landscape Experiences")</f>
        <v>Immersive Landscape Experiences</v>
      </c>
      <c r="C67" s="2" t="str">
        <f ca="1">IFERROR(__xludf.DUMMYFUNCTION("""COMPUTED_VALUE"""),"The project, ""TerraVerse 3D"" is an innovative exploration of Virtual Reality (VR) technology, focusing on creating immersive and interactive environments. By leveraging generative AI and advanced image/video processing techniques, the project aims to tr"&amp;"ansform video footage into detailed 3D models, offering users a unique and engaging experience. The application will blend cutting-edge VR capabilities with real-time data visualization, making it a versatile tool for various applications where virtual en"&amp;"vironments are key. The project will push the boundaries of how virtual spaces are created and experienced, providing a glimpse into the future of digital interaction and visualization.
1. 360-Degree Exploration: Full 3D immersive view
2. Real-Time Updat"&amp;"es: Dynamic visualization of design changes
3. Customizable Views: Switch between design options and times of day.
4. Easy Navigation: Intuitive controls for VR and standard devices.
5. High-Quality Graphics: Realistic rendering of landscapes and structur"&amp;"es.
6. Architectural Integration: Visualize buildings within the landscape.
7. Annotation Tools: Get feedbacks")</f>
        <v>The project, "TerraVerse 3D" is an innovative exploration of Virtual Reality (VR) technology, focusing on creating immersive and interactive environments. By leveraging generative AI and advanced image/video processing techniques, the project aims to transform video footage into detailed 3D models, offering users a unique and engaging experience. The application will blend cutting-edge VR capabilities with real-time data visualization, making it a versatile tool for various applications where virtual environments are key. The project will push the boundaries of how virtual spaces are created and experienced, providing a glimpse into the future of digital interaction and visualization.
1. 360-Degree Exploration: Full 3D immersive view
2. Real-Time Updates: Dynamic visualization of design changes
3. Customizable Views: Switch between design options and times of day.
4. Easy Navigation: Intuitive controls for VR and standard devices.
5. High-Quality Graphics: Realistic rendering of landscapes and structures.
6. Architectural Integration: Visualize buildings within the landscape.
7. Annotation Tools: Get feedbacks</v>
      </c>
      <c r="D67" s="1" t="str">
        <f ca="1">IFERROR(__xludf.DUMMYFUNCTION("""COMPUTED_VALUE"""),"Ms. Noor ul Ain")</f>
        <v>Ms. Noor ul Ain</v>
      </c>
    </row>
    <row r="68" spans="1:4">
      <c r="A68" s="1" t="str">
        <f ca="1">IFERROR(__xludf.DUMMYFUNCTION("""COMPUTED_VALUE"""),"F24-068-D-StockPredict")</f>
        <v>F24-068-D-StockPredict</v>
      </c>
      <c r="B68" s="1" t="str">
        <f ca="1">IFERROR(__xludf.DUMMYFUNCTION("""COMPUTED_VALUE"""),"Stock Price Forecasting With Machine Learning and Sentiment Analysis")</f>
        <v>Stock Price Forecasting With Machine Learning and Sentiment Analysis</v>
      </c>
      <c r="C68" s="2" t="str">
        <f ca="1">IFERROR(__xludf.DUMMYFUNCTION("""COMPUTED_VALUE"""),"We plan on creating a FinTech Web App which will utilitize Machine Learning (DLSTM/CNN Models), Sentiment Analysis (Social Media sentiment aggregation) and data from Financial APIs to forecast stock prices to a certain extent which will give a high probab"&amp;"ility of generating positive returns.
1. Sleek Web interface
2. Postgres/Redis Databases
3. Flask/Gunicorn backend
4. VPS + Cloudflare hosting/reverse proxies
5. Multi modal Price Forecasting With CNNs
6. DLSTM incorporation
7. Sentiment Analysis to prov"&amp;"ide bias
8. Independent feature weightage selection
9. Interface to trade based on stock price prediction ")</f>
        <v xml:space="preserve">We plan on creating a FinTech Web App which will utilitize Machine Learning (DLSTM/CNN Models), Sentiment Analysis (Social Media sentiment aggregation) and data from Financial APIs to forecast stock prices to a certain extent which will give a high probability of generating positive returns.
1. Sleek Web interface
2. Postgres/Redis Databases
3. Flask/Gunicorn backend
4. VPS + Cloudflare hosting/reverse proxies
5. Multi modal Price Forecasting With CNNs
6. DLSTM incorporation
7. Sentiment Analysis to provide bias
8. Independent feature weightage selection
9. Interface to trade based on stock price prediction </v>
      </c>
      <c r="D68" s="1" t="str">
        <f ca="1">IFERROR(__xludf.DUMMYFUNCTION("""COMPUTED_VALUE"""),"Dr. Fehmida Usmani")</f>
        <v>Dr. Fehmida Usmani</v>
      </c>
    </row>
    <row r="69" spans="1:4">
      <c r="A69" s="1" t="str">
        <f ca="1">IFERROR(__xludf.DUMMYFUNCTION("""COMPUTED_VALUE"""),"F24-069-D-VocaLink")</f>
        <v>F24-069-D-VocaLink</v>
      </c>
      <c r="B69" s="1" t="str">
        <f ca="1">IFERROR(__xludf.DUMMYFUNCTION("""COMPUTED_VALUE"""),"EDBOT: Crafting Smart Lessons and Quizzes with AI Magic for Next-Level Learning Adventures")</f>
        <v>EDBOT: Crafting Smart Lessons and Quizzes with AI Magic for Next-Level Learning Adventures</v>
      </c>
      <c r="C69" s="2" t="str">
        <f ca="1">IFERROR(__xludf.DUMMYFUNCTION("""COMPUTED_VALUE"""),"EDBOT is an AI-driven system aimed at automating educational content creation and assessment generation. Its scope includes modules for data collection, content generation, assessments, grading, user interface, and deployment. The objectives are to stream"&amp;"line the creation of personalized educational materials, implement adaptive grading, and maintain content consistency. Key stakeholders include educational institutions, teachers, students, and developers. Tools and technologies involve training GPT-4, Mi"&amp;"stral-7B etc for content, PyTorch for training, Hugging Face for NLP, and image generation models. Constraints include curriculum relevance, scalability, and user customization. EDBOT addresses manual content creation challenges through research-driven AI"&amp;" and computer science techniques, solving problems related to efficiency, quality, and adaptability.
KEY-FEATURES:-
Automated PowerPoint slide creation with content and images.
Adaptive assessment generation (MCQs, true/false, short answers).
Difficulty-b"&amp;"ased question categorization.
Threshold-based grading system for personalized feedback.
NLP-based curriculum alignment.
Multi-format export options (PDF, PPTX, DOCX).
Real-time AI-powered student feedback.
Collaborative platform for teachers and students."&amp;"
Seamless integration with LMS platforms.")</f>
        <v>EDBOT is an AI-driven system aimed at automating educational content creation and assessment generation. Its scope includes modules for data collection, content generation, assessments, grading, user interface, and deployment. The objectives are to streamline the creation of personalized educational materials, implement adaptive grading, and maintain content consistency. Key stakeholders include educational institutions, teachers, students, and developers. Tools and technologies involve training GPT-4, Mistral-7B etc for content, PyTorch for training, Hugging Face for NLP, and image generation models. Constraints include curriculum relevance, scalability, and user customization. EDBOT addresses manual content creation challenges through research-driven AI and computer science techniques, solving problems related to efficiency, quality, and adaptability.
KEY-FEATURES:-
Automated PowerPoint slide creation with content and images.
Adaptive assessment generation (MCQs, true/false, short answers).
Difficulty-based question categorization.
Threshold-based grading system for personalized feedback.
NLP-based curriculum alignment.
Multi-format export options (PDF, PPTX, DOCX).
Real-time AI-powered student feedback.
Collaborative platform for teachers and students.
Seamless integration with LMS platforms.</v>
      </c>
      <c r="D69" s="1" t="str">
        <f ca="1">IFERROR(__xludf.DUMMYFUNCTION("""COMPUTED_VALUE"""),"Dr. Faisal Cheema")</f>
        <v>Dr. Faisal Cheema</v>
      </c>
    </row>
    <row r="70" spans="1:4">
      <c r="A70" s="1" t="str">
        <f ca="1">IFERROR(__xludf.DUMMYFUNCTION("""COMPUTED_VALUE"""),"F24-070-D-InsightVision")</f>
        <v>F24-070-D-InsightVision</v>
      </c>
      <c r="B70" s="1" t="str">
        <f ca="1">IFERROR(__xludf.DUMMYFUNCTION("""COMPUTED_VALUE"""),"AI-Driven Video Summarization and Event Detection Using Neural Networks and Large Language Models")</f>
        <v>AI-Driven Video Summarization and Event Detection Using Neural Networks and Large Language Models</v>
      </c>
      <c r="C70" s="2" t="str">
        <f ca="1">IFERROR(__xludf.DUMMYFUNCTION("""COMPUTED_VALUE"""),"The primary objective of this project is to develop an AI-powered CCTV summarization solution that processes video footage, identifies key actions and events, and generates a concise summary containing only the most important clips along with a textual su"&amp;"mmary with timestamps. This system will improve the efficiency of CCTV monitoring by providing quick access to essential moments, reducing the time spent on reviewing footage.
Key Features:
- Automated Video Chunking
- Advanced Action Recognition
- Times"&amp;"tamp Generation
- Contextual Analysis with LLM
- Dynamic Clip Extraction
- Summarized Video Compilation
- Automated Report Generation
- User Interface for Upload and Review")</f>
        <v>The primary objective of this project is to develop an AI-powered CCTV summarization solution that processes video footage, identifies key actions and events, and generates a concise summary containing only the most important clips along with a textual summary with timestamps. This system will improve the efficiency of CCTV monitoring by providing quick access to essential moments, reducing the time spent on reviewing footage.
Key Features:
- Automated Video Chunking
- Advanced Action Recognition
- Timestamp Generation
- Contextual Analysis with LLM
- Dynamic Clip Extraction
- Summarized Video Compilation
- Automated Report Generation
- User Interface for Upload and Review</v>
      </c>
      <c r="D70" s="1" t="str">
        <f ca="1">IFERROR(__xludf.DUMMYFUNCTION("""COMPUTED_VALUE"""),"Ms. Nirmal Tariq")</f>
        <v>Ms. Nirmal Tariq</v>
      </c>
    </row>
    <row r="71" spans="1:4">
      <c r="A71" s="1" t="str">
        <f ca="1">IFERROR(__xludf.DUMMYFUNCTION("""COMPUTED_VALUE"""),"F24-071-D-LiDRR")</f>
        <v>F24-071-D-LiDRR</v>
      </c>
      <c r="B71" s="1" t="str">
        <f ca="1">IFERROR(__xludf.DUMMYFUNCTION("""COMPUTED_VALUE"""),"LiDAR-Sensor based Road Rutting measurement")</f>
        <v>LiDAR-Sensor based Road Rutting measurement</v>
      </c>
      <c r="C71" s="2" t="str">
        <f ca="1">IFERROR(__xludf.DUMMYFUNCTION("""COMPUTED_VALUE"""),"This project involves the installation of LiDAR sensors on vehicles to detect and
measure road rutting. Road rutting refers to the depressions or grooves that
form in the wheel paths of a roadway due to constant traffic. By using Mobile
LiDAR Systems, the"&amp;" project captures detailed point cloud data, which is then
analyzed to identify and quantify the extent of rutting. This approach provides
high-precision measurements and enables continuous monitoring of road
conditions, helping in timely maintenance and "&amp;"improving road safety.
1- The project includes work both on the hardware and software sides.
2- It uses LiDAR sensors to create a point cloud of the environment.
3- The project uses image processing techniques to identify rutting.
4- It involves real-tim"&amp;"e detection and measurement of the rutting.
5- It involves detection of cracks and pot-holes on the road.
6- The project uses location services to geo-tag the data.
7- It incorporates crowd-sensing technologies to broadcast real-time data to be used and u"&amp;"pdated by multiple agents.
8- The data can be accessed by other agents and people concerned, in real-time over the internet.")</f>
        <v>This project involves the installation of LiDAR sensors on vehicles to detect and
measure road rutting. Road rutting refers to the depressions or grooves that
form in the wheel paths of a roadway due to constant traffic. By using Mobile
LiDAR Systems, the project captures detailed point cloud data, which is then
analyzed to identify and quantify the extent of rutting. This approach provides
high-precision measurements and enables continuous monitoring of road
conditions, helping in timely maintenance and improving road safety.
1- The project includes work both on the hardware and software sides.
2- It uses LiDAR sensors to create a point cloud of the environment.
3- The project uses image processing techniques to identify rutting.
4- It involves real-time detection and measurement of the rutting.
5- It involves detection of cracks and pot-holes on the road.
6- The project uses location services to geo-tag the data.
7- It incorporates crowd-sensing technologies to broadcast real-time data to be used and updated by multiple agents.
8- The data can be accessed by other agents and people concerned, in real-time over the internet.</v>
      </c>
      <c r="D71" s="1" t="str">
        <f ca="1">IFERROR(__xludf.DUMMYFUNCTION("""COMPUTED_VALUE"""),"Dr. Hammad Majeed")</f>
        <v>Dr. Hammad Majeed</v>
      </c>
    </row>
    <row r="72" spans="1:4">
      <c r="A72" s="1" t="str">
        <f ca="1">IFERROR(__xludf.DUMMYFUNCTION("""COMPUTED_VALUE"""),"F24-072-D-AIMaritimeAwareness")</f>
        <v>F24-072-D-AIMaritimeAwareness</v>
      </c>
      <c r="B72" s="1" t="str">
        <f ca="1">IFERROR(__xludf.DUMMYFUNCTION("""COMPUTED_VALUE"""),"Real Time Safe Path Finder For Tourism")</f>
        <v>Real Time Safe Path Finder For Tourism</v>
      </c>
      <c r="C72" s="2" t="str">
        <f ca="1">IFERROR(__xludf.DUMMYFUNCTION("""COMPUTED_VALUE"""),"The ""Real-Time Safe Path Finder for Tourism"" project seeks to develop an innovative system designed to enhance tourist safety by leveraging real-time social media data. This system will analyze posts and updates related to natural hazards, security inci"&amp;"dents, and other safety concerns to dynamically evaluate and recommend safe travel routes. By integrating this information, the system helps tourists navigate potential dangers, avoid hazardous areas, and make informed decisions for a more secure and enjo"&amp;"yable travel experience.
Key Features:
Real-time monitoring of social media platforms for safety-related posts.
Dynamic route assessment based on recent updates and hazard reports.
Customizable safety alerts for specific areas or travel routes.
Interacti"&amp;"ve map integration showing safe and unsafe zones.
Historical data analysis to predict potential risk patterns.
User feedback system to validate and improve safety recommendations.
Integration with GPS for real-time navigation guidance.
Emergency contact f"&amp;"eatures for quick assistance.")</f>
        <v>The "Real-Time Safe Path Finder for Tourism" project seeks to develop an innovative system designed to enhance tourist safety by leveraging real-time social media data. This system will analyze posts and updates related to natural hazards, security incidents, and other safety concerns to dynamically evaluate and recommend safe travel routes. By integrating this information, the system helps tourists navigate potential dangers, avoid hazardous areas, and make informed decisions for a more secure and enjoyable travel experience.
Key Features:
Real-time monitoring of social media platforms for safety-related posts.
Dynamic route assessment based on recent updates and hazard reports.
Customizable safety alerts for specific areas or travel routes.
Interactive map integration showing safe and unsafe zones.
Historical data analysis to predict potential risk patterns.
User feedback system to validate and improve safety recommendations.
Integration with GPS for real-time navigation guidance.
Emergency contact features for quick assistance.</v>
      </c>
      <c r="D72" s="1" t="str">
        <f ca="1">IFERROR(__xludf.DUMMYFUNCTION("""COMPUTED_VALUE"""),"Dr. Amna Basharat")</f>
        <v>Dr. Amna Basharat</v>
      </c>
    </row>
    <row r="73" spans="1:4">
      <c r="A73" s="1" t="str">
        <f ca="1">IFERROR(__xludf.DUMMYFUNCTION("""COMPUTED_VALUE"""),"F24-073-D-EDBot")</f>
        <v>F24-073-D-EDBot</v>
      </c>
      <c r="B73" s="1" t="str">
        <f ca="1">IFERROR(__xludf.DUMMYFUNCTION("""COMPUTED_VALUE"""),"Doctor Ai - virtual psychologist. ")</f>
        <v xml:space="preserve">Doctor Ai - virtual psychologist. </v>
      </c>
      <c r="C73" s="2" t="str">
        <f ca="1">IFERROR(__xludf.DUMMYFUNCTION("""COMPUTED_VALUE"""),"The ""Ai driven mental health web app"" named Doctor AI is a user-friendly online platform designed to make mental health support more accessible and personalized. By leveraging advanced NLP and AI, this system functions as a virtual psychologist. It feat"&amp;"ures an intelligent chatbot capable of performing initial mental health assessments, offering guidance, and providing conversational support. Additionally, a recommendation engine helps users find tailored mental health resources and connect with professi"&amp;"onals. With a focus on privacy and ease of use, this platform aims to be a reliable and comprehensive tool for anyone seeking mental health assistance.")</f>
        <v>The "Ai driven mental health web app" named Doctor AI is a user-friendly online platform designed to make mental health support more accessible and personalized. By leveraging advanced NLP and AI, this system functions as a virtual psychologist. It features an intelligent chatbot capable of performing initial mental health assessments, offering guidance, and providing conversational support. Additionally, a recommendation engine helps users find tailored mental health resources and connect with professionals. With a focus on privacy and ease of use, this platform aims to be a reliable and comprehensive tool for anyone seeking mental health assistance.</v>
      </c>
      <c r="D73" s="1" t="str">
        <f ca="1">IFERROR(__xludf.DUMMYFUNCTION("""COMPUTED_VALUE"""),"Dr. Asif Muhammad")</f>
        <v>Dr. Asif Muhammad</v>
      </c>
    </row>
    <row r="74" spans="1:4">
      <c r="A74" s="1" t="str">
        <f ca="1">IFERROR(__xludf.DUMMYFUNCTION("""COMPUTED_VALUE"""),"F24-074-D-DiagnoVision")</f>
        <v>F24-074-D-DiagnoVision</v>
      </c>
      <c r="B74" s="1" t="str">
        <f ca="1">IFERROR(__xludf.DUMMYFUNCTION("""COMPUTED_VALUE"""),"AI-Powered Health Diagnosis Chatbot with Machine Learning and Computer Vision")</f>
        <v>AI-Powered Health Diagnosis Chatbot with Machine Learning and Computer Vision</v>
      </c>
      <c r="C74" s="2" t="str">
        <f ca="1">IFERROR(__xludf.DUMMYFUNCTION("""COMPUTED_VALUE"""),"The AI-Powered Health Diagnosis Chatbot is a web/mobile application designed to help users identify potential medical conditions based on their symptoms. By utilizing machine learning algorithms and computer vision technologies, the chatbot provides preli"&amp;"minary health assessments and guidance. The project aims to make health information more accessible, reduce unnecessary doctor visits, and ensure user data privacy.
Key Features:
1-Symptom-Based Health Assessment
2-Computer Vision Integration
3-Personali"&amp;"zed Health Advice
4-Multi-Language Support
5-Secure Data Management
6-Medical History Tracking
7-24/7 Accessibility
8-User-Friendly Interface
9-Integration with Health Devices
10-Scalable Infrastructure
")</f>
        <v xml:space="preserve">The AI-Powered Health Diagnosis Chatbot is a web/mobile application designed to help users identify potential medical conditions based on their symptoms. By utilizing machine learning algorithms and computer vision technologies, the chatbot provides preliminary health assessments and guidance. The project aims to make health information more accessible, reduce unnecessary doctor visits, and ensure user data privacy.
Key Features:
1-Symptom-Based Health Assessment
2-Computer Vision Integration
3-Personalized Health Advice
4-Multi-Language Support
5-Secure Data Management
6-Medical History Tracking
7-24/7 Accessibility
8-User-Friendly Interface
9-Integration with Health Devices
10-Scalable Infrastructure
</v>
      </c>
      <c r="D74" s="1" t="str">
        <f ca="1">IFERROR(__xludf.DUMMYFUNCTION("""COMPUTED_VALUE"""),"Ms. Marium Hida")</f>
        <v>Ms. Marium Hida</v>
      </c>
    </row>
    <row r="75" spans="1:4">
      <c r="A75" s="1" t="str">
        <f ca="1">IFERROR(__xludf.DUMMYFUNCTION("""COMPUTED_VALUE"""),"F24-075-D-NutriGen")</f>
        <v>F24-075-D-NutriGen</v>
      </c>
      <c r="B75" s="1" t="str">
        <f ca="1">IFERROR(__xludf.DUMMYFUNCTION("""COMPUTED_VALUE"""),"NutriGen: Personalized Nutrition Through Genetic Insights and AI")</f>
        <v>NutriGen: Personalized Nutrition Through Genetic Insights and AI</v>
      </c>
      <c r="C75" s="2" t="str">
        <f ca="1">IFERROR(__xludf.DUMMYFUNCTION("""COMPUTED_VALUE"""),"NutriGen is a cutting-edge platform designed to deliver personalized nutrition plans based on genetic analysis and advanced AI algorithms. By integrating user-submitted DNA samples with real-time health data, NutriGen creates tailored dietary recommendati"&amp;"ons that cater to individual genetic profiles and health goals. The project encompasses a user-friendly interface for genetic testing, AI-driven meal planning, and comprehensive health tracking, offering a holistic approach to nutrition and wellness. Key "&amp;"features include interactive chat support, personalized nutrition plans, and integration with health wearables, all aimed at enhancing user health and well-being through informed dietary choices.
Key Features:
1. Chatbot-Driven Genetic Testing Integratio"&amp;"n
2. Personalized Nutritionist Recommendation Engine 
3. AI-Powered Nutrition Plans
4. Holistic Health Dashboard
5. Dynamic Goal Setting and Progress Tracking
6. Meal Planning and Recipes
7. AI-Driven Grocery Shopping Assistant
8. Food Sensitivity and All"&amp;"ergy Management
9. Integration with Wearables and Health Apps
10. Real-Time Health Monitoring and Alerts")</f>
        <v>NutriGen is a cutting-edge platform designed to deliver personalized nutrition plans based on genetic analysis and advanced AI algorithms. By integrating user-submitted DNA samples with real-time health data, NutriGen creates tailored dietary recommendations that cater to individual genetic profiles and health goals. The project encompasses a user-friendly interface for genetic testing, AI-driven meal planning, and comprehensive health tracking, offering a holistic approach to nutrition and wellness. Key features include interactive chat support, personalized nutrition plans, and integration with health wearables, all aimed at enhancing user health and well-being through informed dietary choices.
Key Features:
1. Chatbot-Driven Genetic Testing Integration
2. Personalized Nutritionist Recommendation Engine 
3. AI-Powered Nutrition Plans
4. Holistic Health Dashboard
5. Dynamic Goal Setting and Progress Tracking
6. Meal Planning and Recipes
7. AI-Driven Grocery Shopping Assistant
8. Food Sensitivity and Allergy Management
9. Integration with Wearables and Health Apps
10. Real-Time Health Monitoring and Alerts</v>
      </c>
      <c r="D75" s="1" t="str">
        <f ca="1">IFERROR(__xludf.DUMMYFUNCTION("""COMPUTED_VALUE"""),"Ms. Nirmal Tariq")</f>
        <v>Ms. Nirmal Tariq</v>
      </c>
    </row>
    <row r="76" spans="1:4">
      <c r="A76" s="1" t="str">
        <f ca="1">IFERROR(__xludf.DUMMYFUNCTION("""COMPUTED_VALUE"""),"F24-076-D-SafeRouteXplorer")</f>
        <v>F24-076-D-SafeRouteXplorer</v>
      </c>
      <c r="B76" s="1" t="str">
        <f ca="1">IFERROR(__xludf.DUMMYFUNCTION("""COMPUTED_VALUE"""),"newsNexus: AI-Powered Chatbot for Personalized News and Informed Discussions")</f>
        <v>newsNexus: AI-Powered Chatbot for Personalized News and Informed Discussions</v>
      </c>
      <c r="C76" s="2" t="str">
        <f ca="1">IFERROR(__xludf.DUMMYFUNCTION("""COMPUTED_VALUE"""),"The newsNexus project aims to develop a conversational AI assistant that provides users with personalized news updates, in-depth articles, and real-time information on various topics, including politics, entertainment, sports, and more. The chatbot will b"&amp;"e designed to learn users' preferences and tailor its responses to their interests, offering a unique and engaging news consumption experience.
Below are some features:
1. Personalized news feed: Users receive customized news updates based on their inte"&amp;"rests.
2. Real-time news updates: The chatbot provides the latest news as it happens.
3. Article summaries: Users can request concise summaries of in-depth articles.
4. Topic-based news: Users can ask for news on specific topics, such as politics or sport"&amp;"s.
5. Source selection: Users can choose their preferred news sources.
6. Search functionality: Users can search for specific news articles or topics.
7. News categorization: News articles are categorized by topic, making it easy to find related content.
"&amp;"8. User profiling: The chatbot learns users' preferences and adjusts its responses accordingly.
9. Natural Language Processing (NLP): The chatbot understands and responds to user queries in natural language.
10. Integration with news: The chatbot aggregat"&amp;"es news from multiple sources, ensuring a diverse range of perspectives.
11. History: users past search history will also be available and it will also have saved responses. 
12. Audio: audio integration will also be available to record the query a user h"&amp;"ave.
 ")</f>
        <v xml:space="preserve">The newsNexus project aims to develop a conversational AI assistant that provides users with personalized news updates, in-depth articles, and real-time information on various topics, including politics, entertainment, sports, and more. The chatbot will be designed to learn users' preferences and tailor its responses to their interests, offering a unique and engaging news consumption experience.
Below are some features:
1. Personalized news feed: Users receive customized news updates based on their interests.
2. Real-time news updates: The chatbot provides the latest news as it happens.
3. Article summaries: Users can request concise summaries of in-depth articles.
4. Topic-based news: Users can ask for news on specific topics, such as politics or sports.
5. Source selection: Users can choose their preferred news sources.
6. Search functionality: Users can search for specific news articles or topics.
7. News categorization: News articles are categorized by topic, making it easy to find related content.
8. User profiling: The chatbot learns users' preferences and adjusts its responses accordingly.
9. Natural Language Processing (NLP): The chatbot understands and responds to user queries in natural language.
10. Integration with news: The chatbot aggregates news from multiple sources, ensuring a diverse range of perspectives.
11. History: users past search history will also be available and it will also have saved responses. 
12. Audio: audio integration will also be available to record the query a user have.
 </v>
      </c>
      <c r="D76" s="1" t="str">
        <f ca="1">IFERROR(__xludf.DUMMYFUNCTION("""COMPUTED_VALUE"""),"Dr. Zeshan Khan")</f>
        <v>Dr. Zeshan Khan</v>
      </c>
    </row>
    <row r="77" spans="1:4">
      <c r="A77" s="1" t="str">
        <f ca="1">IFERROR(__xludf.DUMMYFUNCTION("""COMPUTED_VALUE"""),"F24-077-D-PhysiQuestVR")</f>
        <v>F24-077-D-PhysiQuestVR</v>
      </c>
      <c r="B77" s="1" t="str">
        <f ca="1">IFERROR(__xludf.DUMMYFUNCTION("""COMPUTED_VALUE"""),"Enhancing Physics Education Through Gamified Virtual Reality: A Unity-Based Solution")</f>
        <v>Enhancing Physics Education Through Gamified Virtual Reality: A Unity-Based Solution</v>
      </c>
      <c r="C77" s="2" t="str">
        <f ca="1">IFERROR(__xludf.DUMMYFUNCTION("""COMPUTED_VALUE"""),"This project develops a VR game that uses gamification to teach middle and high school students complex physics concepts. Built with Unity, the game offers immersive mini-games covering key physics topics and integrates AI for personalized learning and re"&amp;"al-time feedback. It provides a scalable, cost-effective solution for schools with limited lab resources, enhancing student engagement and understanding of physics.
Features:
1. Interactive Mini-Games: Focused on teaching complex physics concepts throug"&amp;"h engaging, hands-on activities.
2. AI-Driven Personalisation: Adapts content and difficulty levels based on each student’s learning progress.
3. Real-Time Feedback: Provides instant feedback and hints to help students grasp difficult concepts more effect"&amp;"ively.
4.  Predictive Analytics: AI analyzes user data to predict learning challenges and areas requiring more focus.
5. Chatbot Assistance: An integrated chatbot offers real-time help and explanations during gameplay.
6. Immersive 3D Environment: High-qu"&amp;"ality visuals and animations to enhance the learning experience.
7.  Scalability: Designed for use in various educational settings, including schools with limited resources.
8. Comprehensive Physics Coverage: Includes a broad range of physics topics, from"&amp;" mechanics to electromagnetism.
9. User Testing and Iteration: Regular feedback-driven testing to ensure an effective and user-friendly experience.")</f>
        <v>This project develops a VR game that uses gamification to teach middle and high school students complex physics concepts. Built with Unity, the game offers immersive mini-games covering key physics topics and integrates AI for personalized learning and real-time feedback. It provides a scalable, cost-effective solution for schools with limited lab resources, enhancing student engagement and understanding of physics.
Features:
1. Interactive Mini-Games: Focused on teaching complex physics concepts through engaging, hands-on activities.
2. AI-Driven Personalisation: Adapts content and difficulty levels based on each student’s learning progress.
3. Real-Time Feedback: Provides instant feedback and hints to help students grasp difficult concepts more effectively.
4.  Predictive Analytics: AI analyzes user data to predict learning challenges and areas requiring more focus.
5. Chatbot Assistance: An integrated chatbot offers real-time help and explanations during gameplay.
6. Immersive 3D Environment: High-quality visuals and animations to enhance the learning experience.
7.  Scalability: Designed for use in various educational settings, including schools with limited resources.
8. Comprehensive Physics Coverage: Includes a broad range of physics topics, from mechanics to electromagnetism.
9. User Testing and Iteration: Regular feedback-driven testing to ensure an effective and user-friendly experience.</v>
      </c>
      <c r="D77" s="1" t="str">
        <f ca="1">IFERROR(__xludf.DUMMYFUNCTION("""COMPUTED_VALUE"""),"Mr. Shams Farooq")</f>
        <v>Mr. Shams Farooq</v>
      </c>
    </row>
    <row r="78" spans="1:4">
      <c r="A78" s="1" t="str">
        <f ca="1">IFERROR(__xludf.DUMMYFUNCTION("""COMPUTED_VALUE"""),"F24-078-D-VirtualTour")</f>
        <v>F24-078-D-VirtualTour</v>
      </c>
      <c r="B78" s="1" t="str">
        <f ca="1">IFERROR(__xludf.DUMMYFUNCTION("""COMPUTED_VALUE"""),"Virtual 3D Tour ")</f>
        <v xml:space="preserve">Virtual 3D Tour </v>
      </c>
      <c r="C78" s="2" t="str">
        <f ca="1">IFERROR(__xludf.DUMMYFUNCTION("""COMPUTED_VALUE"""),"This project aims to develop a system that transforms 2D images into immersive 3D visuals to enhance the experience of tourists using a real-time pathfinder application. By leveraging advanced machine learning techniques, such as Convolutional Neural Netw"&amp;"orks (CNN) for image embedding and Large Language Models (LLM) for prompt generation, the system interprets and converts images into descriptive prompts, which are then used to generate photorealistic 3D scenes through Neural Radiance Fields (NeRF). The f"&amp;"inal product will offer tourists a visually engaging and interactive way to explore and navigate their destinations, providing them with detailed 3D views of paths, landmarks, and other points of interest
key features :
1)Image to Embedding Conversion
2)P"&amp;"rompt Generation
3)3D Visualization
4)Real-Time Processing
5)Interactive 3D Environment
6)Customizable Views
7)Scalable Architecture:
8)High-Resolution Output")</f>
        <v>This project aims to develop a system that transforms 2D images into immersive 3D visuals to enhance the experience of tourists using a real-time pathfinder application. By leveraging advanced machine learning techniques, such as Convolutional Neural Networks (CNN) for image embedding and Large Language Models (LLM) for prompt generation, the system interprets and converts images into descriptive prompts, which are then used to generate photorealistic 3D scenes through Neural Radiance Fields (NeRF). The final product will offer tourists a visually engaging and interactive way to explore and navigate their destinations, providing them with detailed 3D views of paths, landmarks, and other points of interest
key features :
1)Image to Embedding Conversion
2)Prompt Generation
3)3D Visualization
4)Real-Time Processing
5)Interactive 3D Environment
6)Customizable Views
7)Scalable Architecture:
8)High-Resolution Output</v>
      </c>
      <c r="D78" s="1" t="str">
        <f ca="1">IFERROR(__xludf.DUMMYFUNCTION("""COMPUTED_VALUE"""),"Dr. Zeshan Khan")</f>
        <v>Dr. Zeshan Khan</v>
      </c>
    </row>
    <row r="79" spans="1:4">
      <c r="A79" s="1" t="str">
        <f ca="1">IFERROR(__xludf.DUMMYFUNCTION("""COMPUTED_VALUE"""),"F24-079-D-RideMatch")</f>
        <v>F24-079-D-RideMatch</v>
      </c>
      <c r="B79" s="1" t="str">
        <f ca="1">IFERROR(__xludf.DUMMYFUNCTION("""COMPUTED_VALUE"""),"RideMatch")</f>
        <v>RideMatch</v>
      </c>
      <c r="C79" s="2" t="str">
        <f ca="1">IFERROR(__xludf.DUMMYFUNCTION("""COMPUTED_VALUE"""),"RideMatch is a prototype application designed specifically for students to connect with others traveling on similar routes, allowing them to pool rides and share transportation costs. Beyond its core ride-matching functionality, the app also helps student"&amp;"s find lifts and offers an additional feature for connecting students based on shared interests, independent of their travel plans.
Features:
-Facilitating ride-sharing among users
-Assisting students in finding lifts
-Connecting students for social inte"&amp;"ractions
-Comparing matches based on various routes
-Integrating user preferences for personalized matching
-Secure cloud-based data storage
-Intuitive and user-friendly interface
-Verification of user profiles for safety
-Timely notifications and alerts
"&amp;"-User reviews and ratings")</f>
        <v>RideMatch is a prototype application designed specifically for students to connect with others traveling on similar routes, allowing them to pool rides and share transportation costs. Beyond its core ride-matching functionality, the app also helps students find lifts and offers an additional feature for connecting students based on shared interests, independent of their travel plans.
Features:
-Facilitating ride-sharing among users
-Assisting students in finding lifts
-Connecting students for social interactions
-Comparing matches based on various routes
-Integrating user preferences for personalized matching
-Secure cloud-based data storage
-Intuitive and user-friendly interface
-Verification of user profiles for safety
-Timely notifications and alerts
-User reviews and ratings</v>
      </c>
      <c r="D79" s="1" t="str">
        <f ca="1">IFERROR(__xludf.DUMMYFUNCTION("""COMPUTED_VALUE"""),"Dr. Syed Qaiser Ali Shah")</f>
        <v>Dr. Syed Qaiser Ali Shah</v>
      </c>
    </row>
    <row r="80" spans="1:4">
      <c r="A80" s="1" t="str">
        <f ca="1">IFERROR(__xludf.DUMMYFUNCTION("""COMPUTED_VALUE"""),"F24-080-D-LeafSpec")</f>
        <v>F24-080-D-LeafSpec</v>
      </c>
      <c r="B80" s="1" t="str">
        <f ca="1">IFERROR(__xludf.DUMMYFUNCTION("""COMPUTED_VALUE"""),"LeafSpec: AI-Powered Plant Species Identification Syste")</f>
        <v>LeafSpec: AI-Powered Plant Species Identification Syste</v>
      </c>
      <c r="C80" s="2" t="str">
        <f ca="1">IFERROR(__xludf.DUMMYFUNCTION("""COMPUTED_VALUE"""),"Description:
Develop a Plant Species identification system using Deep Learning techniques to analyze and classify plant species based on leaf images. The objective is to create a robust, user-friendly tool that delivers accurate and timely plant identific"&amp;"ation by analyzing leaf morphology. This system will utilize state-of-the-art convolutional neural networks (CNNs) to process and classify images, ensuring high accuracy in distinguishing between various plant species.
Features:
● Plant Specie Detection u"&amp;"sing Images.
● User Friendly Interface.
● Model provides timely responses to user queries.
● High accuracy in identifying similar plant species based on leaf morphology.
● Users can upload images of leaves from their devices or capture them using the app’"&amp;"s
camera functionality.
● A database with information on various plant species, including their common
names, scientific names, and habitat.
● Allow users to create profiles where they can save their plant identifications, and
image history.")</f>
        <v>Description:
Develop a Plant Species identification system using Deep Learning techniques to analyze and classify plant species based on leaf images. The objective is to create a robust, user-friendly tool that delivers accurate and timely plant identification by analyzing leaf morphology. This system will utilize state-of-the-art convolutional neural networks (CNNs) to process and classify images, ensuring high accuracy in distinguishing between various plant species.
Features:
● Plant Specie Detection using Images.
● User Friendly Interface.
● Model provides timely responses to user queries.
● High accuracy in identifying similar plant species based on leaf morphology.
● Users can upload images of leaves from their devices or capture them using the app’s
camera functionality.
● A database with information on various plant species, including their common
names, scientific names, and habitat.
● Allow users to create profiles where they can save their plant identifications, and
image history.</v>
      </c>
      <c r="D80" s="1" t="str">
        <f ca="1">IFERROR(__xludf.DUMMYFUNCTION("""COMPUTED_VALUE"""),"Dr. Labiba Fahad")</f>
        <v>Dr. Labiba Fahad</v>
      </c>
    </row>
    <row r="81" spans="1:4">
      <c r="A81" s="1" t="str">
        <f ca="1">IFERROR(__xludf.DUMMYFUNCTION("""COMPUTED_VALUE"""),"F24-081-D-newsNexus")</f>
        <v>F24-081-D-newsNexus</v>
      </c>
      <c r="B81" s="1" t="str">
        <f ca="1">IFERROR(__xludf.DUMMYFUNCTION("""COMPUTED_VALUE"""),"A blockchain-powered, true-passwordless MFA authenticator plugin.")</f>
        <v>A blockchain-powered, true-passwordless MFA authenticator plugin.</v>
      </c>
      <c r="C81" s="2" t="str">
        <f ca="1">IFERROR(__xludf.DUMMYFUNCTION("""COMPUTED_VALUE"""),"This project will develop a secure, passwordless authenticator app that utilizes blockchain technology and Dockerized deployment to provide robust security and seamless scalability. The app will offer a multi-option authentication experience as well as ad"&amp;"aptive risk authentication, enhancing user convenience and reducing login times. It will include a central dashboard for real-time monitoring and management of authentication events and device access, while also lowering IT overhead and operational costs."&amp;" Designed for easy integration with existing systems, this solution will ensure consistent and secure environments for organizations of all sizes.
FYP Key Features
- Passwordless Authentication 
- Blockchain Security
- Multi-Option Login
- Enhanced User "&amp;"Experience
- Cost and Resource Efficiency
- Centralized Monitoring
- Containerized Deployment
- Scalability and Integration")</f>
        <v>This project will develop a secure, passwordless authenticator app that utilizes blockchain technology and Dockerized deployment to provide robust security and seamless scalability. The app will offer a multi-option authentication experience as well as adaptive risk authentication, enhancing user convenience and reducing login times. It will include a central dashboard for real-time monitoring and management of authentication events and device access, while also lowering IT overhead and operational costs. Designed for easy integration with existing systems, this solution will ensure consistent and secure environments for organizations of all sizes.
FYP Key Features
- Passwordless Authentication 
- Blockchain Security
- Multi-Option Login
- Enhanced User Experience
- Cost and Resource Efficiency
- Centralized Monitoring
- Containerized Deployment
- Scalability and Integration</v>
      </c>
      <c r="D81" s="1" t="str">
        <f ca="1">IFERROR(__xludf.DUMMYFUNCTION("""COMPUTED_VALUE"""),"Ms. Ayesha Kamran")</f>
        <v>Ms. Ayesha Kamran</v>
      </c>
    </row>
    <row r="82" spans="1:4">
      <c r="A82" s="1" t="str">
        <f ca="1">IFERROR(__xludf.DUMMYFUNCTION("""COMPUTED_VALUE"""),"F24-082-D-VibeSync")</f>
        <v>F24-082-D-VibeSync</v>
      </c>
      <c r="B82" s="1" t="str">
        <f ca="1">IFERROR(__xludf.DUMMYFUNCTION("""COMPUTED_VALUE"""),"Music Recommendation based on video Analysis ")</f>
        <v xml:space="preserve">Music Recommendation based on video Analysis </v>
      </c>
      <c r="C82" s="2" t="str">
        <f ca="1">IFERROR(__xludf.DUMMYFUNCTION("""COMPUTED_VALUE"""),"Project Description and Scope:
The project is a background music recommendation system that analyzes videos to suggest suitable music tracks. By evaluating the content, mood, and context of a video, the system automatically selects music that enhances the"&amp;" viewer's experience. The scope includes the development of algorithms for video analysis, integration with a music library, and the creation of a user-friendly music. 
Key Features:
1. Video Content Analysis: Analyzes visual and auditory elements of the"&amp;" video to understand the context.
2. Mood Detection: Detects the mood or emotion conveyed in the video.
3. Genre Matching: Matches video content with appropriate music genres.
4. Real-time Recommendations: Provides music suggestions in real-time as the vi"&amp;"deo is being played.
5. User Preference Learning: Learns user preferences over time for personalized recommendations.
6. Music Library Integration: Integrates with an extensive music library to offer diverse options.
7. AI-Powered Algorithm: Utilizes AI t"&amp;"o improve the accuracy and relevance of music suggestions.
9. Cross-Platform Support: Available on multiple platforms, including web and mobile.
10. Seamless Integration: Easily integrates with existing video editing or streaming platforms.")</f>
        <v>Project Description and Scope:
The project is a background music recommendation system that analyzes videos to suggest suitable music tracks. By evaluating the content, mood, and context of a video, the system automatically selects music that enhances the viewer's experience. The scope includes the development of algorithms for video analysis, integration with a music library, and the creation of a user-friendly music. 
Key Features:
1. Video Content Analysis: Analyzes visual and auditory elements of the video to understand the context.
2. Mood Detection: Detects the mood or emotion conveyed in the video.
3. Genre Matching: Matches video content with appropriate music genres.
4. Real-time Recommendations: Provides music suggestions in real-time as the video is being played.
5. User Preference Learning: Learns user preferences over time for personalized recommendations.
6. Music Library Integration: Integrates with an extensive music library to offer diverse options.
7. AI-Powered Algorithm: Utilizes AI to improve the accuracy and relevance of music suggestions.
9. Cross-Platform Support: Available on multiple platforms, including web and mobile.
10. Seamless Integration: Easily integrates with existing video editing or streaming platforms.</v>
      </c>
      <c r="D82" s="1" t="str">
        <f ca="1">IFERROR(__xludf.DUMMYFUNCTION("""COMPUTED_VALUE"""),"Dr. Fehmida Usmani")</f>
        <v>Dr. Fehmida Usmani</v>
      </c>
    </row>
    <row r="83" spans="1:4">
      <c r="A83" s="1" t="str">
        <f ca="1">IFERROR(__xludf.DUMMYFUNCTION("""COMPUTED_VALUE"""),"F24-083-D-Blackgate")</f>
        <v>F24-083-D-Blackgate</v>
      </c>
      <c r="B83" s="1" t="str">
        <f ca="1">IFERROR(__xludf.DUMMYFUNCTION("""COMPUTED_VALUE"""),"Next-Gen Web development: LLM based automatic code generation for web applications and Restful APIs")</f>
        <v>Next-Gen Web development: LLM based automatic code generation for web applications and Restful APIs</v>
      </c>
      <c r="C83" s="2" t="str">
        <f ca="1">IFERROR(__xludf.DUMMYFUNCTION("""COMPUTED_VALUE"""),"Our project titled as ""Next-Gen Web Development: LLM-Based Automatic Code Generation"", aims to revolutionize the way web applications and APIs are developed by leveraging Large Language Models (LLMs) to automate the code generation process. The project "&amp;"focuses on creating a system that translates class diagrams into fully functional code for web apps and APIs, significantly reducing development time and effort. By combining the power of Python and the MERN (MongoDB, Express, React, Node.js) stack, our s"&amp;"olution will provide developers with a seamless and efficient tool for building robust web applications. In addition to developing the software, we will conduct research to enhance the accuracy and efficiency of our code generation model.
Key Features
Cl"&amp;"ass Diagram to Code Translation
Python and MERN Stack Integration
Customizable Code Outputs
User-Friendly Interface
Research-Based Enhancements
Version Control Integration")</f>
        <v>Our project titled as "Next-Gen Web Development: LLM-Based Automatic Code Generation", aims to revolutionize the way web applications and APIs are developed by leveraging Large Language Models (LLMs) to automate the code generation process. The project focuses on creating a system that translates class diagrams into fully functional code for web apps and APIs, significantly reducing development time and effort. By combining the power of Python and the MERN (MongoDB, Express, React, Node.js) stack, our solution will provide developers with a seamless and efficient tool for building robust web applications. In addition to developing the software, we will conduct research to enhance the accuracy and efficiency of our code generation model.
Key Features
Class Diagram to Code Translation
Python and MERN Stack Integration
Customizable Code Outputs
User-Friendly Interface
Research-Based Enhancements
Version Control Integration</v>
      </c>
      <c r="D83" s="1" t="str">
        <f ca="1">IFERROR(__xludf.DUMMYFUNCTION("""COMPUTED_VALUE"""),"Dr. Muhammad Asim")</f>
        <v>Dr. Muhammad Asim</v>
      </c>
    </row>
    <row r="84" spans="1:4">
      <c r="A84" s="1" t="str">
        <f ca="1">IFERROR(__xludf.DUMMYFUNCTION("""COMPUTED_VALUE"""),"F24-084-R-WebCodeGen")</f>
        <v>F24-084-R-WebCodeGen</v>
      </c>
      <c r="B84" s="1" t="str">
        <f ca="1">IFERROR(__xludf.DUMMYFUNCTION("""COMPUTED_VALUE"""),"AI-Driven Decentralized Malware Detection and Analysis")</f>
        <v>AI-Driven Decentralized Malware Detection and Analysis</v>
      </c>
      <c r="C84" s="2" t="str">
        <f ca="1">IFERROR(__xludf.DUMMYFUNCTION("""COMPUTED_VALUE"""),"The project will create a PDF malware detection system using static and dynamic analysis. Users will upload PDFs via a web portal, where they can choose between static and dynamic analysis options. The system will automatically analyze the files and displ"&amp;"ay the results on-screen. The analysis insights will be visualized on dashboards and will enhance a local AI model. This local model will contribute to a global federated learning model, improving detection capabilities while ensuring that all processes a"&amp;"re fully automated and data privacy and security are maintained.")</f>
        <v>The project will create a PDF malware detection system using static and dynamic analysis. Users will upload PDFs via a web portal, where they can choose between static and dynamic analysis options. The system will automatically analyze the files and display the results on-screen. The analysis insights will be visualized on dashboards and will enhance a local AI model. This local model will contribute to a global federated learning model, improving detection capabilities while ensuring that all processes are fully automated and data privacy and security are maintained.</v>
      </c>
      <c r="D84" s="1" t="str">
        <f ca="1">IFERROR(__xludf.DUMMYFUNCTION("""COMPUTED_VALUE"""),"Mr. Irfan Ullah")</f>
        <v>Mr. Irfan Ullah</v>
      </c>
    </row>
    <row r="85" spans="1:4">
      <c r="A85" s="1" t="str">
        <f ca="1">IFERROR(__xludf.DUMMYFUNCTION("""COMPUTED_VALUE"""),"F24-085-D-SmartLicense")</f>
        <v>F24-085-D-SmartLicense</v>
      </c>
      <c r="B85" s="1" t="str">
        <f ca="1">IFERROR(__xludf.DUMMYFUNCTION("""COMPUTED_VALUE"""),"Driver's License Testing Automation")</f>
        <v>Driver's License Testing Automation</v>
      </c>
      <c r="C85" s="2" t="str">
        <f ca="1">IFERROR(__xludf.DUMMYFUNCTION("""COMPUTED_VALUE"""),"We are developing an Automated Driver's License Testing System specifically designed for the Traffic Police, utilizing advanced artificial intelligence to automate the assessment of driving skills. The project aims to replace the traditional need for a hu"&amp;"man examiner with a system that uses cameras and sensors to evaluate a driver’s abilities under various conditions, ensuring a fair, unbiased, and precise testing process.
1. AI-Driven Evaluation: Utilizes machine learning and convolutional neural networ"&amp;"ks to assess driving performance.
2. Real-Time Monitoring: Cameras and sensors installed in the vehicle provide live feedback and capture essential data.
3. Automated Scoring: The system processes the collected data to score the driver against safe drivin"&amp;"g parameters automatically.
4. Bias Reduction: Removes human subjectivity and potential bias from the evaluation process.
5. Safety Enhancement: Conducts tests without requiring another person in the vehicle, reducing risk.
6. Efficiency and Speed: Delive"&amp;"rs immediate results, speeding up the testing process.
7. Cost Effectiveness: Reduces costs associated with human examiners.
8. Detailed Feedback: Provides specific insights into areas of improvement for each candidate.
9. Scalability: Can handle multiple"&amp;" candidates simultaneously with the same setup.")</f>
        <v>We are developing an Automated Driver's License Testing System specifically designed for the Traffic Police, utilizing advanced artificial intelligence to automate the assessment of driving skills. The project aims to replace the traditional need for a human examiner with a system that uses cameras and sensors to evaluate a driver’s abilities under various conditions, ensuring a fair, unbiased, and precise testing process.
1. AI-Driven Evaluation: Utilizes machine learning and convolutional neural networks to assess driving performance.
2. Real-Time Monitoring: Cameras and sensors installed in the vehicle provide live feedback and capture essential data.
3. Automated Scoring: The system processes the collected data to score the driver against safe driving parameters automatically.
4. Bias Reduction: Removes human subjectivity and potential bias from the evaluation process.
5. Safety Enhancement: Conducts tests without requiring another person in the vehicle, reducing risk.
6. Efficiency and Speed: Delivers immediate results, speeding up the testing process.
7. Cost Effectiveness: Reduces costs associated with human examiners.
8. Detailed Feedback: Provides specific insights into areas of improvement for each candidate.
9. Scalability: Can handle multiple candidates simultaneously with the same setup.</v>
      </c>
      <c r="D85" s="1" t="str">
        <f ca="1">IFERROR(__xludf.DUMMYFUNCTION("""COMPUTED_VALUE"""),"Dr. Shahela Saif")</f>
        <v>Dr. Shahela Saif</v>
      </c>
    </row>
    <row r="86" spans="1:4">
      <c r="A86" s="1" t="str">
        <f ca="1">IFERROR(__xludf.DUMMYFUNCTION("""COMPUTED_VALUE"""),"F24-086-D-RentEase")</f>
        <v>F24-086-D-RentEase</v>
      </c>
      <c r="B86" s="1" t="str">
        <f ca="1">IFERROR(__xludf.DUMMYFUNCTION("""COMPUTED_VALUE"""),"RentEase - Making renting process easy by bringing everyone together as renting product requesters and acceptors featuring blockchain based smart contracts between them.")</f>
        <v>RentEase - Making renting process easy by bringing everyone together as renting product requesters and acceptors featuring blockchain based smart contracts between them.</v>
      </c>
      <c r="C86" s="2" t="str">
        <f ca="1">IFERROR(__xludf.DUMMYFUNCTION("""COMPUTED_VALUE"""),"This is the World's unique and only existing idea i.e. Automating renting system!
With RentEase, Users as renting product providers will rent their (any) products and other users as renting product seekers will be able to get a product on rent. Blockchain"&amp;" based smart contracts will assure the transparency of the deal. It has following features:
1. Multilingual - support i.e. Urdu &amp; English.
2. Blockchain based smart contract between product provider &amp; requester to ensure transparency.
3. Auto recommendati"&amp;"on of products to product requesters based on the previous purchases, work and portfolio.
4. Real Time Communication between users.
5. Real time tracking feature where product owner can track the location of product requester while handing over the produc"&amp;"t.
6. Assistant Chat - Bot to assist people when using application.
7. Users Management i.e. users can manage their portfolio.
8. Dispute center for issues between customers.
9. Vouchers, Gifts  and  donation's mechanism to help community grow together.
1"&amp;"0. A mechanism for price negotiation of the renting product.")</f>
        <v>This is the World's unique and only existing idea i.e. Automating renting system!
With RentEase, Users as renting product providers will rent their (any) products and other users as renting product seekers will be able to get a product on rent. Blockchain based smart contracts will assure the transparency of the deal. It has following features:
1. Multilingual - support i.e. Urdu &amp; English.
2. Blockchain based smart contract between product provider &amp; requester to ensure transparency.
3. Auto recommendation of products to product requesters based on the previous purchases, work and portfolio.
4. Real Time Communication between users.
5. Real time tracking feature where product owner can track the location of product requester while handing over the product.
6. Assistant Chat - Bot to assist people when using application.
7. Users Management i.e. users can manage their portfolio.
8. Dispute center for issues between customers.
9. Vouchers, Gifts  and  donation's mechanism to help community grow together.
10. A mechanism for price negotiation of the renting product.</v>
      </c>
      <c r="D86" s="1" t="str">
        <f ca="1">IFERROR(__xludf.DUMMYFUNCTION("""COMPUTED_VALUE"""),"Dr. Javaria Imtiaz")</f>
        <v>Dr. Javaria Imtiaz</v>
      </c>
    </row>
    <row r="87" spans="1:4">
      <c r="A87" s="1" t="str">
        <f ca="1">IFERROR(__xludf.DUMMYFUNCTION("""COMPUTED_VALUE"""),"F24-087-D-Dex'sLab")</f>
        <v>F24-087-D-Dex'sLab</v>
      </c>
      <c r="B87" s="1" t="str">
        <f ca="1">IFERROR(__xludf.DUMMYFUNCTION("""COMPUTED_VALUE"""),"A VR Laboratory simulatior")</f>
        <v>A VR Laboratory simulatior</v>
      </c>
      <c r="C87" s="2" t="str">
        <f ca="1">IFERROR(__xludf.DUMMYFUNCTION("""COMPUTED_VALUE"""),"The VR Lab Simulator project aims to develop a realistic virtual reality simulation for students (O Levels/Metric/Grade 9,10,11) to perform scientific experiments in a safe, controlled environment. The project will utilize Unreal Engine to create an immer"&amp;"sive VR platform targeting the Meta Quest VR hardware. The simulator will enhance students' understanding of complex scientific concepts such as titration, chemical tests, indicators, phase changes and many more. It will provide an interactive and engagin"&amp;"g learning experience in a safe, hazardless, maintenance-free and guided alternative to physical labs where students can learn and fulfill their curiosity.
Key Features:
*Realistic VR simulation of scientific experiments
*Immersive and interactive learn"&amp;"ing platform
*Comprehensive library of presets experiments
*Accurate 3D models of scientific equipment and materials
*Intuitive controls and user interfaces for VR interaction
*Real-time feedback
*Interactive tutorials and step-by-step instructions
*User "&amp;"account management options
*Optimization for Meta Quest VR platform performance")</f>
        <v>The VR Lab Simulator project aims to develop a realistic virtual reality simulation for students (O Levels/Metric/Grade 9,10,11) to perform scientific experiments in a safe, controlled environment. The project will utilize Unreal Engine to create an immersive VR platform targeting the Meta Quest VR hardware. The simulator will enhance students' understanding of complex scientific concepts such as titration, chemical tests, indicators, phase changes and many more. It will provide an interactive and engaging learning experience in a safe, hazardless, maintenance-free and guided alternative to physical labs where students can learn and fulfill their curiosity.
Key Features:
*Realistic VR simulation of scientific experiments
*Immersive and interactive learning platform
*Comprehensive library of presets experiments
*Accurate 3D models of scientific equipment and materials
*Intuitive controls and user interfaces for VR interaction
*Real-time feedback
*Interactive tutorials and step-by-step instructions
*User account management options
*Optimization for Meta Quest VR platform performance</v>
      </c>
      <c r="D87" s="1" t="str">
        <f ca="1">IFERROR(__xludf.DUMMYFUNCTION("""COMPUTED_VALUE"""),"Ms. Nirmal Tariq")</f>
        <v>Ms. Nirmal Tariq</v>
      </c>
    </row>
    <row r="88" spans="1:4">
      <c r="A88" s="1" t="str">
        <f ca="1">IFERROR(__xludf.DUMMYFUNCTION("""COMPUTED_VALUE"""),"F24-088-D-MalwareXplore")</f>
        <v>F24-088-D-MalwareXplore</v>
      </c>
      <c r="B88" s="1" t="str">
        <f ca="1">IFERROR(__xludf.DUMMYFUNCTION("""COMPUTED_VALUE"""),"OneBlock")</f>
        <v>OneBlock</v>
      </c>
      <c r="C88" s="2" t="str">
        <f ca="1">IFERROR(__xludf.DUMMYFUNCTION("""COMPUTED_VALUE"""),"Designing a blockchain based learning management system that ensures temper proof logs.
key features are 
1.Collects log data from various sources and sends it to the blockchain network.
2.Stores the log data in a decentralized and temper proof manner."&amp;"
3.Ensuring integrity of files.
4.Anomaly detection.
5.Ai based plagiarism detection.
6.Dashboard with graphs and charts to summarize data.")</f>
        <v>Designing a blockchain based learning management system that ensures temper proof logs.
key features are 
1.Collects log data from various sources and sends it to the blockchain network.
2.Stores the log data in a decentralized and temper proof manner.
3.Ensuring integrity of files.
4.Anomaly detection.
5.Ai based plagiarism detection.
6.Dashboard with graphs and charts to summarize data.</v>
      </c>
      <c r="D88" s="1" t="str">
        <f ca="1">IFERROR(__xludf.DUMMYFUNCTION("""COMPUTED_VALUE"""),"Dr. Qaiser Shafi")</f>
        <v>Dr. Qaiser Shafi</v>
      </c>
    </row>
    <row r="89" spans="1:4">
      <c r="A89" s="1" t="str">
        <f ca="1">IFERROR(__xludf.DUMMYFUNCTION("""COMPUTED_VALUE"""),"F24-089-D-VoiceArchi")</f>
        <v>F24-089-D-VoiceArchi</v>
      </c>
      <c r="B89" s="1" t="str">
        <f ca="1">IFERROR(__xludf.DUMMYFUNCTION("""COMPUTED_VALUE"""),"VoiceArchi: a web/mobile application that transforms your ideas into detailed 2D architectural designs")</f>
        <v>VoiceArchi: a web/mobile application that transforms your ideas into detailed 2D architectural designs</v>
      </c>
      <c r="C89" s="2" t="str">
        <f ca="1">IFERROR(__xludf.DUMMYFUNCTION("""COMPUTED_VALUE"""),"Our project's main objective is to allow users to describe their floorplan in their own words,
The app will use AI and NLP techniques to convert the user's voice into floorplan constraints, which will then be passed onto an algorithm that satisfies those"&amp;" constraints and creates an optimal 2D architectural drawing that fits the description provided by the user.
Key Features:
1. Allow the user to describe their floorplan in their own words.
2. Use AI and NLP techniques to extract constraints from the "&amp;"spoken words.
3. Handle ambiguous statements by asking for clarification from the user.
4. Generate detailed 2D architectural drawing for the given description.
5. Allow the user to save their drawings.")</f>
        <v>Our project's main objective is to allow users to describe their floorplan in their own words,
The app will use AI and NLP techniques to convert the user's voice into floorplan constraints, which will then be passed onto an algorithm that satisfies those constraints and creates an optimal 2D architectural drawing that fits the description provided by the user.
Key Features:
1. Allow the user to describe their floorplan in their own words.
2. Use AI and NLP techniques to extract constraints from the spoken words.
3. Handle ambiguous statements by asking for clarification from the user.
4. Generate detailed 2D architectural drawing for the given description.
5. Allow the user to save their drawings.</v>
      </c>
      <c r="D89" s="1" t="str">
        <f ca="1">IFERROR(__xludf.DUMMYFUNCTION("""COMPUTED_VALUE"""),"Mr. Irfan Ullah")</f>
        <v>Mr. Irfan Ullah</v>
      </c>
    </row>
    <row r="90" spans="1:4">
      <c r="A90" s="1" t="str">
        <f ca="1">IFERROR(__xludf.DUMMYFUNCTION("""COMPUTED_VALUE"""),"F24-090-D-BlockChainLMS")</f>
        <v>F24-090-D-BlockChainLMS</v>
      </c>
      <c r="B90" s="1" t="str">
        <f ca="1">IFERROR(__xludf.DUMMYFUNCTION("""COMPUTED_VALUE"""),"Visualytica")</f>
        <v>Visualytica</v>
      </c>
      <c r="C90" s="2" t="str">
        <f ca="1">IFERROR(__xludf.DUMMYFUNCTION("""COMPUTED_VALUE"""),"_Project Overview
                            Our project aims to develop a web-based data visualization application we can say similar to Tableau or PowerBI, focusing primarily on data visualization through interactive dashboards. This tool will facilita"&amp;"te data exploration and insights extraction, targeting users who need an intuitive and powerful platform to analyze their data.
_Objectives
-Develop Interactive Dashboards: 
                           Create dynamic and interactive dashboards that allow "&amp;"users to explore data visually.
-AI-Powered Insights(EXTENDED VERSION): 
                           Integrate AI features, such as a chat bot for user queries and a bot that provides insights from data visualizations (this is something we need to discuss,"&amp;" whether it's possible or not).
-User-Friendly Interface: 
                           Design a responsive and user-friendly interface using modern web technologies.
-Data Preparation and Exploration: 
                            Enable robust data prepara"&amp;"tion and exploration capabilities using Python.
")</f>
        <v xml:space="preserve">_Project Overview
                            Our project aims to develop a web-based data visualization application we can say similar to Tableau or PowerBI, focusing primarily on data visualization through interactive dashboards. This tool will facilitate data exploration and insights extraction, targeting users who need an intuitive and powerful platform to analyze their data.
_Objectives
-Develop Interactive Dashboards: 
                           Create dynamic and interactive dashboards that allow users to explore data visually.
-AI-Powered Insights(EXTENDED VERSION): 
                           Integrate AI features, such as a chat bot for user queries and a bot that provides insights from data visualizations (this is something we need to discuss, whether it's possible or not).
-User-Friendly Interface: 
                           Design a responsive and user-friendly interface using modern web technologies.
-Data Preparation and Exploration: 
                            Enable robust data preparation and exploration capabilities using Python.
</v>
      </c>
      <c r="D90" s="1" t="str">
        <f ca="1">IFERROR(__xludf.DUMMYFUNCTION("""COMPUTED_VALUE"""),"Dr. Qaiser Shafi")</f>
        <v>Dr. Qaiser Shafi</v>
      </c>
    </row>
    <row r="91" spans="1:4">
      <c r="A91" s="1" t="str">
        <f ca="1">IFERROR(__xludf.DUMMYFUNCTION("""COMPUTED_VALUE"""),"F24-091-D-Visualytica")</f>
        <v>F24-091-D-Visualytica</v>
      </c>
      <c r="B91" s="1" t="str">
        <f ca="1">IFERROR(__xludf.DUMMYFUNCTION("""COMPUTED_VALUE"""),"VoxAI SQL")</f>
        <v>VoxAI SQL</v>
      </c>
      <c r="C91" s="2" t="str">
        <f ca="1">IFERROR(__xludf.DUMMYFUNCTION("""COMPUTED_VALUE"""),"The project aims to develop an AI-driven chatbot or voicebot that allows users to interact with their databases or data warehouses without requiring SQL knowledge. By transforming user inputs, whether text or voice, into SQL queries, the system provides a"&amp;" user-friendly interface for data manipulation and retrieval. The project also includes the development of support for voice notes in Urdu, broadening its accessibility. The scope encompasses the design, implementation, and testing of the chatbot, along w"&amp;"ith the integration of advanced natural language processing (NLP) and speech recognition technologies to ensure accuracy and ease of use.
1) Text-to-SQL Conversion: Automatically converts user text inputs into SQL queries.
2) Voice-to-SQL Conversion: Tra"&amp;"nsforms voice notes into SQL queries for database interaction.
3) Urdu Language Support: Enables users to interact with the system using Urdu voice notes.
4) Database Connectivity: Seamlessly connects with various databases and data warehouses.
5) User-Fr"&amp;"iendly Interface: Simplified interface allowing non-technical users to manage and manipulate data.
6) Natural Language Processing (NLP): Employs advanced NLP techniques to accurately interpret user queries.
7) Speech Recognition: Integrates state-of-the-a"&amp;"rt speech recognition technology for voice input.
8) Real-Time Query Execution: Executes SQL queries in real-time, providing immediate results.
9) Error Handling and Feedback: Provides feedback and suggestions if the query cannot be processed.
10) Customi"&amp;"zable Responses: Allows for the customization of chatbot responses to meet specific user needs.")</f>
        <v>The project aims to develop an AI-driven chatbot or voicebot that allows users to interact with their databases or data warehouses without requiring SQL knowledge. By transforming user inputs, whether text or voice, into SQL queries, the system provides a user-friendly interface for data manipulation and retrieval. The project also includes the development of support for voice notes in Urdu, broadening its accessibility. The scope encompasses the design, implementation, and testing of the chatbot, along with the integration of advanced natural language processing (NLP) and speech recognition technologies to ensure accuracy and ease of use.
1) Text-to-SQL Conversion: Automatically converts user text inputs into SQL queries.
2) Voice-to-SQL Conversion: Transforms voice notes into SQL queries for database interaction.
3) Urdu Language Support: Enables users to interact with the system using Urdu voice notes.
4) Database Connectivity: Seamlessly connects with various databases and data warehouses.
5) User-Friendly Interface: Simplified interface allowing non-technical users to manage and manipulate data.
6) Natural Language Processing (NLP): Employs advanced NLP techniques to accurately interpret user queries.
7) Speech Recognition: Integrates state-of-the-art speech recognition technology for voice input.
8) Real-Time Query Execution: Executes SQL queries in real-time, providing immediate results.
9) Error Handling and Feedback: Provides feedback and suggestions if the query cannot be processed.
10) Customizable Responses: Allows for the customization of chatbot responses to meet specific user needs.</v>
      </c>
      <c r="D91" s="1" t="str">
        <f ca="1">IFERROR(__xludf.DUMMYFUNCTION("""COMPUTED_VALUE"""),"Dr. Faisal Cheema")</f>
        <v>Dr. Faisal Cheema</v>
      </c>
    </row>
    <row r="92" spans="1:4">
      <c r="A92" s="1" t="str">
        <f ca="1">IFERROR(__xludf.DUMMYFUNCTION("""COMPUTED_VALUE"""),"F24-092-R-SafeAI")</f>
        <v>F24-092-R-SafeAI</v>
      </c>
      <c r="B92" s="1" t="str">
        <f ca="1">IFERROR(__xludf.DUMMYFUNCTION("""COMPUTED_VALUE"""),"Enhanced Object Detection, Tracking, and Re-Identification for High-Altitude Aerial Surveillance applications")</f>
        <v>Enhanced Object Detection, Tracking, and Re-Identification for High-Altitude Aerial Surveillance applications</v>
      </c>
      <c r="C92" s="2" t="str">
        <f ca="1">IFERROR(__xludf.DUMMYFUNCTION("""COMPUTED_VALUE"""),"This project focuses on creating a system for detecting, identifying, and re-identifying persons and vehicles using aerial imagery, specifically tailored to Pakistan's technological landscape. By leveraging advanced machine learning and computer vision te"&amp;"chniques, it aims to enhance high-altitude surveillance, addressing challenges like varying altitudes and resolutions to improve urban security and disaster response.
1.⁠ ⁠High-Accuracy Object Detection: Utilizes state-of-the-art algorithms to detect per"&amp;"sons and vehicles with high precision.
 2.⁠ ⁠Real-Time Tracking: Enables continuous monitoring and tracking of identified objects across frames.
 3.⁠ ⁠Re-Identification Across Frames: Capable of recognizing the same object in different frames, even under "&amp;"varying conditions.
 4.⁠ ⁠Scalability for Large-Scale Surveillance: Designed to handle vast areas and large volumes of data efficiently.
 5.⁠ ⁠Robustness to Variations: Functions effectively despite changes in altitude, angles, and lighting conditions.
 6"&amp;".⁠ ⁠User-Friendly Interface: Offers a clear and intuitive interface for users to monitor and analyse surveillance data.
 7.⁠ ⁠Integration with Existing Systems: Can be integrated into current security and surveillance infrastructures.
 8.⁠ ⁠Customisable D"&amp;"etection Parameters: Allows users to set and adjust detection criteria based on specific needs.
 9.⁠ ⁠Efficient Data Processing: Employs optimized algorithms for fast processing of aerial imagery data.
10.⁠ ⁠Comprehensive Reporting Tools: Generates detail"&amp;"ed reports on detection and tracking events for further analysis.")</f>
        <v>This project focuses on creating a system for detecting, identifying, and re-identifying persons and vehicles using aerial imagery, specifically tailored to Pakistan's technological landscape. By leveraging advanced machine learning and computer vision techniques, it aims to enhance high-altitude surveillance, addressing challenges like varying altitudes and resolutions to improve urban security and disaster response.
1.⁠ ⁠High-Accuracy Object Detection: Utilizes state-of-the-art algorithms to detect persons and vehicles with high precision.
 2.⁠ ⁠Real-Time Tracking: Enables continuous monitoring and tracking of identified objects across frames.
 3.⁠ ⁠Re-Identification Across Frames: Capable of recognizing the same object in different frames, even under varying conditions.
 4.⁠ ⁠Scalability for Large-Scale Surveillance: Designed to handle vast areas and large volumes of data efficiently.
 5.⁠ ⁠Robustness to Variations: Functions effectively despite changes in altitude, angles, and lighting conditions.
 6.⁠ ⁠User-Friendly Interface: Offers a clear and intuitive interface for users to monitor and analyse surveillance data.
 7.⁠ ⁠Integration with Existing Systems: Can be integrated into current security and surveillance infrastructures.
 8.⁠ ⁠Customisable Detection Parameters: Allows users to set and adjust detection criteria based on specific needs.
 9.⁠ ⁠Efficient Data Processing: Employs optimized algorithms for fast processing of aerial imagery data.
10.⁠ ⁠Comprehensive Reporting Tools: Generates detailed reports on detection and tracking events for further analysis.</v>
      </c>
      <c r="D92" s="1" t="str">
        <f ca="1">IFERROR(__xludf.DUMMYFUNCTION("""COMPUTED_VALUE"""),"Dr. Imran Ashraf")</f>
        <v>Dr. Imran Ashraf</v>
      </c>
    </row>
    <row r="93" spans="1:4">
      <c r="A93" s="1" t="str">
        <f ca="1">IFERROR(__xludf.DUMMYFUNCTION("""COMPUTED_VALUE"""),"F24-093-D-TrashCam")</f>
        <v>F24-093-D-TrashCam</v>
      </c>
      <c r="B93" s="1" t="str">
        <f ca="1">IFERROR(__xludf.DUMMYFUNCTION("""COMPUTED_VALUE"""),"TrashCam: Real Time Littering Detection")</f>
        <v>TrashCam: Real Time Littering Detection</v>
      </c>
      <c r="C93" s="2" t="str">
        <f ca="1">IFERROR(__xludf.DUMMYFUNCTION("""COMPUTED_VALUE"""),"This project is a comprehensive smart security system designed to detect and address littering in public spaces using advanced technologies like computer vision, machine learning, AI, and IoT. The system automatically detects littering incidents, identifi"&amp;"es offenders (either individuals or vehicles), and generates detailed reports with supporting evidence. Additionally, it allows citizens to contribute through a mobile app, making the system a collaborative effort between authorities and the public. By in"&amp;"tegrating GPS, facial recognition, and license plate recognition, the system provides real-time alerts to authorities, enabling swift action against littering. 
Key Features:
1. Object Detection for trash classification.
2. Context Awareness to different"&amp;"iate between accidental drops and intentional littering.
3. Temporal Analysis to trace litter back in time.
4. GPS Integration for precise location identification.
5. Video/Photo Capture for evidence collection.
6. License Plate Recognition for identifyin"&amp;"g vehicles involved in littering.
7. Facial Recognition for identifying individuals.
8. Real-Time Alerts to notify authorities.
9. User Reporting via a mobile app.
10. Incident Reporting with automatic description generation.")</f>
        <v>This project is a comprehensive smart security system designed to detect and address littering in public spaces using advanced technologies like computer vision, machine learning, AI, and IoT. The system automatically detects littering incidents, identifies offenders (either individuals or vehicles), and generates detailed reports with supporting evidence. Additionally, it allows citizens to contribute through a mobile app, making the system a collaborative effort between authorities and the public. By integrating GPS, facial recognition, and license plate recognition, the system provides real-time alerts to authorities, enabling swift action against littering. 
Key Features:
1. Object Detection for trash classification.
2. Context Awareness to differentiate between accidental drops and intentional littering.
3. Temporal Analysis to trace litter back in time.
4. GPS Integration for precise location identification.
5. Video/Photo Capture for evidence collection.
6. License Plate Recognition for identifying vehicles involved in littering.
7. Facial Recognition for identifying individuals.
8. Real-Time Alerts to notify authorities.
9. User Reporting via a mobile app.
10. Incident Reporting with automatic description generation.</v>
      </c>
      <c r="D93" s="1" t="str">
        <f ca="1">IFERROR(__xludf.DUMMYFUNCTION("""COMPUTED_VALUE"""),"Mr. Owais Idrees")</f>
        <v>Mr. Owais Idrees</v>
      </c>
    </row>
    <row r="94" spans="1:4">
      <c r="A94" s="1" t="str">
        <f ca="1">IFERROR(__xludf.DUMMYFUNCTION("""COMPUTED_VALUE"""),"F24-094-D-CaseLink")</f>
        <v>F24-094-D-CaseLink</v>
      </c>
      <c r="B94" s="1" t="str">
        <f ca="1">IFERROR(__xludf.DUMMYFUNCTION("""COMPUTED_VALUE"""),"Case Link: An AI-powered Software Solution for Law Firms")</f>
        <v>Case Link: An AI-powered Software Solution for Law Firms</v>
      </c>
      <c r="C94" s="2" t="str">
        <f ca="1">IFERROR(__xludf.DUMMYFUNCTION("""COMPUTED_VALUE"""),"“Case Link” is an all in one law firm software solution meant to utilize the power of AI to support law firms both in Pakistan and abroad. In addition to essential features like case management and assignment, the software integrates advanced tools such a"&amp;"s performance dashboards, AI-driven chatbots for legal inquiries, real-time case updates for clients.
The software will be designed to address the various challenges faced by law firms and their personnel by incorporating AI and automating routine tasks, "&amp;"significantly enhancing the efficiency and productivity of any law firm.
Key Features:
1. Case Management - Efficient management of client and case data. 
2. Case Assignment - Smart Case Assignment according to lawyer’s experience and availability.
3. Cas"&amp;"e Dates Scheduling - Clash-free scheduling, deadline tracking and notification generation system.
4. Client Collaboration - Minimal client interface for real-time updates on case status.
5. Dashboard - Lawyer’s progress and performance tracking and monthl"&amp;"y report generation.
6. Communication - In-app chat system for efficient communication.
7. Legal Updates - Keep lawyers updated on the latest legal news and developments.
8. Document Chat - LLM powered interaction with legal documents.
9. Domain-Specific "&amp;"Chat - Provides AI-powered legal advice and insights.
10. Legal Document Creation - Automated creation of legal documents using LLM.")</f>
        <v>“Case Link” is an all in one law firm software solution meant to utilize the power of AI to support law firms both in Pakistan and abroad. In addition to essential features like case management and assignment, the software integrates advanced tools such as performance dashboards, AI-driven chatbots for legal inquiries, real-time case updates for clients.
The software will be designed to address the various challenges faced by law firms and their personnel by incorporating AI and automating routine tasks, significantly enhancing the efficiency and productivity of any law firm.
Key Features:
1. Case Management - Efficient management of client and case data. 
2. Case Assignment - Smart Case Assignment according to lawyer’s experience and availability.
3. Case Dates Scheduling - Clash-free scheduling, deadline tracking and notification generation system.
4. Client Collaboration - Minimal client interface for real-time updates on case status.
5. Dashboard - Lawyer’s progress and performance tracking and monthly report generation.
6. Communication - In-app chat system for efficient communication.
7. Legal Updates - Keep lawyers updated on the latest legal news and developments.
8. Document Chat - LLM powered interaction with legal documents.
9. Domain-Specific Chat - Provides AI-powered legal advice and insights.
10. Legal Document Creation - Automated creation of legal documents using LLM.</v>
      </c>
      <c r="D94" s="1" t="str">
        <f ca="1">IFERROR(__xludf.DUMMYFUNCTION("""COMPUTED_VALUE"""),"Dr. Imran Ashraf")</f>
        <v>Dr. Imran Ashraf</v>
      </c>
    </row>
    <row r="95" spans="1:4">
      <c r="A95" s="1" t="str">
        <f ca="1">IFERROR(__xludf.DUMMYFUNCTION("""COMPUTED_VALUE"""),"F24-095-R-VoxAISQL")</f>
        <v>F24-095-R-VoxAISQL</v>
      </c>
      <c r="B95" s="1" t="str">
        <f ca="1">IFERROR(__xludf.DUMMYFUNCTION("""COMPUTED_VALUE"""),"Optimizing the Whisper Model by open AI for Urdu Language: Reducing Compute Requirements While Maintaining Accuracy")</f>
        <v>Optimizing the Whisper Model by open AI for Urdu Language: Reducing Compute Requirements While Maintaining Accuracy</v>
      </c>
      <c r="C95" s="2" t="str">
        <f ca="1">IFERROR(__xludf.DUMMYFUNCTION("""COMPUTED_VALUE"""),"Our project focuses on optimizing Open-AI's Whisper model, fine-tuned for Urdu, to reduce its computational demands while maintaining accuracy. Currently, the model's accuracy is highest in its largest form, which requires substantial compute resources. W"&amp;"e aim to refine the smaller version of Whisper to achieve similar accuracy for Urdu, exploring techniques like QLORA, even though its effectiveness is uncertain. The goal is to create a more efficient model that performs well in resource-constrained envir"&amp;"onments.")</f>
        <v>Our project focuses on optimizing Open-AI's Whisper model, fine-tuned for Urdu, to reduce its computational demands while maintaining accuracy. Currently, the model's accuracy is highest in its largest form, which requires substantial compute resources. We aim to refine the smaller version of Whisper to achieve similar accuracy for Urdu, exploring techniques like QLORA, even though its effectiveness is uncertain. The goal is to create a more efficient model that performs well in resource-constrained environments.</v>
      </c>
      <c r="D95" s="1" t="str">
        <f ca="1">IFERROR(__xludf.DUMMYFUNCTION("""COMPUTED_VALUE"""),"Dr. Asif Naeem")</f>
        <v>Dr. Asif Naeem</v>
      </c>
    </row>
    <row r="96" spans="1:4">
      <c r="A96" s="1" t="str">
        <f ca="1">IFERROR(__xludf.DUMMYFUNCTION("""COMPUTED_VALUE"""),"F24-096-D-EduVantage")</f>
        <v>F24-096-D-EduVantage</v>
      </c>
      <c r="B96" s="1" t="str">
        <f ca="1">IFERROR(__xludf.DUMMYFUNCTION("""COMPUTED_VALUE"""),"The Graduate Recommender System is an intelligent web application aimed at helping graduates discover the most suitable graduate programs. ")</f>
        <v xml:space="preserve">The Graduate Recommender System is an intelligent web application aimed at helping graduates discover the most suitable graduate programs. </v>
      </c>
      <c r="C96" s="2" t="str">
        <f ca="1">IFERROR(__xludf.DUMMYFUNCTION("""COMPUTED_VALUE"""),"The Graduate Recommender System is an intelligent web application aimed at helping graduates discover the most suitable graduate programs. By collecting and analyzing user credentials, preferences, and eligibility criteria, the system provides personalize"&amp;"d recommendations. It leverages real-time university data scraping to ensure that users receive the most accurate and relevant program options available.
1. Manage User Profiles and Preferences:
Users can create and update profiles with personal and acad"&amp;"emic information, utilizing collaborative filtering for personalized suggestions.
2. Collect and Store Academic Credentials:
This feature gathers and securely stores user academic details like GPA, courses, and certifications.
3. Input and Select Preferre"&amp;"d Graduate Programs and Universities:
Users can specify their preferred graduate programs and universities, which is then used to tailor recommendations.
4. Evaluate Eligibility Against University Criteria:
The system matches user credentials with univers"&amp;"ity eligibility requirements using rule-based algorithms and NLP for criteria interpretation.
5. Scrape and Update Real-Time University Data:
This feature scrapes and updates university data in real-time, ensuring the system provides current program infor"&amp;"mation.
6. Generate and Prioritize Personalized Program Recommendations:
The recommendation engine uses AI and collaborative filtering to generate and prioritize graduate program suggestions based on user data.
7. Submit and View University Reviews and Ra"&amp;"tings:
Users can submit and view reviews and ratings for universities, enhancing community insights with collaborative filtering and sentiment analysis.
8. Enhance Recommendations with AI-Driven Insights:
The system refines program recommendations by anal"&amp;"yzing user data patterns and applying machine learning algorithms for deeper insights.")</f>
        <v>The Graduate Recommender System is an intelligent web application aimed at helping graduates discover the most suitable graduate programs. By collecting and analyzing user credentials, preferences, and eligibility criteria, the system provides personalized recommendations. It leverages real-time university data scraping to ensure that users receive the most accurate and relevant program options available.
1. Manage User Profiles and Preferences:
Users can create and update profiles with personal and academic information, utilizing collaborative filtering for personalized suggestions.
2. Collect and Store Academic Credentials:
This feature gathers and securely stores user academic details like GPA, courses, and certifications.
3. Input and Select Preferred Graduate Programs and Universities:
Users can specify their preferred graduate programs and universities, which is then used to tailor recommendations.
4. Evaluate Eligibility Against University Criteria:
The system matches user credentials with university eligibility requirements using rule-based algorithms and NLP for criteria interpretation.
5. Scrape and Update Real-Time University Data:
This feature scrapes and updates university data in real-time, ensuring the system provides current program information.
6. Generate and Prioritize Personalized Program Recommendations:
The recommendation engine uses AI and collaborative filtering to generate and prioritize graduate program suggestions based on user data.
7. Submit and View University Reviews and Ratings:
Users can submit and view reviews and ratings for universities, enhancing community insights with collaborative filtering and sentiment analysis.
8. Enhance Recommendations with AI-Driven Insights:
The system refines program recommendations by analyzing user data patterns and applying machine learning algorithms for deeper insights.</v>
      </c>
      <c r="D96" s="1" t="str">
        <f ca="1">IFERROR(__xludf.DUMMYFUNCTION("""COMPUTED_VALUE"""),"Mr. Majid Hussain")</f>
        <v>Mr. Majid Hussain</v>
      </c>
    </row>
    <row r="97" spans="1:4">
      <c r="A97" s="1" t="str">
        <f ca="1">IFERROR(__xludf.DUMMYFUNCTION("""COMPUTED_VALUE"""),"F24-097-D-LingoLearn")</f>
        <v>F24-097-D-LingoLearn</v>
      </c>
      <c r="B97" s="1" t="str">
        <f ca="1">IFERROR(__xludf.DUMMYFUNCTION("""COMPUTED_VALUE""")," LingoLearn: Live the Language through Immersive Augmented Reality Cultural Scenarios and Practice")</f>
        <v xml:space="preserve"> LingoLearn: Live the Language through Immersive Augmented Reality Cultural Scenarios and Practice</v>
      </c>
      <c r="C97" s="2" t="str">
        <f ca="1">IFERROR(__xludf.DUMMYFUNCTION("""COMPUTED_VALUE"""),"Project Scope:  Overview
The Augmented Reality Language Learning Platform is a cutting-edge application designed to enhance language acquisition through immersive technology. Utilizing Augmented Reality (AR) and Artificial Intelligence (AI), this platfor"&amp;"m provides users with an interactive environment where they can practice and improve their language skills in realistic scenarios. By integrating contextual AR environments and advanced AI tools, the platform aims to make language learning more engaging a"&amp;"nd effective.
Key Features
Immersive AR Scenery: Users interact with virtual environments that simulate the cultural and contextual aspects of the language they are learning.
AI-Powered Language Companion: An AI bot with a natural accent offers int"&amp;"eractive guidance and conversation practice within the AR environment.
Accent and Pronunciation Feedback: Weekly assessments provide immediate feedback on pronunciation and accent, helping users refine their speaking skills.
Scenario-Based Final Ass"&amp;"essment: A comprehensive test involving realistic scenarios evaluates users’ conversational abilities and language comprehension.
Progress Tracking and Performance Analytics: Continuous monitoring and detailed analytics track user progress.
Interact"&amp;"ive Conversational Practice: Users engage in free-form conversations with the AI bot to enhance their fluency and contextual understanding.")</f>
        <v>Project Scope:  Overview
The Augmented Reality Language Learning Platform is a cutting-edge application designed to enhance language acquisition through immersive technology. Utilizing Augmented Reality (AR) and Artificial Intelligence (AI), this platform provides users with an interactive environment where they can practice and improve their language skills in realistic scenarios. By integrating contextual AR environments and advanced AI tools, the platform aims to make language learning more engaging and effective.
Key Features
Immersive AR Scenery: Users interact with virtual environments that simulate the cultural and contextual aspects of the language they are learning.
AI-Powered Language Companion: An AI bot with a natural accent offers interactive guidance and conversation practice within the AR environment.
Accent and Pronunciation Feedback: Weekly assessments provide immediate feedback on pronunciation and accent, helping users refine their speaking skills.
Scenario-Based Final Assessment: A comprehensive test involving realistic scenarios evaluates users’ conversational abilities and language comprehension.
Progress Tracking and Performance Analytics: Continuous monitoring and detailed analytics track user progress.
Interactive Conversational Practice: Users engage in free-form conversations with the AI bot to enhance their fluency and contextual understanding.</v>
      </c>
      <c r="D97" s="1" t="str">
        <f ca="1">IFERROR(__xludf.DUMMYFUNCTION("""COMPUTED_VALUE"""),"Mr. Shams Farooq")</f>
        <v>Mr. Shams Farooq</v>
      </c>
    </row>
    <row r="98" spans="1:4">
      <c r="A98" s="1" t="str">
        <f ca="1">IFERROR(__xludf.DUMMYFUNCTION("""COMPUTED_VALUE"""),"F24-098-D-BidBot")</f>
        <v>F24-098-D-BidBot</v>
      </c>
      <c r="B98" s="1" t="str">
        <f ca="1">IFERROR(__xludf.DUMMYFUNCTION("""COMPUTED_VALUE"""),"Bid Bot: Freelance Automation and Engagement Suite ")</f>
        <v xml:space="preserve">Bid Bot: Freelance Automation and Engagement Suite </v>
      </c>
      <c r="C98" s="2" t="str">
        <f ca="1">IFERROR(__xludf.DUMMYFUNCTION("""COMPUTED_VALUE"""),"The project aims to develop an intelligent automation bot designed to streamline the workflow for freelancers on Upwork. This bot will handle a variety of tasks including job search, proposal submissions, client communication, and project tracking. The go"&amp;"al is to enhance productivity and efficiency by automating routine and repetitive tasks, allowing freelancers to focus on higher-value activities. The scope of the project includes integration with web scraping techniques if API access is limited, user-fr"&amp;"iendly interface design, and robust data management to ensure secure handling of personal and project information.
Key Features:
Automated Proposal Generation with AI: Advanced AI-powered suggestions that not only generate proposals based on job descrip"&amp;"tions but also adapt to client preferences and past interactions to increase the chances of winning bids.
Client Communication Automation: Intelligent response system that can handle routine client interactions and follow-ups based on predefined triggers"&amp;" and context, reducing manual communication effort.
Bid Management with Dynamic Adjustment: Automated bid placement that adjusts based on competitor bids, project urgency, and freelancer’s historical success rates to maximize winning potential.
Integrat"&amp;"ed Project Tracking Dashboard: Comprehensive project management tools within Upwork for tracking project status, deadlines, and milestones without needing to use external tools.
Advanced Time Tracking with Automation: Tools that automatically track time "&amp;"spent on tasks, categorize it, and provide detailed reports without manual logging.
Performance Analytics and Insights: Detailed analytics on proposal success rates, client feedback, project performance, and financial summaries to help freelancers make d"&amp;"ata-driven decisions.
Real-Time Notification and Alert System: Customized real-time alerts for job opportunities, message responses, and project updates to ensure timely action and avoid missed opportunities.
These features would address gaps in Upwork’"&amp;"s current offerings by providing more automation, analytics, and optimization tools to enhance freelancers' productivity and success on the platform.
")</f>
        <v xml:space="preserve">The project aims to develop an intelligent automation bot designed to streamline the workflow for freelancers on Upwork. This bot will handle a variety of tasks including job search, proposal submissions, client communication, and project tracking. The goal is to enhance productivity and efficiency by automating routine and repetitive tasks, allowing freelancers to focus on higher-value activities. The scope of the project includes integration with web scraping techniques if API access is limited, user-friendly interface design, and robust data management to ensure secure handling of personal and project information.
Key Features:
Automated Proposal Generation with AI: Advanced AI-powered suggestions that not only generate proposals based on job descriptions but also adapt to client preferences and past interactions to increase the chances of winning bids.
Client Communication Automation: Intelligent response system that can handle routine client interactions and follow-ups based on predefined triggers and context, reducing manual communication effort.
Bid Management with Dynamic Adjustment: Automated bid placement that adjusts based on competitor bids, project urgency, and freelancer’s historical success rates to maximize winning potential.
Integrated Project Tracking Dashboard: Comprehensive project management tools within Upwork for tracking project status, deadlines, and milestones without needing to use external tools.
Advanced Time Tracking with Automation: Tools that automatically track time spent on tasks, categorize it, and provide detailed reports without manual logging.
Performance Analytics and Insights: Detailed analytics on proposal success rates, client feedback, project performance, and financial summaries to help freelancers make data-driven decisions.
Real-Time Notification and Alert System: Customized real-time alerts for job opportunities, message responses, and project updates to ensure timely action and avoid missed opportunities.
These features would address gaps in Upwork’s current offerings by providing more automation, analytics, and optimization tools to enhance freelancers' productivity and success on the platform.
</v>
      </c>
      <c r="D98" s="1" t="str">
        <f ca="1">IFERROR(__xludf.DUMMYFUNCTION("""COMPUTED_VALUE"""),"Dr. Asif Naeem")</f>
        <v>Dr. Asif Naeem</v>
      </c>
    </row>
    <row r="99" spans="1:4">
      <c r="A99" s="1" t="str">
        <f ca="1">IFERROR(__xludf.DUMMYFUNCTION("""COMPUTED_VALUE"""),"F24-099-D-Paralegal")</f>
        <v>F24-099-D-Paralegal</v>
      </c>
      <c r="B99" s="1" t="str">
        <f ca="1">IFERROR(__xludf.DUMMYFUNCTION("""COMPUTED_VALUE"""),"Case Management System")</f>
        <v>Case Management System</v>
      </c>
      <c r="C99" s="2" t="str">
        <f ca="1">IFERROR(__xludf.DUMMYFUNCTION("""COMPUTED_VALUE"""),"The project involves developing an advanced Legal Case Management System tailored for lawyers in Pakistan to address inefficiencies in case handling and preparation. The system will provide a centralized platform for organizing, accessing, and analyzing c"&amp;"ase information, allowing lawyers to streamline their workflows, reduce delays, and enhance the quality of legal representation. The scope of the project includes integrating key legal resources, automating document creation, and supporting case law resea"&amp;"rch, ensuring that lawyers can present well-prepared arguments and expedite the legal process.
Features
1. Statues/Acts  Repository
2. Case Notes Repositry
3. Case Management
4. Clients Mangement
5. Automated Case Notes creation from Case Laws
6. Resear"&amp;"ch Document Creation for Case based on the case facts
7. Arguments generation for prosecutor and defendant
8. Legal Document Template Creation
")</f>
        <v xml:space="preserve">The project involves developing an advanced Legal Case Management System tailored for lawyers in Pakistan to address inefficiencies in case handling and preparation. The system will provide a centralized platform for organizing, accessing, and analyzing case information, allowing lawyers to streamline their workflows, reduce delays, and enhance the quality of legal representation. The scope of the project includes integrating key legal resources, automating document creation, and supporting case law research, ensuring that lawyers can present well-prepared arguments and expedite the legal process.
Features
1. Statues/Acts  Repository
2. Case Notes Repositry
3. Case Management
4. Clients Mangement
5. Automated Case Notes creation from Case Laws
6. Research Document Creation for Case based on the case facts
7. Arguments generation for prosecutor and defendant
8. Legal Document Template Creation
</v>
      </c>
      <c r="D99" s="1" t="str">
        <f ca="1">IFERROR(__xludf.DUMMYFUNCTION("""COMPUTED_VALUE"""),"Mr. Pir Sami Ullah Shah")</f>
        <v>Mr. Pir Sami Ullah Shah</v>
      </c>
    </row>
    <row r="100" spans="1:4">
      <c r="A100" s="1" t="str">
        <f ca="1">IFERROR(__xludf.DUMMYFUNCTION("""COMPUTED_VALUE"""),"F24-100-D-Palantir360")</f>
        <v>F24-100-D-Palantir360</v>
      </c>
      <c r="B100" s="1" t="str">
        <f ca="1">IFERROR(__xludf.DUMMYFUNCTION("""COMPUTED_VALUE"""),"Palantir360")</f>
        <v>Palantir360</v>
      </c>
      <c r="C100" s="2" t="str">
        <f ca="1">IFERROR(__xludf.DUMMYFUNCTION("""COMPUTED_VALUE"""),"Palantir360 is an innovative virtual reality (VR) solution designed for real estate societies, offering potential buyers an immersive and interactive experience to explore properties remotely. The project's scope encompasses creating a comprehensive VR en"&amp;"vironment that combines 360 view of the society with detailed interior models of individual homes. By utilizing drone footage, the Palantir360 generates 3D models of specific sectors, allowing users to take virtual tours of the neighborhood. For available"&amp;" properties, users can explore detailed interior models, providing a realistic sense of space and layout. The integration of an AI agent enhances the experience by answering user queries in real-time during both exterior and interior tours. Additionally, "&amp;"Palantir360 offers a unique feature that enables users to upload AutoCAD models of their dream homes, and visualize how they would fit into the existing landscape. This feature also includes customization options for elements such as paint colors and stor"&amp;"y levels etc. to further personalize the experience.
Key Features:
VR-based Real Estate Tours: Explore both outdoor and indoor spaces of real estate societies in an immersive VR environment.
Drone Footage Integration: Generate 3D models from drone foot"&amp;"age for a realistic representation of sectors and homes.
AI-Powered Query Assistance: An AI agent, using NLP, answers all customer queries during the VR tour.
Interior Model Exploration: Users can tour the inside of homes where 3D models are available.
"&amp;"AutoCAD Model Integration: Upload and visualize custom AutoCAD models within the VR space.
Customization Options: Customize features like paint and interior designs within the VR environment.
Real-Time Updates: Instant updates to the VR environment base"&amp;"d on new drone footage or model uploads.
Interactive User Interface: An intuitive and interactive interface for seamless navigation within the VR space.
Cross-Platform Compatibility: Accessible across various VR devices and platforms for a broad user ba"&amp;"se. Would also include a mobile application for accessibility.")</f>
        <v>Palantir360 is an innovative virtual reality (VR) solution designed for real estate societies, offering potential buyers an immersive and interactive experience to explore properties remotely. The project's scope encompasses creating a comprehensive VR environment that combines 360 view of the society with detailed interior models of individual homes. By utilizing drone footage, the Palantir360 generates 3D models of specific sectors, allowing users to take virtual tours of the neighborhood. For available properties, users can explore detailed interior models, providing a realistic sense of space and layout. The integration of an AI agent enhances the experience by answering user queries in real-time during both exterior and interior tours. Additionally, Palantir360 offers a unique feature that enables users to upload AutoCAD models of their dream homes, and visualize how they would fit into the existing landscape. This feature also includes customization options for elements such as paint colors and story levels etc. to further personalize the experience.
Key Features:
VR-based Real Estate Tours: Explore both outdoor and indoor spaces of real estate societies in an immersive VR environment.
Drone Footage Integration: Generate 3D models from drone footage for a realistic representation of sectors and homes.
AI-Powered Query Assistance: An AI agent, using NLP, answers all customer queries during the VR tour.
Interior Model Exploration: Users can tour the inside of homes where 3D models are available.
AutoCAD Model Integration: Upload and visualize custom AutoCAD models within the VR space.
Customization Options: Customize features like paint and interior designs within the VR environment.
Real-Time Updates: Instant updates to the VR environment based on new drone footage or model uploads.
Interactive User Interface: An intuitive and interactive interface for seamless navigation within the VR space.
Cross-Platform Compatibility: Accessible across various VR devices and platforms for a broad user base. Would also include a mobile application for accessibility.</v>
      </c>
      <c r="D100" s="1" t="str">
        <f ca="1">IFERROR(__xludf.DUMMYFUNCTION("""COMPUTED_VALUE"""),"Dr. Ahmad Raza Shahid")</f>
        <v>Dr. Ahmad Raza Shahid</v>
      </c>
    </row>
    <row r="101" spans="1:4">
      <c r="A101" s="1" t="str">
        <f ca="1">IFERROR(__xludf.DUMMYFUNCTION("""COMPUTED_VALUE"""),"F24-101-D-Fabricae")</f>
        <v>F24-101-D-Fabricae</v>
      </c>
      <c r="B101" s="1" t="str">
        <f ca="1">IFERROR(__xludf.DUMMYFUNCTION("""COMPUTED_VALUE"""),"A unified platform that uses AI technology to enable independent designers to generate, customize, and publish their textile patterns to a designer marketplace.")</f>
        <v>A unified platform that uses AI technology to enable independent designers to generate, customize, and publish their textile patterns to a designer marketplace.</v>
      </c>
      <c r="C101" s="2" t="str">
        <f ca="1">IFERROR(__xludf.DUMMYFUNCTION("""COMPUTED_VALUE"""),"The web application is designed for independent designers, small clothing businesses, and general consumers to create custom textile patterns from descriptive prompts, accommodating designs for clothing items and accessories with inspiration from both Eas"&amp;"tern and Western aesthetics. Users will personalize their patterns by editing colors and adding embellishments. The platform enables designers and businesses to create, publish, and showcase their designs, which can be viewed by large fashion companies wh"&amp;"o can contact designers directly. To ensure design quality, the app will have automated color harmony checks and symmetry detection to prevent color clashes and maintain pattern alignment, ensuring visually appealing and well-proportioned designs.
The app"&amp;"lication requires internet connectivity and user sign-in for a secure and personalized experience. 
1. AI-Driven Pattern Generation: Allows users to create custom textile patterns based on seasonal choices using descriptive prompts, using AI to generate "&amp;"unique designs.
2. Pattern Quality Assurance: Includes automated features to check and suggest refinements for pattern quality, such as color harmony checks and symmetry detection.
3. 3D Visualization: Provides a 3D view of generated patterns applied to v"&amp;"arious clothing items(Eastern and Western) and accessories (hats, bags e.tc), allowing users to see how their designs look before production.
4. Design Customization : Offers customization options to print patterns on different fabric types(eg. silk, cott"&amp;"on etc.),  edit pattern colors, add embellishments (such as patchwork, laces, and buttons), and refine designs on the selected 3D model.
5. Designer Marketplace: A platform where independent designers can showcase their textile patterns and designs to big"&amp;" fashion companies.
6. Integrated Chat Feature: Facilitates direct communication between independent designers and fashion companies, enabling collaborations, customization requests, and business inquiries.
7. Screenshot protection: Implement an overlay w"&amp;"atermark that appears only when a screenshot is detected in order to ensure the integrity and protection of designs, especially when any fashion company attempts to take screenshots
8. Account Management and Personalization:
Requires users to sign in to a"&amp;"ccess all features, providing a secure and personalized experience with user-specific design storage and management.
")</f>
        <v xml:space="preserve">The web application is designed for independent designers, small clothing businesses, and general consumers to create custom textile patterns from descriptive prompts, accommodating designs for clothing items and accessories with inspiration from both Eastern and Western aesthetics. Users will personalize their patterns by editing colors and adding embellishments. The platform enables designers and businesses to create, publish, and showcase their designs, which can be viewed by large fashion companies who can contact designers directly. To ensure design quality, the app will have automated color harmony checks and symmetry detection to prevent color clashes and maintain pattern alignment, ensuring visually appealing and well-proportioned designs.
The application requires internet connectivity and user sign-in for a secure and personalized experience. 
1. AI-Driven Pattern Generation: Allows users to create custom textile patterns based on seasonal choices using descriptive prompts, using AI to generate unique designs.
2. Pattern Quality Assurance: Includes automated features to check and suggest refinements for pattern quality, such as color harmony checks and symmetry detection.
3. 3D Visualization: Provides a 3D view of generated patterns applied to various clothing items(Eastern and Western) and accessories (hats, bags e.tc), allowing users to see how their designs look before production.
4. Design Customization : Offers customization options to print patterns on different fabric types(eg. silk, cotton etc.),  edit pattern colors, add embellishments (such as patchwork, laces, and buttons), and refine designs on the selected 3D model.
5. Designer Marketplace: A platform where independent designers can showcase their textile patterns and designs to big fashion companies.
6. Integrated Chat Feature: Facilitates direct communication between independent designers and fashion companies, enabling collaborations, customization requests, and business inquiries.
7. Screenshot protection: Implement an overlay watermark that appears only when a screenshot is detected in order to ensure the integrity and protection of designs, especially when any fashion company attempts to take screenshots
8. Account Management and Personalization:
Requires users to sign in to access all features, providing a secure and personalized experience with user-specific design storage and management.
</v>
      </c>
      <c r="D101" s="1" t="str">
        <f ca="1">IFERROR(__xludf.DUMMYFUNCTION("""COMPUTED_VALUE"""),"Dr. Shahela Saif")</f>
        <v>Dr. Shahela Saif</v>
      </c>
    </row>
    <row r="102" spans="1:4">
      <c r="A102" s="1" t="str">
        <f ca="1">IFERROR(__xludf.DUMMYFUNCTION("""COMPUTED_VALUE"""),"F24-102-D-HealthMate")</f>
        <v>F24-102-D-HealthMate</v>
      </c>
      <c r="B102" s="1" t="str">
        <f ca="1">IFERROR(__xludf.DUMMYFUNCTION("""COMPUTED_VALUE"""),"HealthMate: An AI-powered application that provides personalized health advice, predictions, and insights by analyzing user data and medical reports")</f>
        <v>HealthMate: An AI-powered application that provides personalized health advice, predictions, and insights by analyzing user data and medical reports</v>
      </c>
      <c r="C102" s="2" t="str">
        <f ca="1">IFERROR(__xludf.DUMMYFUNCTION("""COMPUTED_VALUE"""),"HealthMate is an innovative AI-driven mobile and web application designed to empower users to take control of their health by providing personalized advice, predictive insights, and comprehensive health management tools. The application leverages generati"&amp;"ve AI to analyze user data, including real-time metrics from wearables and IoT devices, as well as existing medical reports, to offer tailored health recommendations. HealthMate’s scope extends from daily wellness tips to advanced predictive modeling for "&amp;"potential health risks, making it an essential tool for proactive health management. The application is designed with a strong focus on data privacy, user engagement, and seamless integration with existing health ecosystems, ensuring that users receive ac"&amp;"curate, reliable, and actionable insights to enhance their overall well-being.
Key Features:
1- Personalized Health Advice: Custom recommendations on nutrition, exercise, sleep, and lifestyle adjustments based on user data.
2- Health Data Integration: R"&amp;"eal-time data collection and analysis from user inputs, wearables, and IoT devices.
3- AI-Driven Health Predictions: Forecasts potential health risks using advanced generative AI models.
4- Symptom Checker: AI-powered tool for diagnosing symptoms and prov"&amp;"iding advice on further medical action.
5- Medical Report Scanning: OCR technology to scan and extract key information from existing medical reports and prescriptions.
6- Medical Test Analysis: Automated analysis of blood tests and other medical reports t"&amp;"o detect abnormalities and provide recommendations.
7- Health Dashboard: Centralized display of key health metrics, advice, and predictive analytics.
8- Emergency Alerts: Real-time alerts sent to users and emergency contacts for critical health issues.
9-"&amp;" Community Support: Platform for users to connect, share experiences, and access peer-reviewed health content.
10- Multi-Platform Access: Seamless accessibility on both mobile and web applications for convenient health management.")</f>
        <v>HealthMate is an innovative AI-driven mobile and web application designed to empower users to take control of their health by providing personalized advice, predictive insights, and comprehensive health management tools. The application leverages generative AI to analyze user data, including real-time metrics from wearables and IoT devices, as well as existing medical reports, to offer tailored health recommendations. HealthMate’s scope extends from daily wellness tips to advanced predictive modeling for potential health risks, making it an essential tool for proactive health management. The application is designed with a strong focus on data privacy, user engagement, and seamless integration with existing health ecosystems, ensuring that users receive accurate, reliable, and actionable insights to enhance their overall well-being.
Key Features:
1- Personalized Health Advice: Custom recommendations on nutrition, exercise, sleep, and lifestyle adjustments based on user data.
2- Health Data Integration: Real-time data collection and analysis from user inputs, wearables, and IoT devices.
3- AI-Driven Health Predictions: Forecasts potential health risks using advanced generative AI models.
4- Symptom Checker: AI-powered tool for diagnosing symptoms and providing advice on further medical action.
5- Medical Report Scanning: OCR technology to scan and extract key information from existing medical reports and prescriptions.
6- Medical Test Analysis: Automated analysis of blood tests and other medical reports to detect abnormalities and provide recommendations.
7- Health Dashboard: Centralized display of key health metrics, advice, and predictive analytics.
8- Emergency Alerts: Real-time alerts sent to users and emergency contacts for critical health issues.
9- Community Support: Platform for users to connect, share experiences, and access peer-reviewed health content.
10- Multi-Platform Access: Seamless accessibility on both mobile and web applications for convenient health management.</v>
      </c>
      <c r="D102" s="1" t="str">
        <f ca="1">IFERROR(__xludf.DUMMYFUNCTION("""COMPUTED_VALUE"""),"Mr. Pir Sami Ullah Shah")</f>
        <v>Mr. Pir Sami Ullah Shah</v>
      </c>
    </row>
    <row r="103" spans="1:4">
      <c r="A103" s="1" t="str">
        <f ca="1">IFERROR(__xludf.DUMMYFUNCTION("""COMPUTED_VALUE"""),"F24-103-D-SkillSpark")</f>
        <v>F24-103-D-SkillSpark</v>
      </c>
      <c r="B103" s="1" t="str">
        <f ca="1">IFERROR(__xludf.DUMMYFUNCTION("""COMPUTED_VALUE"""),"SkillSpark: A Learning app catering to the needs of Austistic Kids")</f>
        <v>SkillSpark: A Learning app catering to the needs of Austistic Kids</v>
      </c>
      <c r="C103" s="2" t="str">
        <f ca="1">IFERROR(__xludf.DUMMYFUNCTION("""COMPUTED_VALUE"""),"Skillspark is a Learning app specifically tailored to the need of autistic Children and helps them learn by using their obsessions. It involves games with alot of environmental tasks that teaches them learning ranging from counting to social safety and cu"&amp;"es. 
 KEY FEATURES: 1.AI Driven Choosing 
 2.Tailored learning 
 3.Autism friendly Ui and concepts 
 4.Caregiver dashboard")</f>
        <v>Skillspark is a Learning app specifically tailored to the need of autistic Children and helps them learn by using their obsessions. It involves games with alot of environmental tasks that teaches them learning ranging from counting to social safety and cues. 
 KEY FEATURES: 1.AI Driven Choosing 
 2.Tailored learning 
 3.Autism friendly Ui and concepts 
 4.Caregiver dashboard</v>
      </c>
      <c r="D103" s="1" t="str">
        <f ca="1">IFERROR(__xludf.DUMMYFUNCTION("""COMPUTED_VALUE"""),"Ms. Marium Hida")</f>
        <v>Ms. Marium Hida</v>
      </c>
    </row>
    <row r="104" spans="1:4">
      <c r="A104" s="1" t="str">
        <f ca="1">IFERROR(__xludf.DUMMYFUNCTION("""COMPUTED_VALUE"""),"F24-104-D-FitFlex")</f>
        <v>F24-104-D-FitFlex</v>
      </c>
      <c r="B104" s="1" t="str">
        <f ca="1">IFERROR(__xludf.DUMMYFUNCTION("""COMPUTED_VALUE""")," FitFlex: Gym Trainer")</f>
        <v xml:space="preserve"> FitFlex: Gym Trainer</v>
      </c>
      <c r="C104" s="2" t="str">
        <f ca="1">IFERROR(__xludf.DUMMYFUNCTION("""COMPUTED_VALUE"""),"Project scope: we intend to build a one-stop fitness mobile application to make the process of finding a gym and working out much easier, incorporating real time assessment and visual/audio feedback generation. Modules
 .Gym accessories 
.Find gyms near"&amp;" me
.Real time Workout assessment through computer vision and deep learning
.Real time rep counter
.Real time audio feedback
.AR based feedback (optional)
.AI chatbot for gym/workout
.Goal tailored workout recommendations
.Performance reports  
.G"&amp;"ym community and forums")</f>
        <v>Project scope: we intend to build a one-stop fitness mobile application to make the process of finding a gym and working out much easier, incorporating real time assessment and visual/audio feedback generation. Modules
 .Gym accessories 
.Find gyms near me
.Real time Workout assessment through computer vision and deep learning
.Real time rep counter
.Real time audio feedback
.AR based feedback (optional)
.AI chatbot for gym/workout
.Goal tailored workout recommendations
.Performance reports  
.Gym community and forums</v>
      </c>
      <c r="D104" s="1" t="str">
        <f ca="1">IFERROR(__xludf.DUMMYFUNCTION("""COMPUTED_VALUE"""),"Ms. Nirmal Tariq")</f>
        <v>Ms. Nirmal Tariq</v>
      </c>
    </row>
    <row r="105" spans="1:4">
      <c r="A105" s="1" t="str">
        <f ca="1">IFERROR(__xludf.DUMMYFUNCTION("""COMPUTED_VALUE"""),"F24-105-D-RouteRover")</f>
        <v>F24-105-D-RouteRover</v>
      </c>
      <c r="B105" s="1" t="str">
        <f ca="1">IFERROR(__xludf.DUMMYFUNCTION("""COMPUTED_VALUE"""),"RouteRover")</f>
        <v>RouteRover</v>
      </c>
      <c r="C105" s="2" t="str">
        <f ca="1">IFERROR(__xludf.DUMMYFUNCTION("""COMPUTED_VALUE"""),"RouteRover is a mobile application that aims to provide real-time information and updates about different areas, similar to Google Maps, but with a unique set of features that enhances its functionality. These features include crowdsourced area updates, A"&amp;"I-powered insights for predicting traffic patterns and area conditions, customizable alerts for safety or event notifications, augmented reality (AR) overlays for real-time data visualization, and hyperlocal news and social media updates. Additionally, th"&amp;"e app encourages community engagement through localized discussions and micro-networks, offers eco-friendly route suggestions, and delivers highly personalized and context-aware notifications, creating a dynamic, user-driven platform that goes beyond trad"&amp;"itional mapping tools.
")</f>
        <v xml:space="preserve">RouteRover is a mobile application that aims to provide real-time information and updates about different areas, similar to Google Maps, but with a unique set of features that enhances its functionality. These features include crowdsourced area updates, AI-powered insights for predicting traffic patterns and area conditions, customizable alerts for safety or event notifications, augmented reality (AR) overlays for real-time data visualization, and hyperlocal news and social media updates. Additionally, the app encourages community engagement through localized discussions and micro-networks, offers eco-friendly route suggestions, and delivers highly personalized and context-aware notifications, creating a dynamic, user-driven platform that goes beyond traditional mapping tools.
</v>
      </c>
      <c r="D105" s="1" t="str">
        <f ca="1">IFERROR(__xludf.DUMMYFUNCTION("""COMPUTED_VALUE"""),"Mr. Saad Salman")</f>
        <v>Mr. Saad Salman</v>
      </c>
    </row>
    <row r="106" spans="1:4">
      <c r="A106" s="1" t="str">
        <f ca="1">IFERROR(__xludf.DUMMYFUNCTION("""COMPUTED_VALUE"""),"F24-106-D-CodeNexus")</f>
        <v>F24-106-D-CodeNexus</v>
      </c>
      <c r="B106" s="1" t="str">
        <f ca="1">IFERROR(__xludf.DUMMYFUNCTION("""COMPUTED_VALUE"""),"CodeNexus")</f>
        <v>CodeNexus</v>
      </c>
      <c r="C106" s="2" t="str">
        <f ca="1">IFERROR(__xludf.DUMMYFUNCTION("""COMPUTED_VALUE"""),"CodeNexus aims to create a comprehensive code analysis tool that detects code smells across an entire codebase, rather than just individual files. Code smells are suboptimal practices that can reduce the quality and maintainability of a codebase, hence th"&amp;"is project aims to enhance the code quality and maintainability of code before it is committed and pushed. The tool will analyze inter-file dependencies and provide refactoring suggestions, ensuring that the codebase remains clean, efficient, and easy to "&amp;"manage. The end result of our project is an open source VS Code extension that will allow developers to skip the paid options.
Analysis of the project
AST Generation 
AST Visualization
Real time detection of certain code smells 
Manually triggered detecti"&amp;"on of certain code smells
Manually configured rulesets for detection and refactoring to include or exclude files
Refactoring suggestions based on the identified code smells 
Revert modifications made after refactoring the code
Report generation post-analy"&amp;"sis and/or refactoring
Web-based version control and history management")</f>
        <v>CodeNexus aims to create a comprehensive code analysis tool that detects code smells across an entire codebase, rather than just individual files. Code smells are suboptimal practices that can reduce the quality and maintainability of a codebase, hence this project aims to enhance the code quality and maintainability of code before it is committed and pushed. The tool will analyze inter-file dependencies and provide refactoring suggestions, ensuring that the codebase remains clean, efficient, and easy to manage. The end result of our project is an open source VS Code extension that will allow developers to skip the paid options.
Analysis of the project
AST Generation 
AST Visualization
Real time detection of certain code smells 
Manually triggered detection of certain code smells
Manually configured rulesets for detection and refactoring to include or exclude files
Refactoring suggestions based on the identified code smells 
Revert modifications made after refactoring the code
Report generation post-analysis and/or refactoring
Web-based version control and history management</v>
      </c>
      <c r="D106" s="1" t="str">
        <f ca="1">IFERROR(__xludf.DUMMYFUNCTION("""COMPUTED_VALUE"""),"Dr. Atif Jilani")</f>
        <v>Dr. Atif Jilani</v>
      </c>
    </row>
    <row r="107" spans="1:4">
      <c r="A107" s="1" t="str">
        <f ca="1">IFERROR(__xludf.DUMMYFUNCTION("""COMPUTED_VALUE"""),"F24-107-D-SparkQuest")</f>
        <v>F24-107-D-SparkQuest</v>
      </c>
      <c r="B107" s="1" t="str">
        <f ca="1">IFERROR(__xludf.DUMMYFUNCTION("""COMPUTED_VALUE"""),"SparkQuest: AI powered Learning Platform for Elementary School Students")</f>
        <v>SparkQuest: AI powered Learning Platform for Elementary School Students</v>
      </c>
      <c r="C107" s="2" t="str">
        <f ca="1">IFERROR(__xludf.DUMMYFUNCTION("""COMPUTED_VALUE"""),"Scope:
We propose the development of an innovative educational app designed to enhance the learning experience of primary grade students through interactive and engaging modules. The app will mainly focus on enhancing learning through audio-visual aid Via"&amp;" Gen-AI. The app will also feature native language support to help Pakistani students understand the content clearly.
Key Features:
Q/A module: This module with generate questions from a textbook for students to practice for their tests
Image Q/A modul"&amp;"e: This module interprets and explains given images, helping students understand and describe what is happening in the visual content. 
Text to audio feature: The app will include a Text to Audio feature, making the app accessible to students with differe"&amp;"nt learning preferences and needs.
Evaluation and testing of students based on the accuracy of their answers to the questions generated by the system.
Topic explanation/summarization: This feature will specify topics from a pdf, given text or a book.
Topi"&amp;"c explanation and question answering from a video: This feature can be used to explain a given video or answer a given question by the user from the video. 
Dual language support: The app will support English as well as Urdu input and output (speech and t"&amp;"ext both).
Interactive question answering game: A feature to support interactive question answering games to engage a student and promote faster learning.
Data base: Record all student data, and save in a database to keep track of student evaluations")</f>
        <v>Scope:
We propose the development of an innovative educational app designed to enhance the learning experience of primary grade students through interactive and engaging modules. The app will mainly focus on enhancing learning through audio-visual aid Via Gen-AI. The app will also feature native language support to help Pakistani students understand the content clearly.
Key Features:
Q/A module: This module with generate questions from a textbook for students to practice for their tests
Image Q/A module: This module interprets and explains given images, helping students understand and describe what is happening in the visual content. 
Text to audio feature: The app will include a Text to Audio feature, making the app accessible to students with different learning preferences and needs.
Evaluation and testing of students based on the accuracy of their answers to the questions generated by the system.
Topic explanation/summarization: This feature will specify topics from a pdf, given text or a book.
Topic explanation and question answering from a video: This feature can be used to explain a given video or answer a given question by the user from the video. 
Dual language support: The app will support English as well as Urdu input and output (speech and text both).
Interactive question answering game: A feature to support interactive question answering games to engage a student and promote faster learning.
Data base: Record all student data, and save in a database to keep track of student evaluations</v>
      </c>
      <c r="D107" s="1" t="str">
        <f ca="1">IFERROR(__xludf.DUMMYFUNCTION("""COMPUTED_VALUE"""),"Mr. Adil Majeed")</f>
        <v>Mr. Adil Majeed</v>
      </c>
    </row>
    <row r="108" spans="1:4">
      <c r="A108" s="1" t="str">
        <f ca="1">IFERROR(__xludf.DUMMYFUNCTION("""COMPUTED_VALUE"""),"F24-108-D-PurrfectAssistant")</f>
        <v>F24-108-D-PurrfectAssistant</v>
      </c>
      <c r="B108" s="1" t="str">
        <f ca="1">IFERROR(__xludf.DUMMYFUNCTION("""COMPUTED_VALUE"""),"Purrfect Assistant")</f>
        <v>Purrfect Assistant</v>
      </c>
      <c r="C108" s="2" t="str">
        <f ca="1">IFERROR(__xludf.DUMMYFUNCTION("""COMPUTED_VALUE"""),"""Purrfect Assistant"" is a comprehensive mobile app designed to provide cat owners with personalized and reliable tools for optimal cat care.
Key Features:
1- Diet Tracker and AI Powered Personalised Diet Recommendations
2- AI powered cat care recommend"&amp;"ations and tips (Grooming, Exercise, and Neutering Guidance)
3- AI-Powered Chatbot for Quick Assistance
4- Specialized Care for Newborn and Rescue Cats
5- Integrated Cat Doctor for healthcare and veterinary recommendations. 
6- Cat Training Tips and Resou"&amp;"rces
7- Cat Accessories recommendations and online listings 
8- Cat Breed Detection Tool
9- GPS Tracker for Cat Safety")</f>
        <v>"Purrfect Assistant" is a comprehensive mobile app designed to provide cat owners with personalized and reliable tools for optimal cat care.
Key Features:
1- Diet Tracker and AI Powered Personalised Diet Recommendations
2- AI powered cat care recommendations and tips (Grooming, Exercise, and Neutering Guidance)
3- AI-Powered Chatbot for Quick Assistance
4- Specialized Care for Newborn and Rescue Cats
5- Integrated Cat Doctor for healthcare and veterinary recommendations. 
6- Cat Training Tips and Resources
7- Cat Accessories recommendations and online listings 
8- Cat Breed Detection Tool
9- GPS Tracker for Cat Safety</v>
      </c>
      <c r="D108" s="1" t="str">
        <f ca="1">IFERROR(__xludf.DUMMYFUNCTION("""COMPUTED_VALUE"""),"Ms. Sana Razzaq")</f>
        <v>Ms. Sana Razzaq</v>
      </c>
    </row>
    <row r="109" spans="1:4">
      <c r="A109" s="1" t="str">
        <f ca="1">IFERROR(__xludf.DUMMYFUNCTION("""COMPUTED_VALUE"""),"F24-109-R-WhisperMini")</f>
        <v>F24-109-R-WhisperMini</v>
      </c>
      <c r="B109" s="1" t="str">
        <f ca="1">IFERROR(__xludf.DUMMYFUNCTION("""COMPUTED_VALUE"""),"ScholarWatch: Smart Engagement and Performance Tracker")</f>
        <v>ScholarWatch: Smart Engagement and Performance Tracker</v>
      </c>
      <c r="C109" s="2" t="str">
        <f ca="1">IFERROR(__xludf.DUMMYFUNCTION("""COMPUTED_VALUE"""),"Scholarwatch aims to elevate the functionality of an existing Learning Management System (LMS) by integrating sophisticated AI-driven features that optimize content delivery and enhance student monitoring. The platform fosters flexible learning by adaptin"&amp;"g to each student's unique needs, pinpointing areas of difficulty, and providing targeted support to boost academic performance. Scholarwatch also ensures academic integrity by incorporating advanced mechanisms to monitor and prevent cheating during asses"&amp;"sments.
Key Features:
- Automated Slide Generation: Input a book chapter in PDF format, and the system generates slides with comprehensive explanations of the topic.
- Cheating Prevention: Monitors student behavior, including eye movement patterns, tab "&amp;"switching, and split-screen usage, to detect potential cheating.
- Attention Tracking: Analyzes student's posture and facial expressions to assess attentiveness during lectures.
- Attendance Monitoring: Tracks the duration of a student's participation in "&amp;"lectures to accurately record attendance.
- Insightful Analytics: Monitoring frequent visits  and time duration on specific slides, giving teachers insights into topics where students may be struggling.
- Interactive Quizzes: Administers quizzes during or"&amp;" after lectures to assess student understanding of the material.
- Revised Content Delivery: Offers additional lectures or materials to students who struggle with quiz topics.
- Progress Control: Prevents students from advancing to new topics without comp"&amp;"leting prerequisite content as determined by the teacher.
- Interactive Teacher Avatars: (Optional) A teacher avatar can be used for interactive and engaging lectures.")</f>
        <v>Scholarwatch aims to elevate the functionality of an existing Learning Management System (LMS) by integrating sophisticated AI-driven features that optimize content delivery and enhance student monitoring. The platform fosters flexible learning by adapting to each student's unique needs, pinpointing areas of difficulty, and providing targeted support to boost academic performance. Scholarwatch also ensures academic integrity by incorporating advanced mechanisms to monitor and prevent cheating during assessments.
Key Features:
- Automated Slide Generation: Input a book chapter in PDF format, and the system generates slides with comprehensive explanations of the topic.
- Cheating Prevention: Monitors student behavior, including eye movement patterns, tab switching, and split-screen usage, to detect potential cheating.
- Attention Tracking: Analyzes student's posture and facial expressions to assess attentiveness during lectures.
- Attendance Monitoring: Tracks the duration of a student's participation in lectures to accurately record attendance.
- Insightful Analytics: Monitoring frequent visits  and time duration on specific slides, giving teachers insights into topics where students may be struggling.
- Interactive Quizzes: Administers quizzes during or after lectures to assess student understanding of the material.
- Revised Content Delivery: Offers additional lectures or materials to students who struggle with quiz topics.
- Progress Control: Prevents students from advancing to new topics without completing prerequisite content as determined by the teacher.
- Interactive Teacher Avatars: (Optional) A teacher avatar can be used for interactive and engaging lectures.</v>
      </c>
      <c r="D109" s="1" t="str">
        <f ca="1">IFERROR(__xludf.DUMMYFUNCTION("""COMPUTED_VALUE"""),"Mr. Pir Sami Ullah Shah")</f>
        <v>Mr. Pir Sami Ullah Shah</v>
      </c>
    </row>
    <row r="110" spans="1:4">
      <c r="A110" s="1" t="str">
        <f ca="1">IFERROR(__xludf.DUMMYFUNCTION("""COMPUTED_VALUE"""),"F24-110-D-WatchDogAI")</f>
        <v>F24-110-D-WatchDogAI</v>
      </c>
      <c r="B110" s="1" t="str">
        <f ca="1">IFERROR(__xludf.DUMMYFUNCTION("""COMPUTED_VALUE"""),"WatchDog AI: Comprehensive Threat and Object Detection System")</f>
        <v>WatchDog AI: Comprehensive Threat and Object Detection System</v>
      </c>
      <c r="C110" s="2" t="str">
        <f ca="1">IFERROR(__xludf.DUMMYFUNCTION("""COMPUTED_VALUE"""),"In order to timely detect incidents like theft, robbery, violence etc, we've decided to make our own model, which combines existing models and detects multiple areas of violence in a CCTV footage. This model provides users with timely and immediate update"&amp;"s of any irregular/suspicious activities detected and prevents them from any kind of loss. It also allows the users to jump directly to the footage of the suspicious activity detected, instead of going through the complete footage.
Key features:
1. Detec"&amp;"ting multiple acts of violence automatically 
2. Increased accuracy of model 
3. Pinpointing the exact type and time of violence in CCTV footage
4. Exact detection of the suspicious activity in a crowded place
5. Real-time alerts/alarm and notifications 
"&amp;"6. User-friendly interface
7. Integration with existing security systems
8. Export clips/video (CCTV)
")</f>
        <v xml:space="preserve">In order to timely detect incidents like theft, robbery, violence etc, we've decided to make our own model, which combines existing models and detects multiple areas of violence in a CCTV footage. This model provides users with timely and immediate updates of any irregular/suspicious activities detected and prevents them from any kind of loss. It also allows the users to jump directly to the footage of the suspicious activity detected, instead of going through the complete footage.
Key features:
1. Detecting multiple acts of violence automatically 
2. Increased accuracy of model 
3. Pinpointing the exact type and time of violence in CCTV footage
4. Exact detection of the suspicious activity in a crowded place
5. Real-time alerts/alarm and notifications 
6. User-friendly interface
7. Integration with existing security systems
8. Export clips/video (CCTV)
</v>
      </c>
      <c r="D110" s="1" t="str">
        <f ca="1">IFERROR(__xludf.DUMMYFUNCTION("""COMPUTED_VALUE"""),"Dr. Usman Habib")</f>
        <v>Dr. Usman Habib</v>
      </c>
    </row>
    <row r="111" spans="1:4">
      <c r="A111" s="1" t="str">
        <f ca="1">IFERROR(__xludf.DUMMYFUNCTION("""COMPUTED_VALUE"""),"F24-111-D-FireCar")</f>
        <v>F24-111-D-FireCar</v>
      </c>
      <c r="B111" s="1" t="str">
        <f ca="1">IFERROR(__xludf.DUMMYFUNCTION("""COMPUTED_VALUE"""),"FireCar: Autonomous Firefighter Car for Building Protection")</f>
        <v>FireCar: Autonomous Firefighter Car for Building Protection</v>
      </c>
      <c r="C111" s="2" t="str">
        <f ca="1">IFERROR(__xludf.DUMMYFUNCTION("""COMPUTED_VALUE"""),"The project aims to develop an autonomous car capable of navigating a predefined area to detect and extinguish fires. FireCar will utilize advanced sensors to monitor environmental conditions and identify the presence of fire. Upon detection, it will acti"&amp;"vate its built-in extinguishing system to suppress the fire and also generate safety alarms.")</f>
        <v>The project aims to develop an autonomous car capable of navigating a predefined area to detect and extinguish fires. FireCar will utilize advanced sensors to monitor environmental conditions and identify the presence of fire. Upon detection, it will activate its built-in extinguishing system to suppress the fire and also generate safety alarms.</v>
      </c>
      <c r="D111" s="1" t="str">
        <f ca="1">IFERROR(__xludf.DUMMYFUNCTION("""COMPUTED_VALUE"""),"Dr. Zeshan Khan")</f>
        <v>Dr. Zeshan Khan</v>
      </c>
    </row>
    <row r="112" spans="1:4">
      <c r="A112" s="1" t="str">
        <f ca="1">IFERROR(__xludf.DUMMYFUNCTION("""COMPUTED_VALUE"""),"F24-112-D-InfoMorph")</f>
        <v>F24-112-D-InfoMorph</v>
      </c>
      <c r="B112" s="1" t="str">
        <f ca="1">IFERROR(__xludf.DUMMYFUNCTION("""COMPUTED_VALUE"""),"InfoMorph - Revolutionizing information with AI generation")</f>
        <v>InfoMorph - Revolutionizing information with AI generation</v>
      </c>
      <c r="C112" s="2" t="str">
        <f ca="1">IFERROR(__xludf.DUMMYFUNCTION("""COMPUTED_VALUE"""),"Our project involves creating a web-based platform where users can input any URL of an article or blog. The platform will automatically scrape data from the selected URL or set of URLs, using natural language processing (NLP) techniques to categorize the "&amp;"extracted content. We’ll leverage open-source large language models (LLMs) to summarize the data, producing a concise and original summary. This summary will then be transformed into speech using advanced text-to-speech (TTS) technology and integrated int"&amp;"o a video featuring a deepfake news anchor who delivers the content. The project will showcase the seamless integration of web scraping, NLP, LLMs, deepfake video generation, and web development, demonstrating a complete end-to-end pipeline from data coll"&amp;"ection to multimedia content creation.")</f>
        <v>Our project involves creating a web-based platform where users can input any URL of an article or blog. The platform will automatically scrape data from the selected URL or set of URLs, using natural language processing (NLP) techniques to categorize the extracted content. We’ll leverage open-source large language models (LLMs) to summarize the data, producing a concise and original summary. This summary will then be transformed into speech using advanced text-to-speech (TTS) technology and integrated into a video featuring a deepfake news anchor who delivers the content. The project will showcase the seamless integration of web scraping, NLP, LLMs, deepfake video generation, and web development, demonstrating a complete end-to-end pipeline from data collection to multimedia content creation.</v>
      </c>
      <c r="D112" s="1" t="str">
        <f ca="1">IFERROR(__xludf.DUMMYFUNCTION("""COMPUTED_VALUE"""),"Dr. Adnan Tariq")</f>
        <v>Dr. Adnan Tariq</v>
      </c>
    </row>
    <row r="113" spans="1:4">
      <c r="A113" s="1" t="str">
        <f ca="1">IFERROR(__xludf.DUMMYFUNCTION("""COMPUTED_VALUE"""),"F24-113-D-TeleAI")</f>
        <v>F24-113-D-TeleAI</v>
      </c>
      <c r="B113" s="1" t="str">
        <f ca="1">IFERROR(__xludf.DUMMYFUNCTION("""COMPUTED_VALUE"""),"TeleAI: Real-Time AI Conversational Agent for Order Taking in Restaurants")</f>
        <v>TeleAI: Real-Time AI Conversational Agent for Order Taking in Restaurants</v>
      </c>
      <c r="C113" s="2" t="str">
        <f ca="1">IFERROR(__xludf.DUMMYFUNCTION("""COMPUTED_VALUE"""),"TeleAI: Real-Time AI Conversational Agent for Order Taking in Restaurants
Project Description: TeleAI is a Real-Time AI Conversational Agent specifically designed for taking orders in restaurants. The system will autonomously handle customer calls in Engl"&amp;"ish, accurately interpreting their requests and processing orders seamlessly. The AI agent manages all customer interactions independently, without the need for call routing to human agents. Orders generated by TeleAI will be displayed on a dedicated term"&amp;"inal, allowing restaurant staff to manage and process them efficiently. This solution aims to reduce wait times, improve order accuracy, and enhance overall customer satisfaction by providing a smooth and efficient ordering process over the phone.
Key Fe"&amp;"atures:
1.	Real-Time Speech Recognition: Accurately transcribe customer speech in English into text for processing.
2.	Natural Language Understanding (NLP): Interpret customer queries and order details, handling different accents and variations in speech."&amp;"
3.	Dynamic Response Generation: Provide context-aware responses to customer inputs, including confirmation of order details.
4.	Order Confirmation: Verify and confirm order details with the customer before finalizing.
5.	Menu Management: Allow restaurant"&amp;" staff to update the menu, including availability of items and daily specials.
6.	Dedicated Order Terminal: Display all orders generated by TeleAI on a dedicated terminal for staff review and processing.
7.	User-Friendly Interface: Offer an intuitive inte"&amp;"rface for managing orders, updating the menu, and monitoring system performance.
8.	Scalability: Capable of handling multiple customer calls simultaneously, ensuring smooth operation even during peak hours.
9.	Analytics and Reporting: Provide reporting on"&amp;" order metrics and call durations to help improve service efficiency.
TeleAI is designed to streamline the order-taking process in restaurants, ensuring accuracy and efficiency while providing a positive customer experience.")</f>
        <v>TeleAI: Real-Time AI Conversational Agent for Order Taking in Restaurants
Project Description: TeleAI is a Real-Time AI Conversational Agent specifically designed for taking orders in restaurants. The system will autonomously handle customer calls in English, accurately interpreting their requests and processing orders seamlessly. The AI agent manages all customer interactions independently, without the need for call routing to human agents. Orders generated by TeleAI will be displayed on a dedicated terminal, allowing restaurant staff to manage and process them efficiently. This solution aims to reduce wait times, improve order accuracy, and enhance overall customer satisfaction by providing a smooth and efficient ordering process over the phone.
Key Features:
1.	Real-Time Speech Recognition: Accurately transcribe customer speech in English into text for processing.
2.	Natural Language Understanding (NLP): Interpret customer queries and order details, handling different accents and variations in speech.
3.	Dynamic Response Generation: Provide context-aware responses to customer inputs, including confirmation of order details.
4.	Order Confirmation: Verify and confirm order details with the customer before finalizing.
5.	Menu Management: Allow restaurant staff to update the menu, including availability of items and daily specials.
6.	Dedicated Order Terminal: Display all orders generated by TeleAI on a dedicated terminal for staff review and processing.
7.	User-Friendly Interface: Offer an intuitive interface for managing orders, updating the menu, and monitoring system performance.
8.	Scalability: Capable of handling multiple customer calls simultaneously, ensuring smooth operation even during peak hours.
9.	Analytics and Reporting: Provide reporting on order metrics and call durations to help improve service efficiency.
TeleAI is designed to streamline the order-taking process in restaurants, ensuring accuracy and efficiency while providing a positive customer experience.</v>
      </c>
      <c r="D113" s="1" t="str">
        <f ca="1">IFERROR(__xludf.DUMMYFUNCTION("""COMPUTED_VALUE"""),"Dr. Hasan Mujtaba")</f>
        <v>Dr. Hasan Mujtaba</v>
      </c>
    </row>
    <row r="114" spans="1:4">
      <c r="A114" s="1" t="str">
        <f ca="1">IFERROR(__xludf.DUMMYFUNCTION("""COMPUTED_VALUE"""),"F24-114-D-SignsEye")</f>
        <v>F24-114-D-SignsEye</v>
      </c>
      <c r="B114" s="1" t="str">
        <f ca="1">IFERROR(__xludf.DUMMYFUNCTION("""COMPUTED_VALUE"""),"Geo-Tagging US Roadway Assets Using 2D Images")</f>
        <v>Geo-Tagging US Roadway Assets Using 2D Images</v>
      </c>
      <c r="C114" s="2" t="str">
        <f ca="1">IFERROR(__xludf.DUMMYFUNCTION("""COMPUTED_VALUE"""),"This project aims to develop an advanced system for accurately determining the geolocation of various roadway assets using sequential 2D imagery collected by survey vehicles. Utilizing AI and machine learning algorithms, the project addresses challenges s"&amp;"uch as the limitations of 2D vector space, vehicle speed, and external obstructions. The ultimate objective is to enhance road safety analysis by precisely identifying and documenting the locations of assets like traffic signs from roadway images, thereby"&amp;" improving asset management and maintenance efficiency.
Key Features:
1. Depth Map Generation: Implementing algorithms to create depth maps from 2D images for accurate spatial analysis.
2. Image Preprocessing: Enhancing and preparing 2D images of roadway"&amp;" assets for analysis.
3. Depth and Angle Calculation: Determining the depth and angles of assets from generated depth maps.
4. Geolocation Calculation: Accurately calculating the geolocation of roadway assets using depth and angle information.
5. Visualiz"&amp;"ation of Results: Presenting geolocation results in an intuitive visual format for easy interpretation and decision-making.
6. High Accuracy and Robustness: Leveraging state-of-the-art deep learning models to ensure high accuracy and robustness in depth e"&amp;"stimation and geolocation.
7. Handling Occlusions and Variations: Implementing techniques to manage challenges such as occlusions and variations in texture and lighting conditions.
8. Error Reduction: Ongoing efforts to minimize location prediction errors"&amp;", aiming to achieve an accuracy within 3 feet.")</f>
        <v>This project aims to develop an advanced system for accurately determining the geolocation of various roadway assets using sequential 2D imagery collected by survey vehicles. Utilizing AI and machine learning algorithms, the project addresses challenges such as the limitations of 2D vector space, vehicle speed, and external obstructions. The ultimate objective is to enhance road safety analysis by precisely identifying and documenting the locations of assets like traffic signs from roadway images, thereby improving asset management and maintenance efficiency.
Key Features:
1. Depth Map Generation: Implementing algorithms to create depth maps from 2D images for accurate spatial analysis.
2. Image Preprocessing: Enhancing and preparing 2D images of roadway assets for analysis.
3. Depth and Angle Calculation: Determining the depth and angles of assets from generated depth maps.
4. Geolocation Calculation: Accurately calculating the geolocation of roadway assets using depth and angle information.
5. Visualization of Results: Presenting geolocation results in an intuitive visual format for easy interpretation and decision-making.
6. High Accuracy and Robustness: Leveraging state-of-the-art deep learning models to ensure high accuracy and robustness in depth estimation and geolocation.
7. Handling Occlusions and Variations: Implementing techniques to manage challenges such as occlusions and variations in texture and lighting conditions.
8. Error Reduction: Ongoing efforts to minimize location prediction errors, aiming to achieve an accuracy within 3 feet.</v>
      </c>
      <c r="D114" s="1" t="str">
        <f ca="1">IFERROR(__xludf.DUMMYFUNCTION("""COMPUTED_VALUE"""),"Dr. Imran Ashraf")</f>
        <v>Dr. Imran Ashraf</v>
      </c>
    </row>
    <row r="115" spans="1:4">
      <c r="A115" s="1" t="str">
        <f ca="1">IFERROR(__xludf.DUMMYFUNCTION("""COMPUTED_VALUE"""),"F24-115-D-RoadInSight")</f>
        <v>F24-115-D-RoadInSight</v>
      </c>
      <c r="B115" s="1" t="str">
        <f ca="1">IFERROR(__xludf.DUMMYFUNCTION("""COMPUTED_VALUE"""),"Road Surface Detection Using Inexpensive Cell Phone IMU Sensors")</f>
        <v>Road Surface Detection Using Inexpensive Cell Phone IMU Sensors</v>
      </c>
      <c r="C115" s="2" t="str">
        <f ca="1">IFERROR(__xludf.DUMMYFUNCTION("""COMPUTED_VALUE"""),"Utilize inexpensive and readily available smartphone sensors for road surface detection. The application will be installed on the cell phones of drivers. The collected data will be used for crowd-pavement sensing and estimation of road elevation. Moreover"&amp;", a simple dash cam will be installed in the vehicles for assistance in labelling of ground truth values.
Key Points:
1. Development of a Mobile Application for Real-time Data Collection
2. Implementation of Firebase Database for Secure Data Storage
3. I"&amp;"ntegration of Crowdsourced Data from Multiple Contributors
4. Ground Truth Labeling on Roads in Islamabad and Rawalpindi
5. Design and Implementation of a Custom Model Architecture
6. Model Training and Optimization for Enhanced Accuracy
7. Deployment of "&amp;"a Mobile Application for Citywide Pothole Mapping
8. Creation of a Road Elevation Estimation Map
")</f>
        <v xml:space="preserve">Utilize inexpensive and readily available smartphone sensors for road surface detection. The application will be installed on the cell phones of drivers. The collected data will be used for crowd-pavement sensing and estimation of road elevation. Moreover, a simple dash cam will be installed in the vehicles for assistance in labelling of ground truth values.
Key Points:
1. Development of a Mobile Application for Real-time Data Collection
2. Implementation of Firebase Database for Secure Data Storage
3. Integration of Crowdsourced Data from Multiple Contributors
4. Ground Truth Labeling on Roads in Islamabad and Rawalpindi
5. Design and Implementation of a Custom Model Architecture
6. Model Training and Optimization for Enhanced Accuracy
7. Deployment of a Mobile Application for Citywide Pothole Mapping
8. Creation of a Road Elevation Estimation Map
</v>
      </c>
      <c r="D115" s="1" t="str">
        <f ca="1">IFERROR(__xludf.DUMMYFUNCTION("""COMPUTED_VALUE"""),"Dr. Hammad Majeed")</f>
        <v>Dr. Hammad Majeed</v>
      </c>
    </row>
    <row r="116" spans="1:4">
      <c r="A116" s="1" t="str">
        <f ca="1">IFERROR(__xludf.DUMMYFUNCTION("""COMPUTED_VALUE"""),"F24-116-D-PestInsight")</f>
        <v>F24-116-D-PestInsight</v>
      </c>
      <c r="B116" s="1" t="str">
        <f ca="1">IFERROR(__xludf.DUMMYFUNCTION("""COMPUTED_VALUE"""),"PestInsight - AI-Driven Pest Detection for Crops")</f>
        <v>PestInsight - AI-Driven Pest Detection for Crops</v>
      </c>
      <c r="C116" s="2" t="str">
        <f ca="1">IFERROR(__xludf.DUMMYFUNCTION("""COMPUTED_VALUE"""),"PestInsight focuses on developing an AI-based system for the detection of pests in the three most popular crops in Pakistan: wheat, rice, and corn. By leveraging deep learning models and image processing techniques, the system aims to provide farmers and "&amp;"agricultural professionals with an efficient tool to identify and manage pest infestations early, ultimately promoting sustainable agricultural practices and enhancing crop yields. The solution integrates a user-friendly web application with a React front"&amp;"end and Django backend to deliver real-time pest detection and actionable insights.
Key Features:
1. Pest Detection with YOLO
2. Pest Counting
3. IP102 Dataset Utilization
4. Real-Time Image Analysis
5. Pest Identification Results
6. Severity Assessment "&amp;"
7. Pest Management Tips
8. Report Generation
9. User-Friendly Interface ")</f>
        <v xml:space="preserve">PestInsight focuses on developing an AI-based system for the detection of pests in the three most popular crops in Pakistan: wheat, rice, and corn. By leveraging deep learning models and image processing techniques, the system aims to provide farmers and agricultural professionals with an efficient tool to identify and manage pest infestations early, ultimately promoting sustainable agricultural practices and enhancing crop yields. The solution integrates a user-friendly web application with a React frontend and Django backend to deliver real-time pest detection and actionable insights.
Key Features:
1. Pest Detection with YOLO
2. Pest Counting
3. IP102 Dataset Utilization
4. Real-Time Image Analysis
5. Pest Identification Results
6. Severity Assessment 
7. Pest Management Tips
8. Report Generation
9. User-Friendly Interface </v>
      </c>
      <c r="D116" s="1" t="str">
        <f ca="1">IFERROR(__xludf.DUMMYFUNCTION("""COMPUTED_VALUE"""),"Dr. Labiba Fahad")</f>
        <v>Dr. Labiba Fahad</v>
      </c>
    </row>
    <row r="117" spans="1:4">
      <c r="A117" s="1" t="str">
        <f ca="1">IFERROR(__xludf.DUMMYFUNCTION("""COMPUTED_VALUE"""),"F24-117-D-AiUML")</f>
        <v>F24-117-D-AiUML</v>
      </c>
      <c r="B117" s="1" t="str">
        <f ca="1">IFERROR(__xludf.DUMMYFUNCTION("""COMPUTED_VALUE"""),"AiUML - AI Powered Automated Generation of UML Diagrams")</f>
        <v>AiUML - AI Powered Automated Generation of UML Diagrams</v>
      </c>
      <c r="C117" s="2" t="str">
        <f ca="1">IFERROR(__xludf.DUMMYFUNCTION("""COMPUTED_VALUE"""),"Our project is an AI-powered system that automatically generates UML diagrams from textual software requirements. The system interprets textual requirements through NLP techniques and translates them into accurate and structured UML diagrams, such as clas"&amp;"s diagrams, sequence diagrams, and use case diagrams etc. Such a system will automate a major part of the Software Development Lifecycle (SDLC), and thus help software engineers and the developer community by automating the creation of design artifacts.
"&amp;"Features:
- NLP Based Entity Extraction
- Automated Diagram Generation
- AI Driven Diagram Optimization
- Diagram Customizer &amp; Editor
- Multi-Diagram Support (Class diagrams, Use-Case Diagrams, Sequence Diagrams, Entity Relationship Diagrams, Architecture"&amp;" Diagram)
- Integration with 3rd Party Diagramming Tools
- Exporting Diagram in Multiple Formats
- Text Based User-Friendly Interface")</f>
        <v>Our project is an AI-powered system that automatically generates UML diagrams from textual software requirements. The system interprets textual requirements through NLP techniques and translates them into accurate and structured UML diagrams, such as class diagrams, sequence diagrams, and use case diagrams etc. Such a system will automate a major part of the Software Development Lifecycle (SDLC), and thus help software engineers and the developer community by automating the creation of design artifacts.
Features:
- NLP Based Entity Extraction
- Automated Diagram Generation
- AI Driven Diagram Optimization
- Diagram Customizer &amp; Editor
- Multi-Diagram Support (Class diagrams, Use-Case Diagrams, Sequence Diagrams, Entity Relationship Diagrams, Architecture Diagram)
- Integration with 3rd Party Diagramming Tools
- Exporting Diagram in Multiple Formats
- Text Based User-Friendly Interface</v>
      </c>
      <c r="D117" s="1" t="str">
        <f ca="1">IFERROR(__xludf.DUMMYFUNCTION("""COMPUTED_VALUE"""),"Ms. Noor ul Ain")</f>
        <v>Ms. Noor ul Ain</v>
      </c>
    </row>
    <row r="118" spans="1:4">
      <c r="A118" s="1" t="str">
        <f ca="1">IFERROR(__xludf.DUMMYFUNCTION("""COMPUTED_VALUE"""),"F24-118-D-ScholarWatch")</f>
        <v>F24-118-D-ScholarWatch</v>
      </c>
      <c r="B118" s="1" t="str">
        <f ca="1">IFERROR(__xludf.DUMMYFUNCTION("""COMPUTED_VALUE"""),"An LLM-powered application that allows users to hire professionals across diverse fields, including programming, medical, architectural, and more.")</f>
        <v>An LLM-powered application that allows users to hire professionals across diverse fields, including programming, medical, architectural, and more.</v>
      </c>
      <c r="C118" s="2" t="str">
        <f ca="1">IFERROR(__xludf.DUMMYFUNCTION("""COMPUTED_VALUE"""),"An LLM-powered platform that enables users to discover, connect, and hire skilled professionals across a wide range of industries and specialties, including programming, healthcare, design, and more. This comprehensive solution streamlines the hiring proc"&amp;"ess, allowing individuals and businesses to access a diverse pool of vetted experts to meet their specific needs efficiently.
Key Features:
1. Search up a plethora of niches in any major profession with sufficient details.
2. Users can be extremely spec"&amp;"ific with thier searches, asking the chatbot for timings, pricing, sub-specialties, interests, reviews and more.
3. Upto date data from a variety of automated web-scrapers from authentic websites entailing user information.
4. Roman Urdu/Multi-Language su"&amp;"pport for all sorts of users.
5. An ""Ease of usage"" system that allows users to input very basic layman queries and still get matched with professionals.
6. Automated email/SMS process for quick and easy collaboration.
7. Users can further communicate w"&amp;"ith the Chatbot to further narrow down individuals or gather more information about professions.
8. A voice feature for inputing requirements.
9. A history system that allows the chatbot to remeber details about the user and their preferences.")</f>
        <v>An LLM-powered platform that enables users to discover, connect, and hire skilled professionals across a wide range of industries and specialties, including programming, healthcare, design, and more. This comprehensive solution streamlines the hiring process, allowing individuals and businesses to access a diverse pool of vetted experts to meet their specific needs efficiently.
Key Features:
1. Search up a plethora of niches in any major profession with sufficient details.
2. Users can be extremely specific with thier searches, asking the chatbot for timings, pricing, sub-specialties, interests, reviews and more.
3. Upto date data from a variety of automated web-scrapers from authentic websites entailing user information.
4. Roman Urdu/Multi-Language support for all sorts of users.
5. An "Ease of usage" system that allows users to input very basic layman queries and still get matched with professionals.
6. Automated email/SMS process for quick and easy collaboration.
7. Users can further communicate with the Chatbot to further narrow down individuals or gather more information about professions.
8. A voice feature for inputing requirements.
9. A history system that allows the chatbot to remeber details about the user and their preferences.</v>
      </c>
      <c r="D118" s="1" t="str">
        <f ca="1">IFERROR(__xludf.DUMMYFUNCTION("""COMPUTED_VALUE"""),"Mr. Aqib Rehman")</f>
        <v>Mr. Aqib Rehman</v>
      </c>
    </row>
    <row r="119" spans="1:4">
      <c r="A119" s="1" t="str">
        <f ca="1">IFERROR(__xludf.DUMMYFUNCTION("""COMPUTED_VALUE"""),"F24-119-D-ArenaX")</f>
        <v>F24-119-D-ArenaX</v>
      </c>
      <c r="B119" s="1" t="str">
        <f ca="1">IFERROR(__xludf.DUMMYFUNCTION("""COMPUTED_VALUE"""),"ArenaX- A cross-platform semi-professional networking application for gamers.")</f>
        <v>ArenaX- A cross-platform semi-professional networking application for gamers.</v>
      </c>
      <c r="C119" s="2" t="str">
        <f ca="1">IFERROR(__xludf.DUMMYFUNCTION("""COMPUTED_VALUE"""),"ArenaX is a cross-platform semi-professional networking application tailored specifically for the gaming community. With its exclusive features, ArenaX aims to recognize and empower casual gamers by helping them build and maintain their gaming profiles, s"&amp;"imilar to social media profiles and corporate profiles on LinkedIn. Additionally, it serves as a professional platform for esports organizations worldwide. By targeting gaming companies and esports organizations, ArenaX offers valuable features such as a "&amp;"game market, tournament listings, and targeted advertising. Ultimately, ArenaX aspires to become a centralized platform for gamers and esports professionals, fostering connections and enhancing the gaming experience.
Features:
1) User Profile: Profile in"&amp;"cludes games played with analytics such as total hours spent, peak playtime, and average playtime.
2) Game Analytics: Insights like favorite games, genre preferences, and play frequency per game based on user activity.
3) Content Feed: Personalized intere"&amp;"st-based content feed powered by a recommendation system based on games played and user interests.
4) Connection System: A recommendation system that suggests users for connection based on shared interests and geographic region.
5) Threads: Direct messagi"&amp;"ng functionality for users to communicate with each other.
6) Community/Groups: Ability to create and join communities or groups for shared interests and discussions.
7) Organization Profiles: Profiles for esports organizations with tools for recruitment "&amp;"and management, similar to LinkedIn.
8) Tournaments Feature: Display of current and upcoming tournaments, with recommendations based on user region and game preferences.
9) Game Market: A marketplace feature where esports organizations can post job opport"&amp;"unities, such as player recruitment.
10) Targeted Advertisments: Enables organizations/Individuals to run interest-based ads displayed to users based on gaming preferences, boosting engagement and revenue.")</f>
        <v>ArenaX is a cross-platform semi-professional networking application tailored specifically for the gaming community. With its exclusive features, ArenaX aims to recognize and empower casual gamers by helping them build and maintain their gaming profiles, similar to social media profiles and corporate profiles on LinkedIn. Additionally, it serves as a professional platform for esports organizations worldwide. By targeting gaming companies and esports organizations, ArenaX offers valuable features such as a game market, tournament listings, and targeted advertising. Ultimately, ArenaX aspires to become a centralized platform for gamers and esports professionals, fostering connections and enhancing the gaming experience.
Features:
1) User Profile: Profile includes games played with analytics such as total hours spent, peak playtime, and average playtime.
2) Game Analytics: Insights like favorite games, genre preferences, and play frequency per game based on user activity.
3) Content Feed: Personalized interest-based content feed powered by a recommendation system based on games played and user interests.
4) Connection System: A recommendation system that suggests users for connection based on shared interests and geographic region.
5) Threads: Direct messaging functionality for users to communicate with each other.
6) Community/Groups: Ability to create and join communities or groups for shared interests and discussions.
7) Organization Profiles: Profiles for esports organizations with tools for recruitment and management, similar to LinkedIn.
8) Tournaments Feature: Display of current and upcoming tournaments, with recommendations based on user region and game preferences.
9) Game Market: A marketplace feature where esports organizations can post job opportunities, such as player recruitment.
10) Targeted Advertisments: Enables organizations/Individuals to run interest-based ads displayed to users based on gaming preferences, boosting engagement and revenue.</v>
      </c>
      <c r="D119" s="1" t="str">
        <f ca="1">IFERROR(__xludf.DUMMYFUNCTION("""COMPUTED_VALUE"""),"Mr. Hassan Raza")</f>
        <v>Mr. Hassan Raza</v>
      </c>
    </row>
    <row r="120" spans="1:4">
      <c r="A120" s="1" t="str">
        <f ca="1">IFERROR(__xludf.DUMMYFUNCTION("""COMPUTED_VALUE"""),"F24-120-D-SkillBazaar")</f>
        <v>F24-120-D-SkillBazaar</v>
      </c>
      <c r="B120" s="1" t="str">
        <f ca="1">IFERROR(__xludf.DUMMYFUNCTION("""COMPUTED_VALUE"""),"Community Based Skill Sharing and Blue Collar Jobs Platform")</f>
        <v>Community Based Skill Sharing and Blue Collar Jobs Platform</v>
      </c>
      <c r="C120" s="2" t="str">
        <f ca="1">IFERROR(__xludf.DUMMYFUNCTION("""COMPUTED_VALUE"""),"Target individuals and businesses in urban and rural Pakistan seeking skilled labor or micro-jobs
Web application development, AI-driven Matching Algorithms.
Functional Includes user Profile Creation, Job Posting, Service Booking, Rating System, and Voi"&amp;"ce based Features.
Voice to Text, Image to Text for Ease of Use.
Key Features:
User Profiles &amp; Skill Listings
Service Booking &amp; Management
Service Posting 
Rating &amp; Review System
Gamification
Multilingual Support
Text from Image
Voice Based Jo"&amp;"b Creation &amp; Matching
Rating &amp; Review System")</f>
        <v>Target individuals and businesses in urban and rural Pakistan seeking skilled labor or micro-jobs
Web application development, AI-driven Matching Algorithms.
Functional Includes user Profile Creation, Job Posting, Service Booking, Rating System, and Voice based Features.
Voice to Text, Image to Text for Ease of Use.
Key Features:
User Profiles &amp; Skill Listings
Service Booking &amp; Management
Service Posting 
Rating &amp; Review System
Gamification
Multilingual Support
Text from Image
Voice Based Job Creation &amp; Matching
Rating &amp; Review System</v>
      </c>
      <c r="D120" s="1" t="str">
        <f ca="1">IFERROR(__xludf.DUMMYFUNCTION("""COMPUTED_VALUE"""),"Dr. Usman Habib")</f>
        <v>Dr. Usman Habib</v>
      </c>
    </row>
    <row r="121" spans="1:4">
      <c r="A121" s="1" t="str">
        <f ca="1">IFERROR(__xludf.DUMMYFUNCTION("""COMPUTED_VALUE"""),"F24-121-D-GrociDish")</f>
        <v>F24-121-D-GrociDish</v>
      </c>
      <c r="B121" s="1" t="str">
        <f ca="1">IFERROR(__xludf.DUMMYFUNCTION("""COMPUTED_VALUE"""),"GrociDish: Personalized Family Grocery and Meal Planning App with Nutritional Management")</f>
        <v>GrociDish: Personalized Family Grocery and Meal Planning App with Nutritional Management</v>
      </c>
      <c r="C121" s="2" t="str">
        <f ca="1">IFERROR(__xludf.DUMMYFUNCTION("""COMPUTED_VALUE"""),"Project Description:
GrociDish: Personalized Family Grocery and Meal Planning App with Nutritional Management is an innovative mobile application designed to assist Pakistani families in maintaining a balanced and healthy lifestyle. The app generates pers"&amp;"onalized grocery lists and meal plans based on individual  preferences, and budget constraints, with a focus on homemade Pakistani cuisine. GrociDish leverages advanced AI algorithms, including Natural Language Processing (NLP) and machine learning, to pr"&amp;"ovide tailored dietary recommendations, monitor daily calorie intake, and ensure users stay within their budget. The app is aimed at simplifying the meal planning process, promoting healthier eating habits, and supporting the overall well-being of its use"&amp;"rs.
Key Features:
Personalized Grocery List Generation: Automatically create grocery lists tailored to family preferences and budget.
Recipe Management System: Provide a variety of pre-existing recipes with nutritional information.
Nutritional Calculatio"&amp;"ns: Accurately calculate the nutritional content (carbohydrates, proteins, fats, calories) of each food item and recipe.
BMI and IBW Suggestions: Offer food and serving size recommendations based on Body Mass Index (BMI) and Ideal Body Weight (IBW).
Activ"&amp;"ity Level Adjustments: Modify nutritional recommendations according to individual activity levels (sedentary, moderate, high).
Budget Management: Integrate budget constraints into grocery planning to optimize cost-effective shopping.
Calorie and Nutrition"&amp;"al Tracking: Track daily caloric intake for each family member and provide insights into overall consumption.
Recipe Recommendation system: Suggest recipes based on the available ingredients in the grocery list                                             "&amp;"      Special Dietary Support: Include recipes specifically designed for managing conditions like diabetes, hypertension, and obesity.")</f>
        <v>Project Description:
GrociDish: Personalized Family Grocery and Meal Planning App with Nutritional Management is an innovative mobile application designed to assist Pakistani families in maintaining a balanced and healthy lifestyle. The app generates personalized grocery lists and meal plans based on individual  preferences, and budget constraints, with a focus on homemade Pakistani cuisine. GrociDish leverages advanced AI algorithms, including Natural Language Processing (NLP) and machine learning, to provide tailored dietary recommendations, monitor daily calorie intake, and ensure users stay within their budget. The app is aimed at simplifying the meal planning process, promoting healthier eating habits, and supporting the overall well-being of its users.
Key Features:
Personalized Grocery List Generation: Automatically create grocery lists tailored to family preferences and budget.
Recipe Management System: Provide a variety of pre-existing recipes with nutritional information.
Nutritional Calculations: Accurately calculate the nutritional content (carbohydrates, proteins, fats, calories) of each food item and recipe.
BMI and IBW Suggestions: Offer food and serving size recommendations based on Body Mass Index (BMI) and Ideal Body Weight (IBW).
Activity Level Adjustments: Modify nutritional recommendations according to individual activity levels (sedentary, moderate, high).
Budget Management: Integrate budget constraints into grocery planning to optimize cost-effective shopping.
Calorie and Nutritional Tracking: Track daily caloric intake for each family member and provide insights into overall consumption.
Recipe Recommendation system: Suggest recipes based on the available ingredients in the grocery list                                                   Special Dietary Support: Include recipes specifically designed for managing conditions like diabetes, hypertension, and obesity.</v>
      </c>
      <c r="D121" s="1" t="str">
        <f ca="1">IFERROR(__xludf.DUMMYFUNCTION("""COMPUTED_VALUE"""),"Dr. Ahmad Raza Shahid")</f>
        <v>Dr. Ahmad Raza Shahid</v>
      </c>
    </row>
    <row r="122" spans="1:4">
      <c r="A122" s="1" t="str">
        <f ca="1">IFERROR(__xludf.DUMMYFUNCTION("""COMPUTED_VALUE"""),"F24-122-R-CricMIC")</f>
        <v>F24-122-R-CricMIC</v>
      </c>
      <c r="B122" s="1" t="str">
        <f ca="1">IFERROR(__xludf.DUMMYFUNCTION("""COMPUTED_VALUE"""),"CricMIC : AI-Powered Game Commentary")</f>
        <v>CricMIC : AI-Powered Game Commentary</v>
      </c>
      <c r="C122" s="2" t="str">
        <f ca="1">IFERROR(__xludf.DUMMYFUNCTION("""COMPUTED_VALUE"""),"CricMIC is a product for online games that enhances the gaming experience by providing AI generated commentary. This commentary will be dynamic and context-specific, avoiding the repetitive nature of preset commentaries that many games currently use. We p"&amp;"lan to utilize computer vision to analyze the game's visual data and generate relevant commentary on the fly, making the gameplay more engaging and exciting for the player.
Detailed Scope will be provided later on as well.
Dynamic Commentary: Offers var"&amp;"ied and engaging commentary for different in-game actions, like boundaries, wickets, and strategic plays.
Seamless Integration: Easily integrates with existing game systems without altering core functionality, ensuring a smooth user experience.
Pattern "&amp;"Recognition: Learns from gameplay to improve commentary accuracy and relevance over time.
Custom Voice Selection: Allows users to choose any voice for the commentary, including their own or any other person's, for a personalized gaming experience.
High "&amp;"Customizability: Allows game developers to tailor commentary to suit different game styles or player preferences.
Multilingual Support: Provides commentary in multiple languages, catering to a global audience.
Scalable Infrastructure: Designed to handle"&amp;" commentary for games of any scale, from small matches to large tournaments.
")</f>
        <v xml:space="preserve">CricMIC is a product for online games that enhances the gaming experience by providing AI generated commentary. This commentary will be dynamic and context-specific, avoiding the repetitive nature of preset commentaries that many games currently use. We plan to utilize computer vision to analyze the game's visual data and generate relevant commentary on the fly, making the gameplay more engaging and exciting for the player.
Detailed Scope will be provided later on as well.
Dynamic Commentary: Offers varied and engaging commentary for different in-game actions, like boundaries, wickets, and strategic plays.
Seamless Integration: Easily integrates with existing game systems without altering core functionality, ensuring a smooth user experience.
Pattern Recognition: Learns from gameplay to improve commentary accuracy and relevance over time.
Custom Voice Selection: Allows users to choose any voice for the commentary, including their own or any other person's, for a personalized gaming experience.
High Customizability: Allows game developers to tailor commentary to suit different game styles or player preferences.
Multilingual Support: Provides commentary in multiple languages, catering to a global audience.
Scalable Infrastructure: Designed to handle commentary for games of any scale, from small matches to large tournaments.
</v>
      </c>
      <c r="D122" s="1" t="str">
        <f ca="1">IFERROR(__xludf.DUMMYFUNCTION("""COMPUTED_VALUE"""),"Dr. Akhtar Jamil")</f>
        <v>Dr. Akhtar Jamil</v>
      </c>
    </row>
    <row r="123" spans="1:4">
      <c r="A123" s="1" t="str">
        <f ca="1">IFERROR(__xludf.DUMMYFUNCTION("""COMPUTED_VALUE"""),"F24-123-D-SkillSeeker")</f>
        <v>F24-123-D-SkillSeeker</v>
      </c>
      <c r="B123" s="1" t="str">
        <f ca="1">IFERROR(__xludf.DUMMYFUNCTION("""COMPUTED_VALUE"""),"Client-less Internal Network Vulnerability Assessment")</f>
        <v>Client-less Internal Network Vulnerability Assessment</v>
      </c>
      <c r="C123" s="2" t="str">
        <f ca="1">IFERROR(__xludf.DUMMYFUNCTION("""COMPUTED_VALUE"""),"-IntraSec: Client less Internal Network Vulnerability Assessment is an innovative system designed to enhance the security of an organization's internal network without the need for client-side software installations. By leveraging Active Directory for cen"&amp;"tralised data collection and management, along with SSH for remote access, this system efficiently conducts comprehensive assessments across the network. It integrates with the NIST database to identify known vulnerabilities and utilizes Elastic Search fo"&amp;"r swift data indexing and retrieval. The system provides real-time vulnerability detection, and offers detailed reporting. With the potential for machine learning integration, IntraSec aims to deliver advanced threat analysis, ensuring robust and scalable"&amp;" protection for internal networks.
- Key Features of IntraSec
- Active Directory Integration
-Client-less SSH Access
-NIST Vulnerability Database 
-ElasticSearch
-Real-Time Monitoring and Alerts
-Centralized Management Dashboard
-Scalable and Modular Ar"&amp;"chitecture
-Detailed Reporting and Analytics-
-Machine Learning Integration (Optional)
")</f>
        <v xml:space="preserve">-IntraSec: Client less Internal Network Vulnerability Assessment is an innovative system designed to enhance the security of an organization's internal network without the need for client-side software installations. By leveraging Active Directory for centralised data collection and management, along with SSH for remote access, this system efficiently conducts comprehensive assessments across the network. It integrates with the NIST database to identify known vulnerabilities and utilizes Elastic Search for swift data indexing and retrieval. The system provides real-time vulnerability detection, and offers detailed reporting. With the potential for machine learning integration, IntraSec aims to deliver advanced threat analysis, ensuring robust and scalable protection for internal networks.
- Key Features of IntraSec
- Active Directory Integration
-Client-less SSH Access
-NIST Vulnerability Database 
-ElasticSearch
-Real-Time Monitoring and Alerts
-Centralized Management Dashboard
-Scalable and Modular Architecture
-Detailed Reporting and Analytics-
-Machine Learning Integration (Optional)
</v>
      </c>
      <c r="D123" s="1" t="str">
        <f ca="1">IFERROR(__xludf.DUMMYFUNCTION("""COMPUTED_VALUE"""),"Ms. Ayesha Kamran")</f>
        <v>Ms. Ayesha Kamran</v>
      </c>
    </row>
    <row r="124" spans="1:4">
      <c r="A124" s="1" t="str">
        <f ca="1">IFERROR(__xludf.DUMMYFUNCTION("""COMPUTED_VALUE"""),"F24-124-D-CodeNarrator")</f>
        <v>F24-124-D-CodeNarrator</v>
      </c>
      <c r="B124" s="1" t="str">
        <f ca="1">IFERROR(__xludf.DUMMYFUNCTION("""COMPUTED_VALUE"""),"AI-Powered GitHub Repository Evaluation and Test Case Generation")</f>
        <v>AI-Powered GitHub Repository Evaluation and Test Case Generation</v>
      </c>
      <c r="C124" s="2" t="str">
        <f ca="1">IFERROR(__xludf.DUMMYFUNCTION("""COMPUTED_VALUE"""),"The scope of CodeNarrator focuses on automating the generation and maintenance of README files and code comments for software projects. Through the analysis of code, libraries, comments, and commit histories, CodeNarrator ensures that documentation remain"&amp;"s detailed, up-to-date, and aligned with the evolving codebase. Specifically, the system will:
Automatically generate README files by analyzing the code structure, libraries, and dependencies.
Dynamically update README files to ensure accuracy based o"&amp;"n changes in the codebase and commit history.
Automatically insert relevant code comments into the source code to help developers understand functionality and structure.
Provide seamless integration with GitHub for real-time updates and an intuitive int"&amp;"erface to manage documentation and code comments.
The aim is to reduce the manual effort required for maintaining documentation while ensuring that both README files and code comments remain consistent with the latest code changes")</f>
        <v>The scope of CodeNarrator focuses on automating the generation and maintenance of README files and code comments for software projects. Through the analysis of code, libraries, comments, and commit histories, CodeNarrator ensures that documentation remains detailed, up-to-date, and aligned with the evolving codebase. Specifically, the system will:
Automatically generate README files by analyzing the code structure, libraries, and dependencies.
Dynamically update README files to ensure accuracy based on changes in the codebase and commit history.
Automatically insert relevant code comments into the source code to help developers understand functionality and structure.
Provide seamless integration with GitHub for real-time updates and an intuitive interface to manage documentation and code comments.
The aim is to reduce the manual effort required for maintaining documentation while ensuring that both README files and code comments remain consistent with the latest code changes</v>
      </c>
      <c r="D124" s="1" t="str">
        <f ca="1">IFERROR(__xludf.DUMMYFUNCTION("""COMPUTED_VALUE"""),"Dr. Atif Jilani")</f>
        <v>Dr. Atif Jilani</v>
      </c>
    </row>
    <row r="125" spans="1:4">
      <c r="A125" s="1" t="str">
        <f ca="1">IFERROR(__xludf.DUMMYFUNCTION("""COMPUTED_VALUE"""),"F24-125-D-AdvertEase")</f>
        <v>F24-125-D-AdvertEase</v>
      </c>
      <c r="B125" s="1" t="str">
        <f ca="1">IFERROR(__xludf.DUMMYFUNCTION("""COMPUTED_VALUE"""),"AdvertEase: From Product Page to Powerful Ad in a Single Click")</f>
        <v>AdvertEase: From Product Page to Powerful Ad in a Single Click</v>
      </c>
      <c r="C125" s="2" t="str">
        <f ca="1">IFERROR(__xludf.DUMMYFUNCTION("""COMPUTED_VALUE"""),"Advert-ease aims to be the best solution for websites and companies that need to generate ads for their products, advert-ease allows to generate the image and video ads by simply providing the urls of their ( UpStart commerce, PakWheels ) products.
Key f"&amp;"eatures:
1. URL-Based Ad Generation: Dynamic ads created from provided URLs.
2. Poster Ads: High-resolution digital posters.
   - Editable Ads: Customizable ad templates.
   - High-Quality Image Generation: Visually appealing images for ads.
   - Chatbot"&amp;" Communication: Interactive chatbot for engagement and support.
   - User Control: Features for customizing and managing ad content.
3. Video Ads: Development and integration of video ads.
   - LLM-Based Description Generation: Use large language models t"&amp;"o create descriptive 
     text.
   - Content Management: Manage text and image content.
   - Text-to-Image Generation: Convert text descriptions into images.
   - Avatar Generation: Create human avatars for ads.
   - Human Voiceover: Integrate natural vo"&amp;"iceovers into ads.
4. Web-Based Development: Develop all features on a web platform for accessibility and 
     ease of use.
")</f>
        <v xml:space="preserve">Advert-ease aims to be the best solution for websites and companies that need to generate ads for their products, advert-ease allows to generate the image and video ads by simply providing the urls of their ( UpStart commerce, PakWheels ) products.
Key features:
1. URL-Based Ad Generation: Dynamic ads created from provided URLs.
2. Poster Ads: High-resolution digital posters.
   - Editable Ads: Customizable ad templates.
   - High-Quality Image Generation: Visually appealing images for ads.
   - Chatbot Communication: Interactive chatbot for engagement and support.
   - User Control: Features for customizing and managing ad content.
3. Video Ads: Development and integration of video ads.
   - LLM-Based Description Generation: Use large language models to create descriptive 
     text.
   - Content Management: Manage text and image content.
   - Text-to-Image Generation: Convert text descriptions into images.
   - Avatar Generation: Create human avatars for ads.
   - Human Voiceover: Integrate natural voiceovers into ads.
4. Web-Based Development: Develop all features on a web platform for accessibility and 
     ease of use.
</v>
      </c>
      <c r="D125" s="1" t="str">
        <f ca="1">IFERROR(__xludf.DUMMYFUNCTION("""COMPUTED_VALUE"""),"Dr. Asif Naeem")</f>
        <v>Dr. Asif Naeem</v>
      </c>
    </row>
    <row r="126" spans="1:4">
      <c r="A126" s="1" t="str">
        <f ca="1">IFERROR(__xludf.DUMMYFUNCTION("""COMPUTED_VALUE"""),"F24-126-D-FinXtract")</f>
        <v>F24-126-D-FinXtract</v>
      </c>
      <c r="B126" s="1" t="str">
        <f ca="1">IFERROR(__xludf.DUMMYFUNCTION("""COMPUTED_VALUE"""),"Financial Analysis Powered through DeepTech")</f>
        <v>Financial Analysis Powered through DeepTech</v>
      </c>
      <c r="C126" s="2" t="str">
        <f ca="1">IFERROR(__xludf.DUMMYFUNCTION("""COMPUTED_VALUE"""),"FinXtract is an innovative software solution designed to streamline the extraction and analysis of financial data from extensive PDF reports. Traditionally, extracting meaningful information from long and complex financial documents has been a time-consum"&amp;"ing and resource-intensive task performed by humans. FinXtract automates this process, allowing companies to quickly and efficiently extract financial data from PDFs, including those that are simple scans or images of printed papers. The software offers a"&amp;" user-friendly interface that simplifies data extraction, making it accessible to financial analysts, investors, and other stakeholders. In addition to financial data extraction, FinXtract provides sentiment analysis of company reports, offering deeper in"&amp;"sights into the content of the documents. The platform also includes a powerful chatbot that interacts with users, answering queries and assisting with data retrieval, while ensuring the accuracy and security of the extracted information. 
1) Automated e"&amp;"xtraction of financial data from PDF reports, including scanned documents and images.
2) User-friendly interface for easy navigation and data retrieval.
3) Advanced sentiment analysis on company reports to gauge overall business health and trends.
4) R"&amp;"eal-time assistance and data querying through an integrated, intelligent chatbot.
5) Secure data storage with a focus on protecting sensitive financial information.
6) Standardization and cleaning of extracted financial data for accurate analysis.
7) C"&amp;"apability to extract and analyze non-financial information from PDFs, enriching the data set.
8) Open API for seamless integration with external tools and systems.
9) Advanced analytics tools to offer deep insights into financial performance.
10) Robus"&amp;"t data accuracy and consistency measures to ensure reliability in reporting and decision-making.")</f>
        <v>FinXtract is an innovative software solution designed to streamline the extraction and analysis of financial data from extensive PDF reports. Traditionally, extracting meaningful information from long and complex financial documents has been a time-consuming and resource-intensive task performed by humans. FinXtract automates this process, allowing companies to quickly and efficiently extract financial data from PDFs, including those that are simple scans or images of printed papers. The software offers a user-friendly interface that simplifies data extraction, making it accessible to financial analysts, investors, and other stakeholders. In addition to financial data extraction, FinXtract provides sentiment analysis of company reports, offering deeper insights into the content of the documents. The platform also includes a powerful chatbot that interacts with users, answering queries and assisting with data retrieval, while ensuring the accuracy and security of the extracted information. 
1) Automated extraction of financial data from PDF reports, including scanned documents and images.
2) User-friendly interface for easy navigation and data retrieval.
3) Advanced sentiment analysis on company reports to gauge overall business health and trends.
4) Real-time assistance and data querying through an integrated, intelligent chatbot.
5) Secure data storage with a focus on protecting sensitive financial information.
6) Standardization and cleaning of extracted financial data for accurate analysis.
7) Capability to extract and analyze non-financial information from PDFs, enriching the data set.
8) Open API for seamless integration with external tools and systems.
9) Advanced analytics tools to offer deep insights into financial performance.
10) Robust data accuracy and consistency measures to ensure reliability in reporting and decision-making.</v>
      </c>
      <c r="D126" s="1" t="str">
        <f ca="1">IFERROR(__xludf.DUMMYFUNCTION("""COMPUTED_VALUE"""),"Dr. Javaria Imtiaz")</f>
        <v>Dr. Javaria Imtiaz</v>
      </c>
    </row>
    <row r="127" spans="1:4">
      <c r="A127" s="1" t="str">
        <f ca="1">IFERROR(__xludf.DUMMYFUNCTION("""COMPUTED_VALUE"""),"F24-127-D-Decentrum")</f>
        <v>F24-127-D-Decentrum</v>
      </c>
      <c r="B127" s="1" t="str">
        <f ca="1">IFERROR(__xludf.DUMMYFUNCTION("""COMPUTED_VALUE"""),"Blockchain based Social Media Platform")</f>
        <v>Blockchain based Social Media Platform</v>
      </c>
      <c r="C127" s="2" t="str">
        <f ca="1">IFERROR(__xludf.DUMMYFUNCTION("""COMPUTED_VALUE"""),"Decentrum: To create a decentralized social media network that allows users to interact, exchange content, and communicate without the need for centralized servers or third-party control. The platform will use blockchain technology to secure the privacy, "&amp;"security, and transparency of user data and transactions.
Features:
Better Security
Control over data
Information privacy
Create, Read, Delete, Update posts
Add friends
Content creation and sharing
Like and Save posts, send and receive notifications
User"&amp;" Profile Management
Fair Monetization
Chats between users")</f>
        <v>Decentrum: To create a decentralized social media network that allows users to interact, exchange content, and communicate without the need for centralized servers or third-party control. The platform will use blockchain technology to secure the privacy, security, and transparency of user data and transactions.
Features:
Better Security
Control over data
Information privacy
Create, Read, Delete, Update posts
Add friends
Content creation and sharing
Like and Save posts, send and receive notifications
User Profile Management
Fair Monetization
Chats between users</v>
      </c>
      <c r="D127" s="1" t="str">
        <f ca="1">IFERROR(__xludf.DUMMYFUNCTION("""COMPUTED_VALUE"""),"Dr. Syed Qaiser Ali Shah")</f>
        <v>Dr. Syed Qaiser Ali Shah</v>
      </c>
    </row>
    <row r="128" spans="1:4">
      <c r="A128" s="1" t="str">
        <f ca="1">IFERROR(__xludf.DUMMYFUNCTION("""COMPUTED_VALUE"""),"F24-128-D-Modelosaurus")</f>
        <v>F24-128-D-Modelosaurus</v>
      </c>
      <c r="B128" s="1" t="str">
        <f ca="1">IFERROR(__xludf.DUMMYFUNCTION("""COMPUTED_VALUE"""),"No code ML/DL Model Creator")</f>
        <v>No code ML/DL Model Creator</v>
      </c>
      <c r="C128" s="2" t="str">
        <f ca="1">IFERROR(__xludf.DUMMYFUNCTION("""COMPUTED_VALUE"""),"Project Overview
Modelosaurus, a No-Code ML/DL Model Creator, simplifies and streamlines the process of creating, training, and deploying ML/DL models, with fully customizable architecture. It aims to provide constructive feedback to developers while crea"&amp;"ting the model, based on the model architecture and the required use case &amp; dataset. It helps developers understand the model architecture &amp; its working through visualizations.
Features
1) Customization of model architecture using a component library and"&amp;" a drag &amp; drop interface to generate model code (for specific model types)
2) Finetune pre-built model templates with user provided dataset.
3) Architecture Analyzer to give feedback on the model architecture without running it, given the context of the d"&amp;"ataset being used and the intended use case. 
4) Visualization of the model architecture, its layers, activation functions and input/output formats.
5) Visualization of model inference using heatmaps and XAi techniques.
6) Model training without having to"&amp;" run the model locally.
7) Integrated testing of the trained model on the platform
8) User management to maintain the history of created models.
9) Automatic Deployment of the trained model (Supplementary Feature)
10) Payment module to compensate for reso"&amp;"urces used in training &amp; deployment. (Supplementary Feature dependent on #9)
")</f>
        <v xml:space="preserve">Project Overview
Modelosaurus, a No-Code ML/DL Model Creator, simplifies and streamlines the process of creating, training, and deploying ML/DL models, with fully customizable architecture. It aims to provide constructive feedback to developers while creating the model, based on the model architecture and the required use case &amp; dataset. It helps developers understand the model architecture &amp; its working through visualizations.
Features
1) Customization of model architecture using a component library and a drag &amp; drop interface to generate model code (for specific model types)
2) Finetune pre-built model templates with user provided dataset.
3) Architecture Analyzer to give feedback on the model architecture without running it, given the context of the dataset being used and the intended use case. 
4) Visualization of the model architecture, its layers, activation functions and input/output formats.
5) Visualization of model inference using heatmaps and XAi techniques.
6) Model training without having to run the model locally.
7) Integrated testing of the trained model on the platform
8) User management to maintain the history of created models.
9) Automatic Deployment of the trained model (Supplementary Feature)
10) Payment module to compensate for resources used in training &amp; deployment. (Supplementary Feature dependent on #9)
</v>
      </c>
      <c r="D128" s="1" t="str">
        <f ca="1">IFERROR(__xludf.DUMMYFUNCTION("""COMPUTED_VALUE"""),"Dr. Atif Jilani")</f>
        <v>Dr. Atif Jilani</v>
      </c>
    </row>
    <row r="129" spans="1:4">
      <c r="A129" s="1" t="str">
        <f ca="1">IFERROR(__xludf.DUMMYFUNCTION("""COMPUTED_VALUE"""),"F24-129-R-Soccerix")</f>
        <v>F24-129-R-Soccerix</v>
      </c>
      <c r="B129" s="1" t="str">
        <f ca="1">IFERROR(__xludf.DUMMYFUNCTION("""COMPUTED_VALUE"""),"Software-based AI-powered soccer tactical analysis tool.")</f>
        <v>Software-based AI-powered soccer tactical analysis tool.</v>
      </c>
      <c r="C129" s="2" t="str">
        <f ca="1">IFERROR(__xludf.DUMMYFUNCTION("""COMPUTED_VALUE"""),"Soccerix: An AI-driven soccer analysis software that uses advanced data techniques to improve team tactics and performance. The software will deliver a solution capable of processing match data to identify strengths, weaknesses, and opportunities for impr"&amp;"ovement in post-match analysis.
Key features:
1. Team strategy analysis - report generation (winning or losing) 
2. Event detection (goal, foul, corner kicks)
3. Player &amp; ball tracking 
4. Team Classification
5. Bird's eye view of the game
6. Heatmaps an"&amp;"d Visualizations
7. User-friendly dashboards
Optional Features:
8. 3d generation of shots ")</f>
        <v xml:space="preserve">Soccerix: An AI-driven soccer analysis software that uses advanced data techniques to improve team tactics and performance. The software will deliver a solution capable of processing match data to identify strengths, weaknesses, and opportunities for improvement in post-match analysis.
Key features:
1. Team strategy analysis - report generation (winning or losing) 
2. Event detection (goal, foul, corner kicks)
3. Player &amp; ball tracking 
4. Team Classification
5. Bird's eye view of the game
6. Heatmaps and Visualizations
7. User-friendly dashboards
Optional Features:
8. 3d generation of shots </v>
      </c>
      <c r="D129" s="1" t="str">
        <f ca="1">IFERROR(__xludf.DUMMYFUNCTION("""COMPUTED_VALUE"""),"Dr. Akhtar Jamil")</f>
        <v>Dr. Akhtar Jamil</v>
      </c>
    </row>
    <row r="130" spans="1:4">
      <c r="A130" s="1" t="str">
        <f ca="1">IFERROR(__xludf.DUMMYFUNCTION("""COMPUTED_VALUE"""),"F24-130-D-khudsuno")</f>
        <v>F24-130-D-khudsuno</v>
      </c>
      <c r="B130" s="1" t="str">
        <f ca="1">IFERROR(__xludf.DUMMYFUNCTION("""COMPUTED_VALUE"""),"Sign language generation and recognition system, AI based sign language English translation app with avatar support")</f>
        <v>Sign language generation and recognition system, AI based sign language English translation app with avatar support</v>
      </c>
      <c r="C130" s="2" t="str">
        <f ca="1">IFERROR(__xludf.DUMMYFUNCTION("""COMPUTED_VALUE"""),"We are developing a mobile app that translates Pakistan Sign Language (PSL) into text and audio, and vice versa, to assist deaf individuals. The app features an avatar that converts speech and text into sign language, enabling private and accessible commu"&amp;"nication without needing a human translator or external device. It will improve over time with user feedback and machine learning, and can be used both online and offline. We’re using Unity 3D for the avatar, React Native for the interface, Python for the"&amp;" backend, and SQL with cloud services for secure data storage, all aimed at providing a simple and effective communication tool for the deaf community. There will also be an offline mode that doesn't access the cloud if need be. ")</f>
        <v xml:space="preserve">We are developing a mobile app that translates Pakistan Sign Language (PSL) into text and audio, and vice versa, to assist deaf individuals. The app features an avatar that converts speech and text into sign language, enabling private and accessible communication without needing a human translator or external device. It will improve over time with user feedback and machine learning, and can be used both online and offline. We’re using Unity 3D for the avatar, React Native for the interface, Python for the backend, and SQL with cloud services for secure data storage, all aimed at providing a simple and effective communication tool for the deaf community. There will also be an offline mode that doesn't access the cloud if need be. </v>
      </c>
      <c r="D130" s="1" t="str">
        <f ca="1">IFERROR(__xludf.DUMMYFUNCTION("""COMPUTED_VALUE"""),"Dr. Zeshan Khan")</f>
        <v>Dr. Zeshan Khan</v>
      </c>
    </row>
    <row r="131" spans="1:4">
      <c r="A131" s="1" t="str">
        <f ca="1">IFERROR(__xludf.DUMMYFUNCTION("""COMPUTED_VALUE"""),"F24-131-D-BTCConversa")</f>
        <v>F24-131-D-BTCConversa</v>
      </c>
      <c r="B131" s="1" t="str">
        <f ca="1">IFERROR(__xludf.DUMMYFUNCTION("""COMPUTED_VALUE"""),"BTC Conversa: Your Complete Banking Experience Through Simple Conversations")</f>
        <v>BTC Conversa: Your Complete Banking Experience Through Simple Conversations</v>
      </c>
      <c r="C131" s="2" t="str">
        <f ca="1">IFERROR(__xludf.DUMMYFUNCTION("""COMPUTED_VALUE"""),"The goal of this project is to develop an all-in-one generative AI-powered banking chatbot that can handle a wide variety of banking operations. The system will be capable of providing a comprehensive solution for customer interaction and financial manage"&amp;"ment. The key features include:
1) Personal Information Management: The bot will manage customer personal information, account information, bank details, and product information, ensuring secure and accurate data handling.
2) Financial Actions: Customer"&amp;"s will be able to complete various financial tasks such as bill payments, IBFT (Interbank Fund Transfers), and other fund transfers seamlessly through the bot.
3) Non-Financial Actions: The bot will also assist in card activation/blocking, adding payees,"&amp;" requesting cheques or statements, setting up spending alerts, and handling feedback or complaints.
4) Expenditure and Transaction Analysis: The system will analyze customer expenditure, transactions, and payments to provide insights into spending patter"&amp;"ns.
5) Information and Advisory Bot: The bot will provide tailored financial advice, including tax savings and personal finance management (PFM) recommendations, helping customers optimize their financial strategies.
6) Support Information: The bot will"&amp;" handle customer support, providing information related to various products and assisting with their queries.
7) Enhanced Analytics: The bot will analyze spending patterns, offering personalized suggestions to customers based on their financial behavior."&amp;"
8) GENAI BOT Integration: The project will leverage generative AI to enable advanced conversational interactions, making the chatbot more intuitive and user-friendly.
9) Phased Implementation of Text-to-Speech: In the final phase of the project, we wil"&amp;"l implement a text-to-speech feature, enhancing accessibility by allowing the bot to respond to user queries in audio format. This feature will ensure that customers who prefer auditory assistance can have a more seamless experience.")</f>
        <v>The goal of this project is to develop an all-in-one generative AI-powered banking chatbot that can handle a wide variety of banking operations. The system will be capable of providing a comprehensive solution for customer interaction and financial management. The key features include:
1) Personal Information Management: The bot will manage customer personal information, account information, bank details, and product information, ensuring secure and accurate data handling.
2) Financial Actions: Customers will be able to complete various financial tasks such as bill payments, IBFT (Interbank Fund Transfers), and other fund transfers seamlessly through the bot.
3) Non-Financial Actions: The bot will also assist in card activation/blocking, adding payees, requesting cheques or statements, setting up spending alerts, and handling feedback or complaints.
4) Expenditure and Transaction Analysis: The system will analyze customer expenditure, transactions, and payments to provide insights into spending patterns.
5) Information and Advisory Bot: The bot will provide tailored financial advice, including tax savings and personal finance management (PFM) recommendations, helping customers optimize their financial strategies.
6) Support Information: The bot will handle customer support, providing information related to various products and assisting with their queries.
7) Enhanced Analytics: The bot will analyze spending patterns, offering personalized suggestions to customers based on their financial behavior.
8) GENAI BOT Integration: The project will leverage generative AI to enable advanced conversational interactions, making the chatbot more intuitive and user-friendly.
9) Phased Implementation of Text-to-Speech: In the final phase of the project, we will implement a text-to-speech feature, enhancing accessibility by allowing the bot to respond to user queries in audio format. This feature will ensure that customers who prefer auditory assistance can have a more seamless experience.</v>
      </c>
      <c r="D131" s="1" t="str">
        <f ca="1">IFERROR(__xludf.DUMMYFUNCTION("""COMPUTED_VALUE"""),"Mr. Hassan Raza")</f>
        <v>Mr. Hassan Raza</v>
      </c>
    </row>
    <row r="132" spans="1:4">
      <c r="A132" s="1" t="str">
        <f ca="1">IFERROR(__xludf.DUMMYFUNCTION("""COMPUTED_VALUE"""),"F24-132-D-DigiTransacFraudDetect")</f>
        <v>F24-132-D-DigiTransacFraudDetect</v>
      </c>
      <c r="B132" s="1" t="str">
        <f ca="1">IFERROR(__xludf.DUMMYFUNCTION("""COMPUTED_VALUE"""),"Neural Network based Online Transaction Fraud Detection")</f>
        <v>Neural Network based Online Transaction Fraud Detection</v>
      </c>
      <c r="C132" s="2" t="str">
        <f ca="1">IFERROR(__xludf.DUMMYFUNCTION("""COMPUTED_VALUE"""),"The project focuses on developing a sophisticated software system for detecting credit card fraud using an encoder-decoder Graph Neural Network (GNN) architecture. The scope of our project includes constructing a graph-based representation of credit card "&amp;"transactions, allowing the system to model and analyze complex relationships within the data. Key features of the project involve incorporating advanced feature engineering techniques, implementing a GNN-based fraud detection module, and optimizing the mo"&amp;"del through batch normalization. The system will also include a user-friendly interface with real-time visualizations, performance metrics dashboards, and integration capabilities with existing banking infrastructure, ensuring scalability and efficiency i"&amp;"n real-world applications.
1.	Synthetic Dataset Generation
2.	Feature Engineering
3.	Graph Representation of Transactions Constructs
4.	Encoder-Decoder Graph Neural Network
5.	Fraud Detection Module
6.	Batch Normalization
7.	Performance Evaluation
8.	Scal"&amp;"ability and Efficiency
9.	User Interface")</f>
        <v>The project focuses on developing a sophisticated software system for detecting credit card fraud using an encoder-decoder Graph Neural Network (GNN) architecture. The scope of our project includes constructing a graph-based representation of credit card transactions, allowing the system to model and analyze complex relationships within the data. Key features of the project involve incorporating advanced feature engineering techniques, implementing a GNN-based fraud detection module, and optimizing the model through batch normalization. The system will also include a user-friendly interface with real-time visualizations, performance metrics dashboards, and integration capabilities with existing banking infrastructure, ensuring scalability and efficiency in real-world applications.
1.	Synthetic Dataset Generation
2.	Feature Engineering
3.	Graph Representation of Transactions Constructs
4.	Encoder-Decoder Graph Neural Network
5.	Fraud Detection Module
6.	Batch Normalization
7.	Performance Evaluation
8.	Scalability and Efficiency
9.	User Interface</v>
      </c>
      <c r="D132" s="1" t="str">
        <f ca="1">IFERROR(__xludf.DUMMYFUNCTION("""COMPUTED_VALUE"""),"Dr. Fehmida Usmani")</f>
        <v>Dr. Fehmida Usmani</v>
      </c>
    </row>
    <row r="133" spans="1:4">
      <c r="A133" s="1" t="str">
        <f ca="1">IFERROR(__xludf.DUMMYFUNCTION("""COMPUTED_VALUE"""),"F24-133-D-MultilingualAIAssist")</f>
        <v>F24-133-D-MultilingualAIAssist</v>
      </c>
      <c r="B133" s="1" t="str">
        <f ca="1">IFERROR(__xludf.DUMMYFUNCTION("""COMPUTED_VALUE"""),"Multilingual AI application")</f>
        <v>Multilingual AI application</v>
      </c>
      <c r="C133" s="2" t="str">
        <f ca="1">IFERROR(__xludf.DUMMYFUNCTION("""COMPUTED_VALUE"""),"We aim to create a mobile application that would break the communication barrier between deaf people and rest of us. Our mobile application would be a Multilingual device that auto detects the source language and displays on the mobile screen of the user."&amp;" Our focus would be mainly on Pakistani Languages. These are some of the key features of our project:
Speech to text model
Noise Filtering
Customizable on screen text
Saving transcriptions
Live Video Recording
Multilingual 
Keyword Alerts
Noise Detection
"&amp;"Smart Glasses which would be an optional feature ")</f>
        <v xml:space="preserve">We aim to create a mobile application that would break the communication barrier between deaf people and rest of us. Our mobile application would be a Multilingual device that auto detects the source language and displays on the mobile screen of the user. Our focus would be mainly on Pakistani Languages. These are some of the key features of our project:
Speech to text model
Noise Filtering
Customizable on screen text
Saving transcriptions
Live Video Recording
Multilingual 
Keyword Alerts
Noise Detection
Smart Glasses which would be an optional feature </v>
      </c>
      <c r="D133" s="1" t="str">
        <f ca="1">IFERROR(__xludf.DUMMYFUNCTION("""COMPUTED_VALUE"""),"Dr. Usman Habib")</f>
        <v>Dr. Usman Habib</v>
      </c>
    </row>
    <row r="134" spans="1:4">
      <c r="A134" s="1" t="str">
        <f ca="1">IFERROR(__xludf.DUMMYFUNCTION("""COMPUTED_VALUE"""),"F24-134-D-TreeVerse")</f>
        <v>F24-134-D-TreeVerse</v>
      </c>
      <c r="B134" s="1" t="str">
        <f ca="1">IFERROR(__xludf.DUMMYFUNCTION("""COMPUTED_VALUE"""),"Global Tree Mapping and Monitoring System")</f>
        <v>Global Tree Mapping and Monitoring System</v>
      </c>
      <c r="C134" s="2" t="str">
        <f ca="1">IFERROR(__xludf.DUMMYFUNCTION("""COMPUTED_VALUE"""),"The Global Tree Mapping and Monitoring System is a project aimed at
leveraging Google Maps data to identify trees and analyze forestation and
deforestation trends worldwide. The system will also classify Plant species,
providing valuable insights for new "&amp;"plantation efforts based on the
environmental habitat of regions. Additionally, it will offer quantitative data on
plant distribution across different areas. This system will significantly contribute
to environmental conservation and sustainable forestry "&amp;"practices.")</f>
        <v>The Global Tree Mapping and Monitoring System is a project aimed at
leveraging Google Maps data to identify trees and analyze forestation and
deforestation trends worldwide. The system will also classify Plant species,
providing valuable insights for new plantation efforts based on the
environmental habitat of regions. Additionally, it will offer quantitative data on
plant distribution across different areas. This system will significantly contribute
to environmental conservation and sustainable forestry practices.</v>
      </c>
      <c r="D134" s="1" t="str">
        <f ca="1">IFERROR(__xludf.DUMMYFUNCTION("""COMPUTED_VALUE"""),"Dr. Zeshan Khan")</f>
        <v>Dr. Zeshan Khan</v>
      </c>
    </row>
    <row r="135" spans="1:4">
      <c r="A135" s="1" t="str">
        <f ca="1">IFERROR(__xludf.DUMMYFUNCTION("""COMPUTED_VALUE"""),"F24-135-R-NewsGuardX")</f>
        <v>F24-135-R-NewsGuardX</v>
      </c>
      <c r="B135" s="1" t="str">
        <f ca="1">IFERROR(__xludf.DUMMYFUNCTION("""COMPUTED_VALUE"""),"Outcome-Oriented News Filtering and Safe Headline Generation Using Advanced NLP and LLMs")</f>
        <v>Outcome-Oriented News Filtering and Safe Headline Generation Using Advanced NLP and LLMs</v>
      </c>
      <c r="C135" s="2" t="str">
        <f ca="1">IFERROR(__xludf.DUMMYFUNCTION("""COMPUTED_VALUE"""),"Project Scope
The NewsGuardX project is designed to enhance the reliability and safety of news dissemination by filtering news that highlights situations and their potential outcomes while generating safe headlines using advanced Natural Language Process"&amp;"ing (NLP) techniques and LLMs. The system identifies and classifies news headlines based on whether they convey the relationship between situations and their potential outcomes, ensuring that only meaningful headlines are presented to users. If a headline"&amp;" lacks a clear connection between a situation and its potential outcomes, the system prompts for additional context. Furthermore, the system detects potentially harmful or dangerous language in news headlines, using intelligent processing to generate safe"&amp;"r alternatives. The ultimate goal of NewsGuardX is to maintain the integrity of news by ensuring that headlines are both accurate and safe, reducing the spread of misinformation and dangerous content.
Key Features:
1. Outcome Classification: Automatical"&amp;"ly identifies and classifies news headlines based on the relationship between situations and their potential outcomes.
2. Interactive Verification: Prompts users to provide additional context or details if a headline lacks a clear connection between a si"&amp;"tuation and its potential outcomes.
3. Dangerous Language Detection: Detects and flags potentially harmful or dangerous language in news headlines.
4. Safe Headline Generation: Generates alternative headlines that are safer and more responsible, especia"&amp;"lly when dangerous language is detected.
5. Advanced Text Analysis: Employs sophisticated text processing techniques to accurately interpret and analyze news content.
6. User-friendly Interface: Offers an intuitive and accessible interface for users to "&amp;"verify, edit, and manage headlines.
7. Ethical Content Management: Focuses on promoting ethical news reporting by reducing the spread of misinformation and harmful content.
8. Reliable Filtering: Implements consistent filtering and content generation ru"&amp;"les to ensure safety and ethical standards are met.")</f>
        <v>Project Scope
The NewsGuardX project is designed to enhance the reliability and safety of news dissemination by filtering news that highlights situations and their potential outcomes while generating safe headlines using advanced Natural Language Processing (NLP) techniques and LLMs. The system identifies and classifies news headlines based on whether they convey the relationship between situations and their potential outcomes, ensuring that only meaningful headlines are presented to users. If a headline lacks a clear connection between a situation and its potential outcomes, the system prompts for additional context. Furthermore, the system detects potentially harmful or dangerous language in news headlines, using intelligent processing to generate safer alternatives. The ultimate goal of NewsGuardX is to maintain the integrity of news by ensuring that headlines are both accurate and safe, reducing the spread of misinformation and dangerous content.
Key Features:
1. Outcome Classification: Automatically identifies and classifies news headlines based on the relationship between situations and their potential outcomes.
2. Interactive Verification: Prompts users to provide additional context or details if a headline lacks a clear connection between a situation and its potential outcomes.
3. Dangerous Language Detection: Detects and flags potentially harmful or dangerous language in news headlines.
4. Safe Headline Generation: Generates alternative headlines that are safer and more responsible, especially when dangerous language is detected.
5. Advanced Text Analysis: Employs sophisticated text processing techniques to accurately interpret and analyze news content.
6. User-friendly Interface: Offers an intuitive and accessible interface for users to verify, edit, and manage headlines.
7. Ethical Content Management: Focuses on promoting ethical news reporting by reducing the spread of misinformation and harmful content.
8. Reliable Filtering: Implements consistent filtering and content generation rules to ensure safety and ethical standards are met.</v>
      </c>
      <c r="D135" s="1" t="str">
        <f ca="1">IFERROR(__xludf.DUMMYFUNCTION("""COMPUTED_VALUE"""),"Dr. Ahmad Din")</f>
        <v>Dr. Ahmad Din</v>
      </c>
    </row>
    <row r="136" spans="1:4">
      <c r="A136" s="1" t="str">
        <f ca="1">IFERROR(__xludf.DUMMYFUNCTION("""COMPUTED_VALUE"""),"F24-136-D-Amauton")</f>
        <v>F24-136-D-Amauton</v>
      </c>
      <c r="B136" s="1" t="str">
        <f ca="1">IFERROR(__xludf.DUMMYFUNCTION("""COMPUTED_VALUE"""),"Streamlining Amazon Seller Operations Through Advanced Automation and AI")</f>
        <v>Streamlining Amazon Seller Operations Through Advanced Automation and AI</v>
      </c>
      <c r="C136" s="2" t="str">
        <f ca="1">IFERROR(__xludf.DUMMYFUNCTION("""COMPUTED_VALUE"""),"Project Description:
The project aims to develop ""Amauton"" an AI-powered automation platform designed to streamline the management of Amazon Seller Accounts. The scope of this project encompasses automating key processes such as product hunting, listing"&amp;", pricing, inventory management, customer service, and order processing. Amauton will utilize advanced algorithms and machine learning techniques to optimize these tasks, enabling sellers to operate more efficiently and focus on scaling their businesses. "&amp;"The platform will also integrate seamlessly with Amazon's API, ensuring compliance with Amazon's policies while providing a user-friendly interface for sellers to monitor and control their operations effortlessly.
Key Features:
1. AI-Driven Product Hunti"&amp;"ng: Automatically identify high-potential products based on market trends, competition analysis, and profitability.
2. Bulk Product Listing: Simplify the listing process by allowing users to upload multiple products simultaneously with customizable templ"&amp;"ates.
3. Dynamic Pricing Engine: Automatically adjust prices based on competitor pricing, demand fluctuations, and inventory levels to maximize profitability.
4. Inventory Management System: Real-time tracking of stock levels with automated reorder aler"&amp;"ts and predictive analytics for restocking.
5. Automated Customer Service: AI-powered chatbots to handle customer inquiries, complaints, and returns efficiently.
6. Order Processing Automation: Seamless integration with Amazon FBA and third-party logist"&amp;"ics providers to automate the order fulfillment process.
7. Sales Analytics Dashboard: Visualize sales data, market trends, and product performance with intuitive charts and graphs.
8. Price Alert Notifications: Real-time alerts for price changes, compe"&amp;"titor actions, and recommendations for pricing strategies.
9. Compliance Monitoring: Ensure adherence to Amazon's policies with automated checks and alerts for potential violations.")</f>
        <v>Project Description:
The project aims to develop "Amauton" an AI-powered automation platform designed to streamline the management of Amazon Seller Accounts. The scope of this project encompasses automating key processes such as product hunting, listing, pricing, inventory management, customer service, and order processing. Amauton will utilize advanced algorithms and machine learning techniques to optimize these tasks, enabling sellers to operate more efficiently and focus on scaling their businesses. The platform will also integrate seamlessly with Amazon's API, ensuring compliance with Amazon's policies while providing a user-friendly interface for sellers to monitor and control their operations effortlessly.
Key Features:
1. AI-Driven Product Hunting: Automatically identify high-potential products based on market trends, competition analysis, and profitability.
2. Bulk Product Listing: Simplify the listing process by allowing users to upload multiple products simultaneously with customizable templates.
3. Dynamic Pricing Engine: Automatically adjust prices based on competitor pricing, demand fluctuations, and inventory levels to maximize profitability.
4. Inventory Management System: Real-time tracking of stock levels with automated reorder alerts and predictive analytics for restocking.
5. Automated Customer Service: AI-powered chatbots to handle customer inquiries, complaints, and returns efficiently.
6. Order Processing Automation: Seamless integration with Amazon FBA and third-party logistics providers to automate the order fulfillment process.
7. Sales Analytics Dashboard: Visualize sales data, market trends, and product performance with intuitive charts and graphs.
8. Price Alert Notifications: Real-time alerts for price changes, competitor actions, and recommendations for pricing strategies.
9. Compliance Monitoring: Ensure adherence to Amazon's policies with automated checks and alerts for potential violations.</v>
      </c>
      <c r="D136" s="1" t="str">
        <f ca="1">IFERROR(__xludf.DUMMYFUNCTION("""COMPUTED_VALUE"""),"Mr. Hassan Raza")</f>
        <v>Mr. Hassan Raza</v>
      </c>
    </row>
    <row r="137" spans="1:4">
      <c r="A137" s="1" t="str">
        <f ca="1">IFERROR(__xludf.DUMMYFUNCTION("""COMPUTED_VALUE"""),"F24-137-D-VIBE")</f>
        <v>F24-137-D-VIBE</v>
      </c>
      <c r="B137" s="1" t="str">
        <f ca="1">IFERROR(__xludf.DUMMYFUNCTION("""COMPUTED_VALUE"""),"Virtual Intelligent Buddy for Everyday Life")</f>
        <v>Virtual Intelligent Buddy for Everyday Life</v>
      </c>
      <c r="C137" s="2" t="str">
        <f ca="1">IFERROR(__xludf.DUMMYFUNCTION("""COMPUTED_VALUE"""),"An indigenous (multilingual) voice-activated AI assistant application designed for students/academic institutions to improve student productivity and improve the academic experience. It allows user to get personalized support for all major academic needs."&amp;" It can maintain user profile, automate common tasks, and provide curated opportunities specific to user profile. Additionally, it handles pdf file interactions and enables at demand content processing.
Indigenous Solution (Urdu)
Multilingual 
Personalis"&amp;"ed AI productivity assistant
Student/Academic Productivity 
Personalised Opportunities recommendation
Mental Health 
Time management 
Study Scheduling and Reminder
Pdf parsing (notes generator)")</f>
        <v>An indigenous (multilingual) voice-activated AI assistant application designed for students/academic institutions to improve student productivity and improve the academic experience. It allows user to get personalized support for all major academic needs. It can maintain user profile, automate common tasks, and provide curated opportunities specific to user profile. Additionally, it handles pdf file interactions and enables at demand content processing.
Indigenous Solution (Urdu)
Multilingual 
Personalised AI productivity assistant
Student/Academic Productivity 
Personalised Opportunities recommendation
Mental Health 
Time management 
Study Scheduling and Reminder
Pdf parsing (notes generator)</v>
      </c>
      <c r="D137" s="1" t="str">
        <f ca="1">IFERROR(__xludf.DUMMYFUNCTION("""COMPUTED_VALUE"""),"Mr. Pir Sami Ullah Shah")</f>
        <v>Mr. Pir Sami Ullah Shah</v>
      </c>
    </row>
    <row r="138" spans="1:4">
      <c r="A138" s="1" t="str">
        <f ca="1">IFERROR(__xludf.DUMMYFUNCTION("""COMPUTED_VALUE"""),"F24-138-R-DiabeticRetinopathyDetect")</f>
        <v>F24-138-R-DiabeticRetinopathyDetect</v>
      </c>
      <c r="B138" s="1" t="str">
        <f ca="1">IFERROR(__xludf.DUMMYFUNCTION("""COMPUTED_VALUE"""),"Detection of Diabetic Retinopathy Using Image Processing And Deep Learning")</f>
        <v>Detection of Diabetic Retinopathy Using Image Processing And Deep Learning</v>
      </c>
      <c r="C138" s="2" t="str">
        <f ca="1">IFERROR(__xludf.DUMMYFUNCTION("""COMPUTED_VALUE"""),"Scope:
This project focuses on developing an application for Diabetic Retinopathy Detection using image processing and deep learning techniques. The aim is to create a robust, accurate, and scalable model capable of analyzing fundus images to identify dia"&amp;"betic retinopathy and classify its severity.
Key Features:
1.Fundus Image Input
2.Image Preprocessing
3.Feature Extraction (Microaneurysms, Hemorrhages, Exudates)
4.Retinal Structure Segmentation
5.Automated Lesion Detection
6.Deep Learning Architecture
"&amp;"7.Severity Classification (No DR, Mild, Moderate, Severe, Proliferative DR)
8.Model Evaluation Metrics (Accuracy, Sensitivity, Specificity)")</f>
        <v>Scope:
This project focuses on developing an application for Diabetic Retinopathy Detection using image processing and deep learning techniques. The aim is to create a robust, accurate, and scalable model capable of analyzing fundus images to identify diabetic retinopathy and classify its severity.
Key Features:
1.Fundus Image Input
2.Image Preprocessing
3.Feature Extraction (Microaneurysms, Hemorrhages, Exudates)
4.Retinal Structure Segmentation
5.Automated Lesion Detection
6.Deep Learning Architecture
7.Severity Classification (No DR, Mild, Moderate, Severe, Proliferative DR)
8.Model Evaluation Metrics (Accuracy, Sensitivity, Specificity)</v>
      </c>
      <c r="D138" s="1" t="str">
        <f ca="1">IFERROR(__xludf.DUMMYFUNCTION("""COMPUTED_VALUE"""),"Dr. Labiba Fahad")</f>
        <v>Dr. Labiba Fahad</v>
      </c>
    </row>
    <row r="139" spans="1:4">
      <c r="A139" s="1" t="str">
        <f ca="1">IFERROR(__xludf.DUMMYFUNCTION("""COMPUTED_VALUE"""),"F24-139-D-Archeon")</f>
        <v>F24-139-D-Archeon</v>
      </c>
      <c r="B139" s="1" t="str">
        <f ca="1">IFERROR(__xludf.DUMMYFUNCTION("""COMPUTED_VALUE"""),"Archeon:High Fidelity 3D Neural Environment Reconstruction")</f>
        <v>Archeon:High Fidelity 3D Neural Environment Reconstruction</v>
      </c>
      <c r="C139" s="2" t="str">
        <f ca="1">IFERROR(__xludf.DUMMYFUNCTION("""COMPUTED_VALUE"""),"Archeon is a framework for high fidelity 3D environment reconstruction using scans from mobile devices. This application will enable users to create digital models of interior-space and object-centric real-world scenes with highly detailed 3D geometry. 
"&amp;"Users will also be able to view and experience these environments through immersive AR/VR integrations. This application will primarily be focused on generating interior environments of buildings.
Key features:
1. Scan-to-3D Environment Reconstruction: C"&amp;"onvert scans into detailed 3D interior environments.
2. Scan-to-3D Object Generation: Convert object-centric scans into exportable 3D models. 
3. Generative AI Enhancement: Use Generative AI to improve Geometry and Texture Detail.
4. Object and Scene Segm"&amp;"entation: Segment specific Objects within the Environment for Generative AI Enhancement. 
5. 3D-Model Export and Storage .
6. Augmented Reality (AR) Visualization.
7. Virtual Reality (VR) Experience.
8. Integrated 360° Model View.")</f>
        <v>Archeon is a framework for high fidelity 3D environment reconstruction using scans from mobile devices. This application will enable users to create digital models of interior-space and object-centric real-world scenes with highly detailed 3D geometry. 
Users will also be able to view and experience these environments through immersive AR/VR integrations. This application will primarily be focused on generating interior environments of buildings.
Key features:
1. Scan-to-3D Environment Reconstruction: Convert scans into detailed 3D interior environments.
2. Scan-to-3D Object Generation: Convert object-centric scans into exportable 3D models. 
3. Generative AI Enhancement: Use Generative AI to improve Geometry and Texture Detail.
4. Object and Scene Segmentation: Segment specific Objects within the Environment for Generative AI Enhancement. 
5. 3D-Model Export and Storage .
6. Augmented Reality (AR) Visualization.
7. Virtual Reality (VR) Experience.
8. Integrated 360° Model View.</v>
      </c>
      <c r="D139" s="1" t="str">
        <f ca="1">IFERROR(__xludf.DUMMYFUNCTION("""COMPUTED_VALUE"""),"Dr. Adnan Tariq")</f>
        <v>Dr. Adnan Tariq</v>
      </c>
    </row>
    <row r="140" spans="1:4">
      <c r="A140" s="1" t="str">
        <f ca="1">IFERROR(__xludf.DUMMYFUNCTION("""COMPUTED_VALUE"""),"F24-140-D-GenResume")</f>
        <v>F24-140-D-GenResume</v>
      </c>
      <c r="B140" s="1" t="str">
        <f ca="1">IFERROR(__xludf.DUMMYFUNCTION("""COMPUTED_VALUE"""),"AI-Driven Resume Generation and Job Matching Platform")</f>
        <v>AI-Driven Resume Generation and Job Matching Platform</v>
      </c>
      <c r="C140" s="2" t="str">
        <f ca="1">IFERROR(__xludf.DUMMYFUNCTION("""COMPUTED_VALUE"""),"GenResume is a web-based platform designed to help users build, manage, and optimize their professional profiles, enabling them to create tailored resumes, CVs, and cover letters that meet specific job requirements and are compliant with Applicant Trackin"&amp;"g Systems (ATS). The platform integrates AI-driven job recommendations, skill gap analysis, and profile optimization tools, allowing users to enhance their chances of securing desired roles. Additionally, GenResume offers career planning insights by analy"&amp;"zing job descriptions and providing guidance on necessary skills and qualifications, making it a comprehensive solution for career development and job search management. Some top features are given
Comprehensive Profile Management
Automated Resume Genera"&amp;"tion
AI-Powered Job Recommendations
Job Description Analysis
Skill Matching and Gap Analysis
Profile Data Import
Customizable Resume Templates
Career Planning Tools")</f>
        <v>GenResume is a web-based platform designed to help users build, manage, and optimize their professional profiles, enabling them to create tailored resumes, CVs, and cover letters that meet specific job requirements and are compliant with Applicant Tracking Systems (ATS). The platform integrates AI-driven job recommendations, skill gap analysis, and profile optimization tools, allowing users to enhance their chances of securing desired roles. Additionally, GenResume offers career planning insights by analyzing job descriptions and providing guidance on necessary skills and qualifications, making it a comprehensive solution for career development and job search management. Some top features are given
Comprehensive Profile Management
Automated Resume Generation
AI-Powered Job Recommendations
Job Description Analysis
Skill Matching and Gap Analysis
Profile Data Import
Customizable Resume Templates
Career Planning Tools</v>
      </c>
      <c r="D140" s="1" t="str">
        <f ca="1">IFERROR(__xludf.DUMMYFUNCTION("""COMPUTED_VALUE"""),"Dr. Danish Shehzad")</f>
        <v>Dr. Danish Shehzad</v>
      </c>
    </row>
    <row r="141" spans="1:4">
      <c r="A141" s="1" t="str">
        <f ca="1">IFERROR(__xludf.DUMMYFUNCTION("""COMPUTED_VALUE"""),"F24-141-D-DermaScan")</f>
        <v>F24-141-D-DermaScan</v>
      </c>
      <c r="B141" s="1" t="str">
        <f ca="1">IFERROR(__xludf.DUMMYFUNCTION("""COMPUTED_VALUE"""),"DermaScan: A Mobile Application for Real-Time Skin Disease Detection")</f>
        <v>DermaScan: A Mobile Application for Real-Time Skin Disease Detection</v>
      </c>
      <c r="C141" s="2" t="str">
        <f ca="1">IFERROR(__xludf.DUMMYFUNCTION("""COMPUTED_VALUE"""),"This project focuses on developing a mobile application for the real-time detection and monitoring of skin diseases. The app provides users with an accessible, efficient, and accurate way to identify skin conditions without needing immediate in-person con"&amp;"sultations with dermatologists. An advanced skincare recommendation system that utilizes real-time facial imaging to analyze a user’s skin condition ensuring optimal skin health and user satisfaction.
Key Features:
Real-Time Skin Disease Detection
Diseas"&amp;"e Classification and Information
User-Friendly Interface
Monitoring and Progress Tracking
Multi-Platform Support
Offline Functionality
Secure Data Handling
Skincare Routine Personalization
Integration with External Devices
Continuous Model Updates and Lea"&amp;"rning")</f>
        <v>This project focuses on developing a mobile application for the real-time detection and monitoring of skin diseases. The app provides users with an accessible, efficient, and accurate way to identify skin conditions without needing immediate in-person consultations with dermatologists. An advanced skincare recommendation system that utilizes real-time facial imaging to analyze a user’s skin condition ensuring optimal skin health and user satisfaction.
Key Features:
Real-Time Skin Disease Detection
Disease Classification and Information
User-Friendly Interface
Monitoring and Progress Tracking
Multi-Platform Support
Offline Functionality
Secure Data Handling
Skincare Routine Personalization
Integration with External Devices
Continuous Model Updates and Learning</v>
      </c>
      <c r="D141" s="1" t="str">
        <f ca="1">IFERROR(__xludf.DUMMYFUNCTION("""COMPUTED_VALUE"""),"Dr. Zeshan Khan")</f>
        <v>Dr. Zeshan Khan</v>
      </c>
    </row>
    <row r="142" spans="1:4">
      <c r="A142" s="1" t="str">
        <f ca="1">IFERROR(__xludf.DUMMYFUNCTION("""COMPUTED_VALUE"""),"F24-142-R-GasFreeTransaction")</f>
        <v>F24-142-R-GasFreeTransaction</v>
      </c>
      <c r="B142" s="1" t="str">
        <f ca="1">IFERROR(__xludf.DUMMYFUNCTION("""COMPUTED_VALUE"""),"Gas free transactions in public blockchain")</f>
        <v>Gas free transactions in public blockchain</v>
      </c>
      <c r="C142" s="2" t="str">
        <f ca="1">IFERROR(__xludf.DUMMYFUNCTION("""COMPUTED_VALUE"""),"Our blockchain-based platform aims to revolutionize transaction accessibility by eliminating gas fees, making decentralized finance more inclusive. The project introduces a unique mechanism where users can earn tokens by participating in transaction inqui"&amp;"ries, fostering a community-driven validation process. These earned tokens can then be used as gas fees for their own transactions, creating a self-sustaining ecosystem. By enabling gas-free transactions, we aim to lower the entry barrier for blockchain a"&amp;"doption and promote active user participation in maintaining the network's security and integrity.
Key Features:
Gas-Free Transactions: Users can execute transactions without paying traditional gas fees by utilizing earned tokens.
Token Earning Mechani"&amp;"sm: Users earn tokens by validating and inquiring into other users' transactions, encouraging active participation.
Decentralized Validation: A community-driven approach to transaction validation ensures transparency and security.
User-Friendly Interfac"&amp;"e: An intuitive platform design that simplifies blockchain transactions, even for beginners.
Smart Contract Integration: Seamless integration with smart contracts to automate transaction processes and token distribution.
Incentive System: A well-structu"&amp;"red reward system that motivates users to actively participate in transaction inquiries.
Secure Wallet Integration: Users can securely store, manage, and utilize their earned tokens within integrated wallets.
Scalability: The platform is designed to han"&amp;"dle a growing number of users and transactions without compromising performance.
Multi-Chain Support: Compatibility with multiple blockchain networks, allowing users to operate across different ecosystems.
Penalty: If the user do a wrong transaction inq"&amp;"uiry than he/she has to face the penalty for it.")</f>
        <v>Our blockchain-based platform aims to revolutionize transaction accessibility by eliminating gas fees, making decentralized finance more inclusive. The project introduces a unique mechanism where users can earn tokens by participating in transaction inquiries, fostering a community-driven validation process. These earned tokens can then be used as gas fees for their own transactions, creating a self-sustaining ecosystem. By enabling gas-free transactions, we aim to lower the entry barrier for blockchain adoption and promote active user participation in maintaining the network's security and integrity.
Key Features:
Gas-Free Transactions: Users can execute transactions without paying traditional gas fees by utilizing earned tokens.
Token Earning Mechanism: Users earn tokens by validating and inquiring into other users' transactions, encouraging active participation.
Decentralized Validation: A community-driven approach to transaction validation ensures transparency and security.
User-Friendly Interface: An intuitive platform design that simplifies blockchain transactions, even for beginners.
Smart Contract Integration: Seamless integration with smart contracts to automate transaction processes and token distribution.
Incentive System: A well-structured reward system that motivates users to actively participate in transaction inquiries.
Secure Wallet Integration: Users can securely store, manage, and utilize their earned tokens within integrated wallets.
Scalability: The platform is designed to handle a growing number of users and transactions without compromising performance.
Multi-Chain Support: Compatibility with multiple blockchain networks, allowing users to operate across different ecosystems.
Penalty: If the user do a wrong transaction inquiry than he/she has to face the penalty for it.</v>
      </c>
      <c r="D142" s="1" t="str">
        <f ca="1">IFERROR(__xludf.DUMMYFUNCTION("""COMPUTED_VALUE"""),"Dr. Syed Qaiser Ali Shah")</f>
        <v>Dr. Syed Qaiser Ali Shah</v>
      </c>
    </row>
    <row r="143" spans="1:4">
      <c r="A143" s="1" t="str">
        <f ca="1">IFERROR(__xludf.DUMMYFUNCTION("""COMPUTED_VALUE"""),"F24-143-D-HealthBridge")</f>
        <v>F24-143-D-HealthBridge</v>
      </c>
      <c r="B143" s="1" t="str">
        <f ca="1">IFERROR(__xludf.DUMMYFUNCTION("""COMPUTED_VALUE"""),"HealthBridge")</f>
        <v>HealthBridge</v>
      </c>
      <c r="C143" s="2" t="str">
        <f ca="1">IFERROR(__xludf.DUMMYFUNCTION("""COMPUTED_VALUE"""),"HealthBridge provides a unified platform where users can book appointments with doctors. HealthBridge not only allows users to book appointments with doctors nationwide, whether for physical visits or online consultations, but it also integrates AI powere"&amp;"d diagnostics for liver-related medical scans (MRIs, CT scans, and X-rays). This unified platform ensures that users have a seamless experience, from scheduling appointments to receiving comprehensive diagnostic reports and treatment recommendations, all "&amp;"while maintaining the highest standards of data security and accuracy. HealthBridge simplifies the patient journey by consolidating multiple healthcare services into one accessible platform, streamlining the process for both patients and healthcare provid"&amp;"ers.")</f>
        <v>HealthBridge provides a unified platform where users can book appointments with doctors. HealthBridge not only allows users to book appointments with doctors nationwide, whether for physical visits or online consultations, but it also integrates AI powered diagnostics for liver-related medical scans (MRIs, CT scans, and X-rays). This unified platform ensures that users have a seamless experience, from scheduling appointments to receiving comprehensive diagnostic reports and treatment recommendations, all while maintaining the highest standards of data security and accuracy. HealthBridge simplifies the patient journey by consolidating multiple healthcare services into one accessible platform, streamlining the process for both patients and healthcare providers.</v>
      </c>
      <c r="D143" s="1" t="str">
        <f ca="1">IFERROR(__xludf.DUMMYFUNCTION("""COMPUTED_VALUE"""),"Mr. M. Aadil Ur Rehman")</f>
        <v>Mr. M. Aadil Ur Rehman</v>
      </c>
    </row>
    <row r="144" spans="1:4">
      <c r="A144" s="1" t="str">
        <f ca="1">IFERROR(__xludf.DUMMYFUNCTION("""COMPUTED_VALUE"""),"F24-144-D-Personix")</f>
        <v>F24-144-D-Personix</v>
      </c>
      <c r="B144" s="1" t="str">
        <f ca="1">IFERROR(__xludf.DUMMYFUNCTION("""COMPUTED_VALUE""")," Personalized 3D Avatars for Digital Experiences")</f>
        <v xml:space="preserve"> Personalized 3D Avatars for Digital Experiences</v>
      </c>
      <c r="C144" s="2" t="str">
        <f ca="1">IFERROR(__xludf.DUMMYFUNCTION("""COMPUTED_VALUE"""),"Project Scope
The project aims to develop a comprehensive avatar creation, customization, and sharing platform that allows users to create realistic 3D models of themselves using pictures, customize their facial features, and animate these avatars with na"&amp;"tural facial movements and expressions. The platform will integrate text-to-speech capabilities, enabling the avatars to speak and display appropriate emotional expressions based on sentiment analysis of the text. Users will be able to create stickers, GI"&amp;"Fs, and other media assets using their avatars, which they can then share on various social media platforms. The platform will also support the creation of multiple avatars, allowing users to switch between them, as well as the ability to use the avatars "&amp;"as face filters for video recording. Additionally, the platform will implement a system for posing and animating the avatars and provide cloud storage to save and sync user avatars across devices.
Key Features:
Create 3D models of users using facial pict"&amp;"ures
Enable 3D model face customization and facial feature adjustments
Implement live facial movement and expressions for avatars
Integrate text-to-speech with sentiment analysis for expressive avatar voices
Create stickers and GIFs using avatars
Allow us"&amp;"ers to create and switch between multiple avatars
Integrate avatars as face filters for video recording
Provide cloud storage to save and sync user avatars across devices")</f>
        <v>Project Scope
The project aims to develop a comprehensive avatar creation, customization, and sharing platform that allows users to create realistic 3D models of themselves using pictures, customize their facial features, and animate these avatars with natural facial movements and expressions. The platform will integrate text-to-speech capabilities, enabling the avatars to speak and display appropriate emotional expressions based on sentiment analysis of the text. Users will be able to create stickers, GIFs, and other media assets using their avatars, which they can then share on various social media platforms. The platform will also support the creation of multiple avatars, allowing users to switch between them, as well as the ability to use the avatars as face filters for video recording. Additionally, the platform will implement a system for posing and animating the avatars and provide cloud storage to save and sync user avatars across devices.
Key Features:
Create 3D models of users using facial pictures
Enable 3D model face customization and facial feature adjustments
Implement live facial movement and expressions for avatars
Integrate text-to-speech with sentiment analysis for expressive avatar voices
Create stickers and GIFs using avatars
Allow users to create and switch between multiple avatars
Integrate avatars as face filters for video recording
Provide cloud storage to save and sync user avatars across devices</v>
      </c>
      <c r="D144" s="1" t="str">
        <f ca="1">IFERROR(__xludf.DUMMYFUNCTION("""COMPUTED_VALUE"""),"Dr. Asif Naeem")</f>
        <v>Dr. Asif Naeem</v>
      </c>
    </row>
    <row r="145" spans="1:4">
      <c r="A145" s="1" t="str">
        <f ca="1">IFERROR(__xludf.DUMMYFUNCTION("""COMPUTED_VALUE"""),"F24-145-D-VR-OR")</f>
        <v>F24-145-D-VR-OR</v>
      </c>
      <c r="B145" s="1" t="str">
        <f ca="1">IFERROR(__xludf.DUMMYFUNCTION("""COMPUTED_VALUE"""),"Virtual Reality-Based Surgical Training Simulator")</f>
        <v>Virtual Reality-Based Surgical Training Simulator</v>
      </c>
      <c r="C145" s="2" t="str">
        <f ca="1">IFERROR(__xludf.DUMMYFUNCTION("""COMPUTED_VALUE"""),"In our V-OR (Virtual Operating Room) project, we aim to create an immersive and interactive platform that allows medical professionals and students to simulate surgical procedures, such as open-heart surgery, in a virtual environment. The platform will gu"&amp;"ide users through each step of the procedure and offer real-time feedback on any errors made. By replicating a realistic surgical experience with detailed 3D anatomical models and tools, we aim to enhance medical education, improve surgical accuracy, and "&amp;"minimize real-world risks. Additionally, the system will evaluate user performance, helping them to refine their skills over time.
Features:
1- Real-time Surgical Simulation: Users can perform surgeries in a virtual environment with detailed anatomical m"&amp;"odels, simulating real-life procedures.
2- Step-by-Step Guidance: The system guides users through the correct surgical steps, ensuring proper technique and procedure.
3-Error Detection and Feedback: Mistakes are detected in real-time, with immediate corre"&amp;"ctive feedback provided to enhance learning.
4-Interactive 3D Models: High-quality, interactive 3D models of organs, tissues, and surgical tools are integrated into the simulation.
5- Multi-Surgery Support: The platform supports the simulation of various "&amp;"surgeries, including complex procedures like open-heart surgery.
6- Performance Evaluation: User performance is tracked throughout the procedure, with detailed post-surgery analysis to help refine skills.
7- User-Friendly Interface: The platform features "&amp;"an intuitive user interface for easy selection of tools and navigation within the simulation.
8- Virtual Training Mode: A dedicated training mode allows medical students and professionals to safely enhance their surgical skills.
9- Detailed Reporting &amp; An"&amp;"alytics: Provide comprehensive reports and analytics on user performance, including metrics like completion time, error rates, and precision, which can be used for further improvement or academic assessment.")</f>
        <v>In our V-OR (Virtual Operating Room) project, we aim to create an immersive and interactive platform that allows medical professionals and students to simulate surgical procedures, such as open-heart surgery, in a virtual environment. The platform will guide users through each step of the procedure and offer real-time feedback on any errors made. By replicating a realistic surgical experience with detailed 3D anatomical models and tools, we aim to enhance medical education, improve surgical accuracy, and minimize real-world risks. Additionally, the system will evaluate user performance, helping them to refine their skills over time.
Features:
1- Real-time Surgical Simulation: Users can perform surgeries in a virtual environment with detailed anatomical models, simulating real-life procedures.
2- Step-by-Step Guidance: The system guides users through the correct surgical steps, ensuring proper technique and procedure.
3-Error Detection and Feedback: Mistakes are detected in real-time, with immediate corrective feedback provided to enhance learning.
4-Interactive 3D Models: High-quality, interactive 3D models of organs, tissues, and surgical tools are integrated into the simulation.
5- Multi-Surgery Support: The platform supports the simulation of various surgeries, including complex procedures like open-heart surgery.
6- Performance Evaluation: User performance is tracked throughout the procedure, with detailed post-surgery analysis to help refine skills.
7- User-Friendly Interface: The platform features an intuitive user interface for easy selection of tools and navigation within the simulation.
8- Virtual Training Mode: A dedicated training mode allows medical students and professionals to safely enhance their surgical skills.
9- Detailed Reporting &amp; Analytics: Provide comprehensive reports and analytics on user performance, including metrics like completion time, error rates, and precision, which can be used for further improvement or academic assessment.</v>
      </c>
      <c r="D145" s="1" t="str">
        <f ca="1">IFERROR(__xludf.DUMMYFUNCTION("""COMPUTED_VALUE"""),"Ms. Noor ul Ain")</f>
        <v>Ms. Noor ul Ain</v>
      </c>
    </row>
    <row r="146" spans="1:4">
      <c r="A146" s="1" t="str">
        <f ca="1">IFERROR(__xludf.DUMMYFUNCTION("""COMPUTED_VALUE"""),"F24-146-D-Mal-Assf")</f>
        <v>F24-146-D-Mal-Assf</v>
      </c>
      <c r="B146" s="1" t="str">
        <f ca="1">IFERROR(__xludf.DUMMYFUNCTION("""COMPUTED_VALUE"""),"Desktop Application for Malware analysis and Detection using API Sequence")</f>
        <v>Desktop Application for Malware analysis and Detection using API Sequence</v>
      </c>
      <c r="C146" s="2" t="str">
        <f ca="1">IFERROR(__xludf.DUMMYFUNCTION("""COMPUTED_VALUE"""),"The proposed project aims to develop an application designed to analyze and detect malicious binary executables. The primary objective of this project is to create a robust and efficient tool for malware detection that can be used by security professional"&amp;"s and organizations to safeguard their systems. The application will utilize the Mal-ASSF framework, which integrates sequence feature extraction, semantic analysis, and machine learning to accurately classify executable files as either benign or maliciou"&amp;"s.
Key Features:
1. Dynamic Analysis of Executables: The application will run executable files in a secure sandbox environment to capture detailed API call sequences and operational behaviors.
2. API Sequence Processing: Extracted API sequences will be p"&amp;"rocessed using techniques like API2Vec, which converts API calls into vector representations while preserving semantic relationships.
3. Semantic Feature Extraction:Analyzes the semantic relationships within API sequences using techniques like API2Vec, en"&amp;"hancing the detection accuracy.
4. BiLSTM-based Feature Extraction: The application will use BiLSTM (Bidirectional Long Short-Term Memory) networks to analyze API sequences, capturing complex calling relationships and sequence features that are indicative"&amp;" of malicious behavior.
5. Attention Mechanism: The application will incorporate an attention mechanism to focus on critical segments of API sequences, enhancing the detection accuracy by emphasizing key behaviors associated with malware.
6. Machine Learn"&amp;"ing Classification: A Multi-Layer Perceptron (MLP) classifier will be used to classify the analyzed executables, employing dropout techniques to prevent overfitting and ensure reliable performance.
7. Comprehensive Report Generation:Provides detailed anal"&amp;"ysis reports outlining the behaviors and potential threats identified in the analyzed executables.
8. User Interface: The desktop application will feature a user-friendly interface that allows users to easily upload and analyze executable files. 
")</f>
        <v xml:space="preserve">The proposed project aims to develop an application designed to analyze and detect malicious binary executables. The primary objective of this project is to create a robust and efficient tool for malware detection that can be used by security professionals and organizations to safeguard their systems. The application will utilize the Mal-ASSF framework, which integrates sequence feature extraction, semantic analysis, and machine learning to accurately classify executable files as either benign or malicious.
Key Features:
1. Dynamic Analysis of Executables: The application will run executable files in a secure sandbox environment to capture detailed API call sequences and operational behaviors.
2. API Sequence Processing: Extracted API sequences will be processed using techniques like API2Vec, which converts API calls into vector representations while preserving semantic relationships.
3. Semantic Feature Extraction:Analyzes the semantic relationships within API sequences using techniques like API2Vec, enhancing the detection accuracy.
4. BiLSTM-based Feature Extraction: The application will use BiLSTM (Bidirectional Long Short-Term Memory) networks to analyze API sequences, capturing complex calling relationships and sequence features that are indicative of malicious behavior.
5. Attention Mechanism: The application will incorporate an attention mechanism to focus on critical segments of API sequences, enhancing the detection accuracy by emphasizing key behaviors associated with malware.
6. Machine Learning Classification: A Multi-Layer Perceptron (MLP) classifier will be used to classify the analyzed executables, employing dropout techniques to prevent overfitting and ensure reliable performance.
7. Comprehensive Report Generation:Provides detailed analysis reports outlining the behaviors and potential threats identified in the analyzed executables.
8. User Interface: The desktop application will feature a user-friendly interface that allows users to easily upload and analyze executable files. 
</v>
      </c>
      <c r="D146" s="1" t="str">
        <f ca="1">IFERROR(__xludf.DUMMYFUNCTION("""COMPUTED_VALUE"""),"Mr. Jawad Hassan")</f>
        <v>Mr. Jawad Hassan</v>
      </c>
    </row>
    <row r="147" spans="1:4">
      <c r="A147" s="1" t="str">
        <f ca="1">IFERROR(__xludf.DUMMYFUNCTION("""COMPUTED_VALUE"""),"F24-147-D-IoTAnomalyDetect")</f>
        <v>F24-147-D-IoTAnomalyDetect</v>
      </c>
      <c r="B147" s="1" t="str">
        <f ca="1">IFERROR(__xludf.DUMMYFUNCTION("""COMPUTED_VALUE"""),"Predictive Maintenance based on Anomaly Detection in Sensor Data obtained through the use of IoT Devices ")</f>
        <v xml:space="preserve">Predictive Maintenance based on Anomaly Detection in Sensor Data obtained through the use of IoT Devices </v>
      </c>
      <c r="C147" s="2" t="str">
        <f ca="1">IFERROR(__xludf.DUMMYFUNCTION("""COMPUTED_VALUE"""),"Our project involves creating a Predictive Maintenance system that leverages IoT devices and Machine Learning approaches to detect and handle anomalies in sensor data for CARE Pvt. Ltd.
Our system will monitor and analyze almost near real-time data from t"&amp;"he company’s industrial IoT device to predict potential failures before they occur.
We will be building an IoT device for the Company.
Expected Outcomes:
1. A system for collection of relevant data using IoT devices, such as machine's temperature, vibrati"&amp;"on, and current.
2. A functional predictive maintenance system that detects anomalies in sensor data
3. Reduced equipment downtime and increased overall efficiency by earlier prediction of potential machine failure.
Key Features:
1. Real-time Data Colle"&amp;"ction
2. Data Preprocessing
3. Cloud Computing 
4. Anomaly Detection Machine Learning Models
5. Predictive Maintenance Alerts
6. Dashboard for Visualization
7. Performance Evaluation
8. Building an IoT device
")</f>
        <v xml:space="preserve">Our project involves creating a Predictive Maintenance system that leverages IoT devices and Machine Learning approaches to detect and handle anomalies in sensor data for CARE Pvt. Ltd.
Our system will monitor and analyze almost near real-time data from the company’s industrial IoT device to predict potential failures before they occur.
We will be building an IoT device for the Company.
Expected Outcomes:
1. A system for collection of relevant data using IoT devices, such as machine's temperature, vibration, and current.
2. A functional predictive maintenance system that detects anomalies in sensor data
3. Reduced equipment downtime and increased overall efficiency by earlier prediction of potential machine failure.
Key Features:
1. Real-time Data Collection
2. Data Preprocessing
3. Cloud Computing 
4. Anomaly Detection Machine Learning Models
5. Predictive Maintenance Alerts
6. Dashboard for Visualization
7. Performance Evaluation
8. Building an IoT device
</v>
      </c>
      <c r="D147" s="1" t="str">
        <f ca="1">IFERROR(__xludf.DUMMYFUNCTION("""COMPUTED_VALUE"""),"Dr. Fehmida Usmani")</f>
        <v>Dr. Fehmida Usmani</v>
      </c>
    </row>
    <row r="148" spans="1:4">
      <c r="A148" s="1" t="str">
        <f ca="1">IFERROR(__xludf.DUMMYFUNCTION("""COMPUTED_VALUE"""),"F24-148-D-PromoHive")</f>
        <v>F24-148-D-PromoHive</v>
      </c>
      <c r="B148" s="1" t="str">
        <f ca="1">IFERROR(__xludf.DUMMYFUNCTION("""COMPUTED_VALUE"""),"PromoHive: AI Powered Promotion")</f>
        <v>PromoHive: AI Powered Promotion</v>
      </c>
      <c r="C148" s="2" t="str">
        <f ca="1">IFERROR(__xludf.DUMMYFUNCTION("""COMPUTED_VALUE"""),"The project aims to develop a comprehensive promotional management system for retailers to enhance the optimization and tracking of marketing campaigns across diverse channels. This system will facilitate the planning, execution, and analysis of promotion"&amp;"s, integrating advanced features such as customizable discount rules, loyalty rewards, and targeted offers. With seamless integration into existing retail infrastructures, including POS and inventory management systems, the platform will provide a central"&amp;"ized promotional calendar, real-time analytics, and robust tools for customer segmentation and A/B testing. By leveraging a scalable technology stack, this system will empower retailers to execute personalized marketing strategies effectively.
Key Featur"&amp;"es:
1.	Promotional Calendar: A centralized tool for scheduling and coordinating marketing promotions.
2.	Advanced Discounting Rules: A flexible engine for creating and managing complex promotional offers.
3.	Real-Time Monitoring: An analytics dashboard fo"&amp;"r tracking promotion performance and return on investment (ROI).
4.	Customer Segmentation: Tools to enable personalized marketing efforts based on customer data analysis.
5.	A/B Testing: Features to compare the effectiveness of different promotional strat"&amp;"egies.
6.	Inventory Management Integration: Automated stock level adjustments during promotions to ensure accurate inventory tracking.
7.	Analytics Dashboard: Real-time insights using Elasticsearch and Kibana for data visualization.
")</f>
        <v xml:space="preserve">The project aims to develop a comprehensive promotional management system for retailers to enhance the optimization and tracking of marketing campaigns across diverse channels. This system will facilitate the planning, execution, and analysis of promotions, integrating advanced features such as customizable discount rules, loyalty rewards, and targeted offers. With seamless integration into existing retail infrastructures, including POS and inventory management systems, the platform will provide a centralized promotional calendar, real-time analytics, and robust tools for customer segmentation and A/B testing. By leveraging a scalable technology stack, this system will empower retailers to execute personalized marketing strategies effectively.
Key Features:
1.	Promotional Calendar: A centralized tool for scheduling and coordinating marketing promotions.
2.	Advanced Discounting Rules: A flexible engine for creating and managing complex promotional offers.
3.	Real-Time Monitoring: An analytics dashboard for tracking promotion performance and return on investment (ROI).
4.	Customer Segmentation: Tools to enable personalized marketing efforts based on customer data analysis.
5.	A/B Testing: Features to compare the effectiveness of different promotional strategies.
6.	Inventory Management Integration: Automated stock level adjustments during promotions to ensure accurate inventory tracking.
7.	Analytics Dashboard: Real-time insights using Elasticsearch and Kibana for data visualization.
</v>
      </c>
      <c r="D148" s="1" t="str">
        <f ca="1">IFERROR(__xludf.DUMMYFUNCTION("""COMPUTED_VALUE"""),"Dr. Faisal Cheema")</f>
        <v>Dr. Faisal Cheema</v>
      </c>
    </row>
    <row r="149" spans="1:4">
      <c r="A149" s="1" t="str">
        <f ca="1">IFERROR(__xludf.DUMMYFUNCTION("""COMPUTED_VALUE"""),"F24-149-D-AutoEngage")</f>
        <v>F24-149-D-AutoEngage</v>
      </c>
      <c r="B149" s="1" t="str">
        <f ca="1">IFERROR(__xludf.DUMMYFUNCTION("""COMPUTED_VALUE"""),"AutoEngage: AI Sales and Service Assistant")</f>
        <v>AutoEngage: AI Sales and Service Assistant</v>
      </c>
      <c r="C149" s="2" t="str">
        <f ca="1">IFERROR(__xludf.DUMMYFUNCTION("""COMPUTED_VALUE"""),"The goal of the ""AutoEngage"" project is to create an AI-powered bot that can interact with customers on the phone on its own for different sales campaigns. The bot will take the place of human call center representatives, engaging customers in real-time"&amp;", tailored conversations to market and close deals on goods and services. ""AutoEngage"" will handle client inquiries, manage objections, and drive conversions by utilizing cutting-edge speech synthesis and natural language processing technologies. Additi"&amp;"onally, data analysis will yield insightful information. The system's objectives are to increase sales effectiveness, lower operating expenses, and offer a scalable solution to companies trying to maximize their customer engagement tactics.
1.	Advanced "&amp;"Natural Language Processing (NLP): Enables the bot to understand and respond to client queries with high accuracy through Large Language Models (LLM).
2.    Natural Language Understanding (NLU): Enables more human like understanding for the bot
3.    Devi"&amp;"ation Handling: Irrelevant information from the customer will be handled thoroughly and the AI will be redirect back to the original script
4.    RAG: Queries not in the models knowledge base will be addressed through RAG.
5.    Real-Time Speech Transcrip"&amp;"tion: Transcription of Customer's infomation in real time high accuracy for processing
6.	Real-Time Speech Synthesis: Generates natural and persuasive speech, enhancing the client experience.
7.	Personalized Interaction: Tailors conversations based on ind"&amp;"ividual client profiles and previous interactions.
8.	Dynamic Sales Pitches: Adapts sales strategies on the fly in response to client feedback and objections.
")</f>
        <v xml:space="preserve">The goal of the "AutoEngage" project is to create an AI-powered bot that can interact with customers on the phone on its own for different sales campaigns. The bot will take the place of human call center representatives, engaging customers in real-time, tailored conversations to market and close deals on goods and services. "AutoEngage" will handle client inquiries, manage objections, and drive conversions by utilizing cutting-edge speech synthesis and natural language processing technologies. Additionally, data analysis will yield insightful information. The system's objectives are to increase sales effectiveness, lower operating expenses, and offer a scalable solution to companies trying to maximize their customer engagement tactics.
1.	Advanced Natural Language Processing (NLP): Enables the bot to understand and respond to client queries with high accuracy through Large Language Models (LLM).
2.    Natural Language Understanding (NLU): Enables more human like understanding for the bot
3.    Deviation Handling: Irrelevant information from the customer will be handled thoroughly and the AI will be redirect back to the original script
4.    RAG: Queries not in the models knowledge base will be addressed through RAG.
5.    Real-Time Speech Transcription: Transcription of Customer's infomation in real time high accuracy for processing
6.	Real-Time Speech Synthesis: Generates natural and persuasive speech, enhancing the client experience.
7.	Personalized Interaction: Tailors conversations based on individual client profiles and previous interactions.
8.	Dynamic Sales Pitches: Adapts sales strategies on the fly in response to client feedback and objections.
</v>
      </c>
      <c r="D149" s="1" t="str">
        <f ca="1">IFERROR(__xludf.DUMMYFUNCTION("""COMPUTED_VALUE"""),"Mr. M Aamir Gulzar")</f>
        <v>Mr. M Aamir Gulzar</v>
      </c>
    </row>
    <row r="150" spans="1:4">
      <c r="A150" s="1" t="str">
        <f ca="1">IFERROR(__xludf.DUMMYFUNCTION("""COMPUTED_VALUE"""),"F24-150-D-Structify")</f>
        <v>F24-150-D-Structify</v>
      </c>
      <c r="B150" s="1" t="str">
        <f ca="1">IFERROR(__xludf.DUMMYFUNCTION("""COMPUTED_VALUE"""),"Gamified Intelligent Tutoring System (ITS) for teaching Data Structures.")</f>
        <v>Gamified Intelligent Tutoring System (ITS) for teaching Data Structures.</v>
      </c>
      <c r="C150" s="2" t="str">
        <f ca="1">IFERROR(__xludf.DUMMYFUNCTION("""COMPUTED_VALUE"""),"This project aims to develop an intelligent tutoring system designed to teach data structures through an engaging, gamified experience. The system will assess users' existing knowledge and provide a personalized learning plan tailored to their needs. As u"&amp;"sers progress, their knowledge will be continuously evaluated through assessments, allowing the system to adapt and present the next set of lessons accordingly. The ultimate goal is to create a dynamic learning environment that motivates users and enhance"&amp;"s their understanding of complex concepts in a fun and interactive way.
Features:
1) Personalized Learning Plan: Tailors the curriculum based on the user's initial knowledge.
2) Gamified Learning Modules: Incorporates gamified elements to make learning m"&amp;"ore engaging and enjoyable.
3) Knowledge Assessment: Regular tests to evaluate the user's understanding and adjust the learning plan.
4) Progress Tracking: Monitors user progress and provides instant feedback on assessments and exercises to aid in learnin"&amp;"g.
5) Adaptive Lesson Sequencing: Automatically adjusts the order and difficulty of lessons based on user performance.
6) Interactive Exercises: Hands-on coding challenges and exercises to reinforce learning.
7) Achievement Badges: Rewards users with badg"&amp;"es and points for completing milestones and challenges.
8) Performance analytics dashboard: Detailed insights into the user's progress giving an overview of the user’s activity.")</f>
        <v>This project aims to develop an intelligent tutoring system designed to teach data structures through an engaging, gamified experience. The system will assess users' existing knowledge and provide a personalized learning plan tailored to their needs. As users progress, their knowledge will be continuously evaluated through assessments, allowing the system to adapt and present the next set of lessons accordingly. The ultimate goal is to create a dynamic learning environment that motivates users and enhances their understanding of complex concepts in a fun and interactive way.
Features:
1) Personalized Learning Plan: Tailors the curriculum based on the user's initial knowledge.
2) Gamified Learning Modules: Incorporates gamified elements to make learning more engaging and enjoyable.
3) Knowledge Assessment: Regular tests to evaluate the user's understanding and adjust the learning plan.
4) Progress Tracking: Monitors user progress and provides instant feedback on assessments and exercises to aid in learning.
5) Adaptive Lesson Sequencing: Automatically adjusts the order and difficulty of lessons based on user performance.
6) Interactive Exercises: Hands-on coding challenges and exercises to reinforce learning.
7) Achievement Badges: Rewards users with badges and points for completing milestones and challenges.
8) Performance analytics dashboard: Detailed insights into the user's progress giving an overview of the user’s activity.</v>
      </c>
      <c r="D150" s="1" t="str">
        <f ca="1">IFERROR(__xludf.DUMMYFUNCTION("""COMPUTED_VALUE"""),"Mr. Bilal Khalid Dar")</f>
        <v>Mr. Bilal Khalid Dar</v>
      </c>
    </row>
    <row r="151" spans="1:4">
      <c r="A151" s="1" t="str">
        <f ca="1">IFERROR(__xludf.DUMMYFUNCTION("""COMPUTED_VALUE"""),"F24-151-D-Bot-Nist")</f>
        <v>F24-151-D-Bot-Nist</v>
      </c>
      <c r="B151" s="1" t="str">
        <f ca="1">IFERROR(__xludf.DUMMYFUNCTION("""COMPUTED_VALUE"""),"Bot-Nist AI: Transforming Web data into Intelligent Support ")</f>
        <v xml:space="preserve">Bot-Nist AI: Transforming Web data into Intelligent Support </v>
      </c>
      <c r="C151" s="2" t="str">
        <f ca="1">IFERROR(__xludf.DUMMYFUNCTION("""COMPUTED_VALUE"""),"Introducing Bot-Nist, a web application designed to transform website interaction and customer support. By simply providing a URL, users can leverage Bot-Nist advanced capabilities to scan and analyze websites, extract key data using Natural Language Proc"&amp;"essing (NLP), and provide intelligent responses. The app also generates a customizable API for seamless integration into the user's website, enhancing customer service and data accessibility.
Following are the key points: 
1. Website Scanning
2. NLP-Base"&amp;"d Keypoint Extraction
3. AI-Powered Q&amp;A
4. Custom API Generation
5. Interactive Dashboard
6. Real-Time Updates
7. Analytics and Reporting
8. Integration with Existing Systems
9. Data Privacy and Security")</f>
        <v>Introducing Bot-Nist, a web application designed to transform website interaction and customer support. By simply providing a URL, users can leverage Bot-Nist advanced capabilities to scan and analyze websites, extract key data using Natural Language Processing (NLP), and provide intelligent responses. The app also generates a customizable API for seamless integration into the user's website, enhancing customer service and data accessibility.
Following are the key points: 
1. Website Scanning
2. NLP-Based Keypoint Extraction
3. AI-Powered Q&amp;A
4. Custom API Generation
5. Interactive Dashboard
6. Real-Time Updates
7. Analytics and Reporting
8. Integration with Existing Systems
9. Data Privacy and Security</v>
      </c>
      <c r="D151" s="1" t="str">
        <f ca="1">IFERROR(__xludf.DUMMYFUNCTION("""COMPUTED_VALUE"""),"Ms. Marium Hida")</f>
        <v>Ms. Marium Hida</v>
      </c>
    </row>
    <row r="152" spans="1:4">
      <c r="A152" s="1" t="str">
        <f ca="1">IFERROR(__xludf.DUMMYFUNCTION("""COMPUTED_VALUE"""),"F24-152-D-DataKaleidos")</f>
        <v>F24-152-D-DataKaleidos</v>
      </c>
      <c r="B152" s="1" t="str">
        <f ca="1">IFERROR(__xludf.DUMMYFUNCTION("""COMPUTED_VALUE"""),"Intelligent Consumer Data Analytics and Visualizations")</f>
        <v>Intelligent Consumer Data Analytics and Visualizations</v>
      </c>
      <c r="C152" s="2" t="str">
        <f ca="1">IFERROR(__xludf.DUMMYFUNCTION("""COMPUTED_VALUE"""),"Scope:
The problem businesses face today is the lack of real-time, accessible data to make informed decisions in a fast-changing market.
Our project aims to build a cloud-based data platform that provides real-time, keyword-driven insights into market t"&amp;"rends, consumer behavior, and competitor activities for businesses in Pakistan. The platform will utilize web scraping, public APIs, machine learning, and natural language processing (NLP) to gather, process, and analyze data. It will offer customizable v"&amp;"isualizations, including trend graphs, demographic breakdowns, and sentiment analysis, with support from an AI-driven chatbot that helps users create personalized reports.
Platform Features:
1. Chatbot to facilitate User-Driven Queries
2. Data Availabil"&amp;"ity Check to utilize existing database
3. On-Demand Data Gathering by scraping web data to update database
4. Real-Time and Historical Analysis to predict consumer trends
5. Consumer Insights by applying sentiment analysis to scraped data
6. Custom Visual"&amp;"izations by generating reports and dashboards
7. Notifications and Delayed Reports
8. Data Storage and Scaling with cloud infrastructure
What makes our idea unique?
Real-time insights, AI-powered reports and visualizations, combined with diverse data sou"&amp;"rces, make our platform stand out compared to existing solutions.
")</f>
        <v xml:space="preserve">Scope:
The problem businesses face today is the lack of real-time, accessible data to make informed decisions in a fast-changing market.
Our project aims to build a cloud-based data platform that provides real-time, keyword-driven insights into market trends, consumer behavior, and competitor activities for businesses in Pakistan. The platform will utilize web scraping, public APIs, machine learning, and natural language processing (NLP) to gather, process, and analyze data. It will offer customizable visualizations, including trend graphs, demographic breakdowns, and sentiment analysis, with support from an AI-driven chatbot that helps users create personalized reports.
Platform Features:
1. Chatbot to facilitate User-Driven Queries
2. Data Availability Check to utilize existing database
3. On-Demand Data Gathering by scraping web data to update database
4. Real-Time and Historical Analysis to predict consumer trends
5. Consumer Insights by applying sentiment analysis to scraped data
6. Custom Visualizations by generating reports and dashboards
7. Notifications and Delayed Reports
8. Data Storage and Scaling with cloud infrastructure
What makes our idea unique?
Real-time insights, AI-powered reports and visualizations, combined with diverse data sources, make our platform stand out compared to existing solutions.
</v>
      </c>
      <c r="D152" s="1" t="str">
        <f ca="1">IFERROR(__xludf.DUMMYFUNCTION("""COMPUTED_VALUE"""),"Dr. Naveed Ahmad")</f>
        <v>Dr. Naveed Ahmad</v>
      </c>
    </row>
    <row r="153" spans="1:4">
      <c r="A153" s="1" t="str">
        <f ca="1">IFERROR(__xludf.DUMMYFUNCTION("""COMPUTED_VALUE"""),"F24-153-D-BeAWarden")</f>
        <v>F24-153-D-BeAWarden</v>
      </c>
      <c r="B153" s="1" t="str">
        <f ca="1">IFERROR(__xludf.DUMMYFUNCTION("""COMPUTED_VALUE"""),"Be A Warden")</f>
        <v>Be A Warden</v>
      </c>
      <c r="C153" s="2" t="str">
        <f ca="1">IFERROR(__xludf.DUMMYFUNCTION("""COMPUTED_VALUE"""),"In this project we are making an AI violation detection system. Through our mobile app our
specified and approved users will be able to upload videos of specific violations on the road
and then our system will go through the videos and images and detect"&amp;" images through our AI
model. We will detect specific type of violations on the road as all the violations can’t be
detected by wardens or static cameras on the road.")</f>
        <v>In this project we are making an AI violation detection system. Through our mobile app our
specified and approved users will be able to upload videos of specific violations on the road
and then our system will go through the videos and images and detect images through our AI
model. We will detect specific type of violations on the road as all the violations can’t be
detected by wardens or static cameras on the road.</v>
      </c>
      <c r="D153" s="1" t="str">
        <f ca="1">IFERROR(__xludf.DUMMYFUNCTION("""COMPUTED_VALUE"""),"Mr. Shams Farooq")</f>
        <v>Mr. Shams Farooq</v>
      </c>
    </row>
    <row r="154" spans="1:4">
      <c r="A154" s="1" t="str">
        <f ca="1">IFERROR(__xludf.DUMMYFUNCTION("""COMPUTED_VALUE"""),"F24-154-D-CommuneX")</f>
        <v>F24-154-D-CommuneX</v>
      </c>
      <c r="B154" s="1" t="str">
        <f ca="1">IFERROR(__xludf.DUMMYFUNCTION("""COMPUTED_VALUE"""),"Neighborhood and Community Automation System")</f>
        <v>Neighborhood and Community Automation System</v>
      </c>
      <c r="C154" s="2" t="str">
        <f ca="1">IFERROR(__xludf.DUMMYFUNCTION("""COMPUTED_VALUE"""),"CommunBridge is an innovative Neighborhood and Community Automation System aimed at streamlining community operations and enhancing resident engagement. By integrating cutting-edge technologies like blockchain and AI, the platform ensures secure transacti"&amp;"ons, transparent decision-making, and efficient management of community resources and activities.
Key Features:
User Authentication and Role Management: Secure registration, login, and role-based access control.
Communication and Announcements: Com"&amp;"munity announcements, private messaging, and discussion forums.
Property Management: Blockchain-secured property transactions, document storage, and AI-driven price predictions.
Maintenance and Incident Reporting: Easy submission and tracking of mainten"&amp;"ance requests and incident reports.
Event and Resource Management: Scheduling, managing community events, resource booking, and AI-powered event recommendations.
Decentralized Voting: Secure and transparent voting for community decisions using blockchai"&amp;"n.
Notifications and Alerts: Real-time push notifications, SMS, and email alerts.
Admin Dashboard: Centralized management of users, events, resources, and maintenance tasks.
Share resources and Services: It allows neighbors to share resources and offer"&amp;" or request services.")</f>
        <v>CommunBridge is an innovative Neighborhood and Community Automation System aimed at streamlining community operations and enhancing resident engagement. By integrating cutting-edge technologies like blockchain and AI, the platform ensures secure transactions, transparent decision-making, and efficient management of community resources and activities.
Key Features:
User Authentication and Role Management: Secure registration, login, and role-based access control.
Communication and Announcements: Community announcements, private messaging, and discussion forums.
Property Management: Blockchain-secured property transactions, document storage, and AI-driven price predictions.
Maintenance and Incident Reporting: Easy submission and tracking of maintenance requests and incident reports.
Event and Resource Management: Scheduling, managing community events, resource booking, and AI-powered event recommendations.
Decentralized Voting: Secure and transparent voting for community decisions using blockchain.
Notifications and Alerts: Real-time push notifications, SMS, and email alerts.
Admin Dashboard: Centralized management of users, events, resources, and maintenance tasks.
Share resources and Services: It allows neighbors to share resources and offer or request services.</v>
      </c>
      <c r="D154" s="1" t="str">
        <f ca="1">IFERROR(__xludf.DUMMYFUNCTION("""COMPUTED_VALUE"""),"Dr. Isma ul Hassan")</f>
        <v>Dr. Isma ul Hassan</v>
      </c>
    </row>
    <row r="155" spans="1:4">
      <c r="A155" s="1" t="str">
        <f ca="1">IFERROR(__xludf.DUMMYFUNCTION("""COMPUTED_VALUE"""),"F24-155-D-Syntra")</f>
        <v>F24-155-D-Syntra</v>
      </c>
      <c r="B155" s="1" t="str">
        <f ca="1">IFERROR(__xludf.DUMMYFUNCTION("""COMPUTED_VALUE"""),"Syntra: Intelligent Compliance Optimization. Streamlining and optimizing compliance processes with AI-driven insights.")</f>
        <v>Syntra: Intelligent Compliance Optimization. Streamlining and optimizing compliance processes with AI-driven insights.</v>
      </c>
      <c r="C155" s="2" t="str">
        <f ca="1">IFERROR(__xludf.DUMMYFUNCTION("""COMPUTED_VALUE"""),"Syntra is a cutting-edge compliance automation platform that harnesses the power of Large Language Models (LLM), Natural Language Processing (NLP), and Machine Learning (ML) to redefine how organizations approach compliance management. By weaving together"&amp;" advanced AI technologies, Syntra offers a sophisticated solution that adapts to various compliance needs and intricacies. It facilitates a deeper understanding of regulatory requirements through intelligent control definitions and document verification, "&amp;"while offering real-time insights and updates. Syntra’s unique ability to integrate with existing enterprise systems and tailor compliance frameworks ensures that organizations not only meet regulatory standards but also stay ahead of evolving compliance "&amp;"landscapes. With a focus on proactive support, Syntra helps organizations navigate compliance challenges with agility and foresight.
Features:
1. AI- Driven Compliance Management
2. Organizational Structure Input
3. Proactive Compliance Assistance
4. Real"&amp;"-Time Compliance Dashboard
5. Document Verification
6. Compliance reporting and auditing
7. Customizable Compliance Frameworks
8. Data Privacy and security compliance")</f>
        <v>Syntra is a cutting-edge compliance automation platform that harnesses the power of Large Language Models (LLM), Natural Language Processing (NLP), and Machine Learning (ML) to redefine how organizations approach compliance management. By weaving together advanced AI technologies, Syntra offers a sophisticated solution that adapts to various compliance needs and intricacies. It facilitates a deeper understanding of regulatory requirements through intelligent control definitions and document verification, while offering real-time insights and updates. Syntra’s unique ability to integrate with existing enterprise systems and tailor compliance frameworks ensures that organizations not only meet regulatory standards but also stay ahead of evolving compliance landscapes. With a focus on proactive support, Syntra helps organizations navigate compliance challenges with agility and foresight.
Features:
1. AI- Driven Compliance Management
2. Organizational Structure Input
3. Proactive Compliance Assistance
4. Real-Time Compliance Dashboard
5. Document Verification
6. Compliance reporting and auditing
7. Customizable Compliance Frameworks
8. Data Privacy and security compliance</v>
      </c>
      <c r="D155" s="1" t="str">
        <f ca="1">IFERROR(__xludf.DUMMYFUNCTION("""COMPUTED_VALUE"""),"Dr. Muhammad Asim")</f>
        <v>Dr. Muhammad Asim</v>
      </c>
    </row>
    <row r="156" spans="1:4">
      <c r="A156" s="1" t="str">
        <f ca="1">IFERROR(__xludf.DUMMYFUNCTION("""COMPUTED_VALUE"""),"F24-156-D-Empowered-AI")</f>
        <v>F24-156-D-Empowered-AI</v>
      </c>
      <c r="B156" s="1" t="str">
        <f ca="1">IFERROR(__xludf.DUMMYFUNCTION("""COMPUTED_VALUE"""),"Empowered-AI: Sense Beyond Limits")</f>
        <v>Empowered-AI: Sense Beyond Limits</v>
      </c>
      <c r="C156" s="2" t="str">
        <f ca="1">IFERROR(__xludf.DUMMYFUNCTION("""COMPUTED_VALUE"""),"Project Description:
The ""Empowered-AI"" project is a comprehensive accessibility application designed to enhance the independence and quality of life for individuals with visual impairments. The app utilizes advanced AI technologies to provide real-time"&amp;" assistance and communication support across a wide range of daily activities. By integrating features like computer vision, natural language processing, and haptic feedback, ""Empowered-AI"" aims to bridge communication barriers and make everyday tasks m"&amp;"ore accessible. The app's scope includes providing essential tools for users to navigate their surroundings, communicate effectively, and perform routine tasks with greater ease and confidence.
 Key Features:
1. Computer Vision for Object and Text Recogn"&amp;"ition: Identifies objects and reads text aloud to visually impaired users.
2. Scene Label to Text Generation: Identifies the scene labels from the environment and generates the text description for the user
3. Facial and Emotion Recognition: Helps users i"&amp;"dentify people and understand their emotional expressions.
4. Text-to-Speech (TTS) : Converts generated text to speech for blind users.
5. Voice Command and Control: Allows hands-free operation through voice commands, enhancing accessibility.
6. Remote As"&amp;"sistance: Provides real-time support from interpreters or trusted contacts.
7. Haptic Feedback: Uses vibrations or tactile patterns to convey information and alerts to users.
8. Emergency Assistance Features: Automatically notifies emergency contacts and "&amp;"shares the user's location in critical situations.
9. Customizable User Interface: Allows users to tailor the app's settings and functionalities to meet their specific needs and preferences.
Optional Features:
10. Sign Language Recognition &amp; Text-to-Spee"&amp;"ch (TTS) : Translates sign language gestures into spoken or written language for hearing-impaired users and Speech to Text (STT) for hearing and speaking impaired people.")</f>
        <v>Project Description:
The "Empowered-AI" project is a comprehensive accessibility application designed to enhance the independence and quality of life for individuals with visual impairments. The app utilizes advanced AI technologies to provide real-time assistance and communication support across a wide range of daily activities. By integrating features like computer vision, natural language processing, and haptic feedback, "Empowered-AI" aims to bridge communication barriers and make everyday tasks more accessible. The app's scope includes providing essential tools for users to navigate their surroundings, communicate effectively, and perform routine tasks with greater ease and confidence.
 Key Features:
1. Computer Vision for Object and Text Recognition: Identifies objects and reads text aloud to visually impaired users.
2. Scene Label to Text Generation: Identifies the scene labels from the environment and generates the text description for the user
3. Facial and Emotion Recognition: Helps users identify people and understand their emotional expressions.
4. Text-to-Speech (TTS) : Converts generated text to speech for blind users.
5. Voice Command and Control: Allows hands-free operation through voice commands, enhancing accessibility.
6. Remote Assistance: Provides real-time support from interpreters or trusted contacts.
7. Haptic Feedback: Uses vibrations or tactile patterns to convey information and alerts to users.
8. Emergency Assistance Features: Automatically notifies emergency contacts and shares the user's location in critical situations.
9. Customizable User Interface: Allows users to tailor the app's settings and functionalities to meet their specific needs and preferences.
Optional Features:
10. Sign Language Recognition &amp; Text-to-Speech (TTS) : Translates sign language gestures into spoken or written language for hearing-impaired users and Speech to Text (STT) for hearing and speaking impaired people.</v>
      </c>
      <c r="D156" s="1" t="str">
        <f ca="1">IFERROR(__xludf.DUMMYFUNCTION("""COMPUTED_VALUE"""),"Dr. Usman Habib")</f>
        <v>Dr. Usman Habib</v>
      </c>
    </row>
    <row r="157" spans="1:4">
      <c r="A157" s="1" t="str">
        <f ca="1">IFERROR(__xludf.DUMMYFUNCTION("""COMPUTED_VALUE"""),"F24-157-R-FontFusion")</f>
        <v>F24-157-R-FontFusion</v>
      </c>
      <c r="B157" s="1" t="str">
        <f ca="1">IFERROR(__xludf.DUMMYFUNCTION("""COMPUTED_VALUE"""),"Comparison of Raster Fonts and OTF/TTF")</f>
        <v>Comparison of Raster Fonts and OTF/TTF</v>
      </c>
      <c r="C157" s="2" t="str">
        <f ca="1">IFERROR(__xludf.DUMMYFUNCTION("""COMPUTED_VALUE"""),"FontFusion is a R&amp;D project that uses AI and machine learning to change the way we work with digital fonts. This web application will let users compare and analyze both raster (bitmap) and vector-based (OTF/TTF) fonts. It will provide detailed metrics, ad"&amp;"vanced vectorization, and interactive visual previews. By offering accurate comparisons and insights into font structure, scalability, and quality, it aims to set new standards in font technology and offer useful tools for designers, typographers, and tec"&amp;"h professionals.
Features:
Bitmap Analysis: Examine raster fonts to understand their structure and limitations by analyzing and extracting key metrics.
Vectorization for Comparison: Convert raster fonts into vector formats to compare them with OTF/TTF fo"&amp;"nts easily.
Metrics Extraction: Extract and compare font metrics, including kerning, baseline, and glyph shapes, for both raster and vector fonts.
Preview Functionality: Provide side-by-side previews of raster and vector fonts so users can visually compar"&amp;"e quality and scalability.
Images as Input: Allow users to upload images with text (raster), analyze the text within those images, and then compare it with selected fonts.
Research-Oriented Features:
Advanced Font Classification: Use AI to classify and c"&amp;"ategorize fonts based on their structure and appearance for more accurate comparisons.
Font Performance Analysis: Evaluate how different fonts perform in different digital settings, focusing on factors like rendering speed, memory usage, and readability.
"&amp;"Historical Font Study: Explore how fonts have evolved over time, tracing and recording the development of both raster and vector fonts and their influence on digital typography.
Data Preparation:
Image Data Preprocessing: Develop a robust preprocessing p"&amp;"ipeline to handle the image data provided by the collaborating company. This will involve cleaning up noise, separating text from backgrounds, and standardizing resolution, ensuring the images are optimized for accurate analysis and comparison within the "&amp;"application.")</f>
        <v>FontFusion is a R&amp;D project that uses AI and machine learning to change the way we work with digital fonts. This web application will let users compare and analyze both raster (bitmap) and vector-based (OTF/TTF) fonts. It will provide detailed metrics, advanced vectorization, and interactive visual previews. By offering accurate comparisons and insights into font structure, scalability, and quality, it aims to set new standards in font technology and offer useful tools for designers, typographers, and tech professionals.
Features:
Bitmap Analysis: Examine raster fonts to understand their structure and limitations by analyzing and extracting key metrics.
Vectorization for Comparison: Convert raster fonts into vector formats to compare them with OTF/TTF fonts easily.
Metrics Extraction: Extract and compare font metrics, including kerning, baseline, and glyph shapes, for both raster and vector fonts.
Preview Functionality: Provide side-by-side previews of raster and vector fonts so users can visually compare quality and scalability.
Images as Input: Allow users to upload images with text (raster), analyze the text within those images, and then compare it with selected fonts.
Research-Oriented Features:
Advanced Font Classification: Use AI to classify and categorize fonts based on their structure and appearance for more accurate comparisons.
Font Performance Analysis: Evaluate how different fonts perform in different digital settings, focusing on factors like rendering speed, memory usage, and readability.
Historical Font Study: Explore how fonts have evolved over time, tracing and recording the development of both raster and vector fonts and their influence on digital typography.
Data Preparation:
Image Data Preprocessing: Develop a robust preprocessing pipeline to handle the image data provided by the collaborating company. This will involve cleaning up noise, separating text from backgrounds, and standardizing resolution, ensuring the images are optimized for accurate analysis and comparison within the application.</v>
      </c>
      <c r="D157" s="1" t="str">
        <f ca="1">IFERROR(__xludf.DUMMYFUNCTION("""COMPUTED_VALUE"""),"Dr. Hasan Mujtaba")</f>
        <v>Dr. Hasan Mujtaba</v>
      </c>
    </row>
    <row r="158" spans="1:4">
      <c r="A158" s="1" t="str">
        <f ca="1">IFERROR(__xludf.DUMMYFUNCTION("""COMPUTED_VALUE"""),"F24-158-R-CryptoTradeBot")</f>
        <v>F24-158-R-CryptoTradeBot</v>
      </c>
      <c r="B158" s="1" t="str">
        <f ca="1">IFERROR(__xludf.DUMMYFUNCTION("""COMPUTED_VALUE"""),"Crypto Currency price prediction using sentimental and technical analysis")</f>
        <v>Crypto Currency price prediction using sentimental and technical analysis</v>
      </c>
      <c r="C158" s="2" t="str">
        <f ca="1">IFERROR(__xludf.DUMMYFUNCTION("""COMPUTED_VALUE"""),"Project Description
The AI Trading Bot for Crypto is an advanced automated trading system that utilizes real-time sentiment analysis from social media and technical analysis from market data to execute trades. Integrating with brokers like Binance or OKX,"&amp;" the bot aims for rapid and precise trading decisions by avoiding lagging indicators. The project focuses on developing algorithms for analysis, integrating APIs for live data, and creating a seamless trading interface.
Features
1. Real-time Sentiment Ana"&amp;"lysis: Analyzes sentiment from social media like Twitter.
2. Technical Analysis: Assesses market data including price, volume, and open interest.
3. API Integration: Connects with broker platforms such as Binance or OKX.
4. Automated Trade Execution: Exec"&amp;"utes trades automatically based on analysis.
5. Customizable Strategies: Enables users to adjust trading strategies.
6. Risk Management: Includes stop-loss and take-profit features.
7. User Profile and Dashboard: Displays live charts and sentiment analysi"&amp;"s results.
8. Trading Journal Bot: Tracks trade details including total trades, profits, losses, cancellations, win rate, and Return of Investment.
")</f>
        <v xml:space="preserve">Project Description
The AI Trading Bot for Crypto is an advanced automated trading system that utilizes real-time sentiment analysis from social media and technical analysis from market data to execute trades. Integrating with brokers like Binance or OKX, the bot aims for rapid and precise trading decisions by avoiding lagging indicators. The project focuses on developing algorithms for analysis, integrating APIs for live data, and creating a seamless trading interface.
Features
1. Real-time Sentiment Analysis: Analyzes sentiment from social media like Twitter.
2. Technical Analysis: Assesses market data including price, volume, and open interest.
3. API Integration: Connects with broker platforms such as Binance or OKX.
4. Automated Trade Execution: Executes trades automatically based on analysis.
5. Customizable Strategies: Enables users to adjust trading strategies.
6. Risk Management: Includes stop-loss and take-profit features.
7. User Profile and Dashboard: Displays live charts and sentiment analysis results.
8. Trading Journal Bot: Tracks trade details including total trades, profits, losses, cancellations, win rate, and Return of Investment.
</v>
      </c>
      <c r="D158" s="1" t="str">
        <f ca="1">IFERROR(__xludf.DUMMYFUNCTION("""COMPUTED_VALUE"""),"Dr. Syed Qaiser Ali Shah")</f>
        <v>Dr. Syed Qaiser Ali Shah</v>
      </c>
    </row>
    <row r="159" spans="1:4">
      <c r="A159" s="1" t="str">
        <f ca="1">IFERROR(__xludf.DUMMYFUNCTION("""COMPUTED_VALUE"""),"F24-159-D-HumRahi")</f>
        <v>F24-159-D-HumRahi</v>
      </c>
      <c r="B159" s="1" t="str">
        <f ca="1">IFERROR(__xludf.DUMMYFUNCTION("""COMPUTED_VALUE"""),"HumRahi - A smart carpooling app designed to connect users for shared rides, promoting cost savings and environmental benefits.")</f>
        <v>HumRahi - A smart carpooling app designed to connect users for shared rides, promoting cost savings and environmental benefits.</v>
      </c>
      <c r="C159" s="2" t="str">
        <f ca="1">IFERROR(__xludf.DUMMYFUNCTION("""COMPUTED_VALUE"""),"HumRahi is a Carpooling App designed to connect users for shared rides, promoting cost savings and environmental benefits. It features user registration, trip creation and matching, real-time tracking, in-app communication, and secure payment options. Thi"&amp;"s app also includes a behavior score system for moderating users and a rating system to ensure a safe and reliable carpooling experience. With intuitive notifications and alerts, users stay informed about trip updates and matches.  
Key features:
User Re"&amp;"gistration &amp; Profiles: Secure sign-up/login, user profiles with personal details and vehicle information.
Trip Creation &amp; Matching: Allow users to create and view carpooling trips, match with nearby users based on routes and schedules.
Real-Time Trackin"&amp;"g: Provide live tracking of vehicles and estimated arrival times.
In-App Communication: Enable messaging between riders and drivers for coordination.
Payment Integration: Support for fare splitting and secure payments through the app.
Ratings &amp; Reviews: "&amp;"Allow users to rate and review drivers and passengers to ensure safety and reliability.
Notifications &amp; Alerts: Notify users about trip updates, new matches, and reminders.
Behavior Score:  Moderate users and provide security and accountability by assig"&amp;"ning scores to users based on their usage and actions.")</f>
        <v>HumRahi is a Carpooling App designed to connect users for shared rides, promoting cost savings and environmental benefits. It features user registration, trip creation and matching, real-time tracking, in-app communication, and secure payment options. This app also includes a behavior score system for moderating users and a rating system to ensure a safe and reliable carpooling experience. With intuitive notifications and alerts, users stay informed about trip updates and matches.  
Key features:
User Registration &amp; Profiles: Secure sign-up/login, user profiles with personal details and vehicle information.
Trip Creation &amp; Matching: Allow users to create and view carpooling trips, match with nearby users based on routes and schedules.
Real-Time Tracking: Provide live tracking of vehicles and estimated arrival times.
In-App Communication: Enable messaging between riders and drivers for coordination.
Payment Integration: Support for fare splitting and secure payments through the app.
Ratings &amp; Reviews: Allow users to rate and review drivers and passengers to ensure safety and reliability.
Notifications &amp; Alerts: Notify users about trip updates, new matches, and reminders.
Behavior Score:  Moderate users and provide security and accountability by assigning scores to users based on their usage and actions.</v>
      </c>
      <c r="D159" s="1" t="str">
        <f ca="1">IFERROR(__xludf.DUMMYFUNCTION("""COMPUTED_VALUE"""),"Mr. M. Aadil Ur Rehman")</f>
        <v>Mr. M. Aadil Ur Rehman</v>
      </c>
    </row>
    <row r="160" spans="1:4">
      <c r="A160" s="1" t="str">
        <f ca="1">IFERROR(__xludf.DUMMYFUNCTION("""COMPUTED_VALUE"""),"F24-160-D-SentinelAI")</f>
        <v>F24-160-D-SentinelAI</v>
      </c>
      <c r="B160" s="1" t="str">
        <f ca="1">IFERROR(__xludf.DUMMYFUNCTION("""COMPUTED_VALUE"""),"Sentinel AI :AI-Driven Surveillance with Smart Notifications and Automated Emergency Calls")</f>
        <v>Sentinel AI :AI-Driven Surveillance with Smart Notifications and Automated Emergency Calls</v>
      </c>
      <c r="C160" s="2" t="str">
        <f ca="1">IFERROR(__xludf.DUMMYFUNCTION("""COMPUTED_VALUE"""),"An AI system that can be deployed as SAAS product on already in use CCTV camera network to provide the users with smart notifications along with an AI caller to contact emergency services on their behalf taking a step towards a cost efficient security. 
"&amp;"1.Intrusion Detection
2.Firearm Detection
3.Fire Detection
4.Behavirol Anomaly Detection
5.Fall Detection
6.Banned Personnel Detection
7.AI caller/informer
8.Number Plate Recognition")</f>
        <v>An AI system that can be deployed as SAAS product on already in use CCTV camera network to provide the users with smart notifications along with an AI caller to contact emergency services on their behalf taking a step towards a cost efficient security. 
1.Intrusion Detection
2.Firearm Detection
3.Fire Detection
4.Behavirol Anomaly Detection
5.Fall Detection
6.Banned Personnel Detection
7.AI caller/informer
8.Number Plate Recognition</v>
      </c>
      <c r="D160" s="1" t="str">
        <f ca="1">IFERROR(__xludf.DUMMYFUNCTION("""COMPUTED_VALUE"""),"Mr. Ahmad Raza")</f>
        <v>Mr. Ahmad Raza</v>
      </c>
    </row>
    <row r="161" spans="1:4">
      <c r="A161" s="1" t="str">
        <f ca="1">IFERROR(__xludf.DUMMYFUNCTION("""COMPUTED_VALUE"""),"F24-161-D-VirtuLectra")</f>
        <v>F24-161-D-VirtuLectra</v>
      </c>
      <c r="B161" s="1" t="str">
        <f ca="1">IFERROR(__xludf.DUMMYFUNCTION("""COMPUTED_VALUE"""),"VirtuLectra")</f>
        <v>VirtuLectra</v>
      </c>
      <c r="C161" s="2" t="str">
        <f ca="1">IFERROR(__xludf.DUMMYFUNCTION("""COMPUTED_VALUE"""),"Overview:
In today's educational landscape, the challenge for teachers to cater to the individual needs of every student is growing alongside their workload of creating and managing learning materials. Students, on the other hand, increasingly require a p"&amp;"ersonalized learning experience that addresses their unique weaknesses, strengths, learning pace, and prior knowledge. 
To address these challenges, our project, VirtuLectra, is designed to empower teachers by significantly reducing their workload through"&amp;" automation and enhancing their teaching capabilities with advanced tools. VirtuLectra allows teachers to create a dynamic and interactive learning environment that adapts to each student's needs, something that would be nearly impossible for a single tea"&amp;"cher to accomplish manually. By integrating AI-driven live lectures, content generation, real-time analytics, and a user-friendly interface, the platform ensures a seamless and natural learning experience for both educators and students.
Main Features:
R"&amp;"eal-time teacher’s avatar generation for a more engaging and interactive experience.
Natural, conversational voice exchanges for realistic lecture experience.
Pre-emptive Q&amp;A sessions to address student queries efficiently.
Monitoring tools to track stude"&amp;"nt engagement and attention levels.
Automatic generation of lecture slides for live presentation.
Tailored assignments and quizzes that align with the course material.
Adaptive learning paths that adjust based on student performance and engagement.
Web po"&amp;"rtal for teachers and students to access all functionalities in one place.
")</f>
        <v xml:space="preserve">Overview:
In today's educational landscape, the challenge for teachers to cater to the individual needs of every student is growing alongside their workload of creating and managing learning materials. Students, on the other hand, increasingly require a personalized learning experience that addresses their unique weaknesses, strengths, learning pace, and prior knowledge. 
To address these challenges, our project, VirtuLectra, is designed to empower teachers by significantly reducing their workload through automation and enhancing their teaching capabilities with advanced tools. VirtuLectra allows teachers to create a dynamic and interactive learning environment that adapts to each student's needs, something that would be nearly impossible for a single teacher to accomplish manually. By integrating AI-driven live lectures, content generation, real-time analytics, and a user-friendly interface, the platform ensures a seamless and natural learning experience for both educators and students.
Main Features:
Real-time teacher’s avatar generation for a more engaging and interactive experience.
Natural, conversational voice exchanges for realistic lecture experience.
Pre-emptive Q&amp;A sessions to address student queries efficiently.
Monitoring tools to track student engagement and attention levels.
Automatic generation of lecture slides for live presentation.
Tailored assignments and quizzes that align with the course material.
Adaptive learning paths that adjust based on student performance and engagement.
Web portal for teachers and students to access all functionalities in one place.
</v>
      </c>
      <c r="D161" s="1" t="str">
        <f ca="1">IFERROR(__xludf.DUMMYFUNCTION("""COMPUTED_VALUE"""),"Dr. Shahela Saif")</f>
        <v>Dr. Shahela Saif</v>
      </c>
    </row>
    <row r="162" spans="1:4">
      <c r="A162" s="1" t="str">
        <f ca="1">IFERROR(__xludf.DUMMYFUNCTION("""COMPUTED_VALUE"""),"F24-162-R-ResQ")</f>
        <v>F24-162-R-ResQ</v>
      </c>
      <c r="B162" s="1" t="str">
        <f ca="1">IFERROR(__xludf.DUMMYFUNCTION("""COMPUTED_VALUE"""),"A robot designed to save lives")</f>
        <v>A robot designed to save lives</v>
      </c>
      <c r="C162" s="2" t="str">
        <f ca="1">IFERROR(__xludf.DUMMYFUNCTION("""COMPUTED_VALUE"""),"Our project is focused on transforming search and rescue operations by deploying a sophisticated swarm of autonomous robots. These robots utilize cutting-edge generative AI and deep learning technologies to significantly improve the speed and accuracy of "&amp;"locating survivors in disaster scenarios. The system leverages swarm intelligence to ensure thorough area coverage, real-time object detection, and effective obstacle avoidance. Through advanced communication protocols and adaptable designs, the project a"&amp;"ims to reduce the risks faced by human rescuers and enhance overall rescue effectiveness. This initiative marks a pioneering advancement in robotics and emergency response, with the potential to save lives and redefine rescue operations on a global scale."&amp;"
1.Swarm Intelligence
2.Generative AI Integration
3.Real-Time Object Detection
4.Deep Learning Algorithms
5.Obstacle Avoidance
6.Autonomous Operation
7.Comprehensive Area Coverage
8.Risk Reduction
")</f>
        <v xml:space="preserve">Our project is focused on transforming search and rescue operations by deploying a sophisticated swarm of autonomous robots. These robots utilize cutting-edge generative AI and deep learning technologies to significantly improve the speed and accuracy of locating survivors in disaster scenarios. The system leverages swarm intelligence to ensure thorough area coverage, real-time object detection, and effective obstacle avoidance. Through advanced communication protocols and adaptable designs, the project aims to reduce the risks faced by human rescuers and enhance overall rescue effectiveness. This initiative marks a pioneering advancement in robotics and emergency response, with the potential to save lives and redefine rescue operations on a global scale.
1.Swarm Intelligence
2.Generative AI Integration
3.Real-Time Object Detection
4.Deep Learning Algorithms
5.Obstacle Avoidance
6.Autonomous Operation
7.Comprehensive Area Coverage
8.Risk Reduction
</v>
      </c>
      <c r="D162" s="1" t="str">
        <f ca="1">IFERROR(__xludf.DUMMYFUNCTION("""COMPUTED_VALUE"""),"Dr. Ahmad Din")</f>
        <v>Dr. Ahmad Din</v>
      </c>
    </row>
    <row r="163" spans="1:4">
      <c r="A163" s="1" t="str">
        <f ca="1">IFERROR(__xludf.DUMMYFUNCTION("""COMPUTED_VALUE"""),"F24-163-R-AutoMorph")</f>
        <v>F24-163-R-AutoMorph</v>
      </c>
      <c r="B163" s="1" t="str">
        <f ca="1">IFERROR(__xludf.DUMMYFUNCTION("""COMPUTED_VALUE"""),"AutoMorph: AI-Driven Synthetic Driver Data Enrichment for Enhanced Detection Systems")</f>
        <v>AutoMorph: AI-Driven Synthetic Driver Data Enrichment for Enhanced Detection Systems</v>
      </c>
      <c r="C163" s="2" t="str">
        <f ca="1">IFERROR(__xludf.DUMMYFUNCTION("""COMPUTED_VALUE"""),"Objective: Leverage diffusion models to modify existing driver images for better detection of safety violations in Driver Management Systems.
Focus Areas:
1) Realistic Data Modification: Enhance training robustness using diffusion models by incorporating"&amp;" long tail classes.
2) Behavioral Augmentation: Simulate scenarios like yawning, eating, and smoking.
3) Advanced Image Manipulation: Employ diffusion-based inpainting and text-to-image guidance.
Key Features:
1) Behavior-Specific Image Modification: Tar"&amp;"get drowsiness and distracted driving behaviors.
2) Inpainting Solutions: Integrate new behaviors into existing images seamlessly.
3) Text-to-Image Generation: Increase dataset versatility with natural language prompts.
4) Interactive Functionality: Enabl"&amp;"e precise modifications with visual feedback.
Applications:
1) Enhanced Safety Violation Detection: Improve systems for detecting safety violations.
2) Real-World Applicability: Validate model performance against actual driving scenarios.
Research and D"&amp;"ata Sources:
1) Public Driver Dataset: Utilize the Vicomtech Driver Monitoring Dataset.
2) Relevant Research: Incorporate diffusion model findings and synthetic data applications.
Front-End Application:
1) Visualization and Interaction: Develop a UI to s"&amp;"how impact on detection systems.
Expected Outcomes:
1) Scalable and Realistic Data Modification: Minimize new data collection needs.
2) Industry Impact: Enhance driver monitoring technology for commercial and personal vehicles.
")</f>
        <v xml:space="preserve">Objective: Leverage diffusion models to modify existing driver images for better detection of safety violations in Driver Management Systems.
Focus Areas:
1) Realistic Data Modification: Enhance training robustness using diffusion models by incorporating long tail classes.
2) Behavioral Augmentation: Simulate scenarios like yawning, eating, and smoking.
3) Advanced Image Manipulation: Employ diffusion-based inpainting and text-to-image guidance.
Key Features:
1) Behavior-Specific Image Modification: Target drowsiness and distracted driving behaviors.
2) Inpainting Solutions: Integrate new behaviors into existing images seamlessly.
3) Text-to-Image Generation: Increase dataset versatility with natural language prompts.
4) Interactive Functionality: Enable precise modifications with visual feedback.
Applications:
1) Enhanced Safety Violation Detection: Improve systems for detecting safety violations.
2) Real-World Applicability: Validate model performance against actual driving scenarios.
Research and Data Sources:
1) Public Driver Dataset: Utilize the Vicomtech Driver Monitoring Dataset.
2) Relevant Research: Incorporate diffusion model findings and synthetic data applications.
Front-End Application:
1) Visualization and Interaction: Develop a UI to show impact on detection systems.
Expected Outcomes:
1) Scalable and Realistic Data Modification: Minimize new data collection needs.
2) Industry Impact: Enhance driver monitoring technology for commercial and personal vehicles.
</v>
      </c>
      <c r="D163" s="1" t="str">
        <f ca="1">IFERROR(__xludf.DUMMYFUNCTION("""COMPUTED_VALUE"""),"Dr. Asif Naeem")</f>
        <v>Dr. Asif Naeem</v>
      </c>
    </row>
    <row r="164" spans="1:4">
      <c r="A164" s="1" t="str">
        <f ca="1">IFERROR(__xludf.DUMMYFUNCTION("""COMPUTED_VALUE"""),"F24-164-D-Salon360")</f>
        <v>F24-164-D-Salon360</v>
      </c>
      <c r="B164" s="1" t="str">
        <f ca="1">IFERROR(__xludf.DUMMYFUNCTION("""COMPUTED_VALUE"""),"Salon360 -All-in-One Unified Salon Management and Virtual Hair Try-On System")</f>
        <v>Salon360 -All-in-One Unified Salon Management and Virtual Hair Try-On System</v>
      </c>
      <c r="C164" s="2" t="str">
        <f ca="1">IFERROR(__xludf.DUMMYFUNCTION("""COMPUTED_VALUE"""),"Scope:
A unified Salon Management web app with AI driven virtual hair try-on for ideal hairstyles. The  application will manage various aspects of salon operations including,  managing employees, services, and maintaining a customer database with POS inte"&amp;"gration. It gives the clients an opportunity to try-on the hairstyles, considering their current hair length and type to show how new styles would look. Users can experiment with different cuts, colors, and styles in real-time.
Features:
1. Hair detection"&amp;" and segmentation
2. Personalized recommendations based on hair type and texture
3. Assess whether a hairstyle is feasible based on current hair
4. Virtual try-on of hairstyles
5. Hair color try-on
6. POS system
7. Maintaining customer contact book and se"&amp;"rvices database
8. Bookings with email reminders
9. Automated deal generation based on monthly profit target
10. Interactive user interface")</f>
        <v>Scope:
A unified Salon Management web app with AI driven virtual hair try-on for ideal hairstyles. The  application will manage various aspects of salon operations including,  managing employees, services, and maintaining a customer database with POS integration. It gives the clients an opportunity to try-on the hairstyles, considering their current hair length and type to show how new styles would look. Users can experiment with different cuts, colors, and styles in real-time.
Features:
1. Hair detection and segmentation
2. Personalized recommendations based on hair type and texture
3. Assess whether a hairstyle is feasible based on current hair
4. Virtual try-on of hairstyles
5. Hair color try-on
6. POS system
7. Maintaining customer contact book and services database
8. Bookings with email reminders
9. Automated deal generation based on monthly profit target
10. Interactive user interface</v>
      </c>
      <c r="D164" s="1" t="str">
        <f ca="1">IFERROR(__xludf.DUMMYFUNCTION("""COMPUTED_VALUE"""),"Mr. Adil Majeed")</f>
        <v>Mr. Adil Majeed</v>
      </c>
    </row>
    <row r="165" spans="1:4">
      <c r="A165" s="1" t="str">
        <f ca="1">IFERROR(__xludf.DUMMYFUNCTION("""COMPUTED_VALUE"""),"F24-165-D-RTSLConverter")</f>
        <v>F24-165-D-RTSLConverter</v>
      </c>
      <c r="B165" s="1" t="str">
        <f ca="1">IFERROR(__xludf.DUMMYFUNCTION("""COMPUTED_VALUE"""),"Real-Time Conversion of Speech and Text to Animated Sign Language for Enhanced Accessibility in Multimedia Content")</f>
        <v>Real-Time Conversion of Speech and Text to Animated Sign Language for Enhanced Accessibility in Multimedia Content</v>
      </c>
      <c r="C165" s="2" t="str">
        <f ca="1">IFERROR(__xludf.DUMMYFUNCTION("""COMPUTED_VALUE"""),"The primary objective of this project is to develop an innovative software solution designed to empower the deaf and individuals with hearing impairments by providing real-time translation of speech into animated sign language. This software will seamless"&amp;"ly convert audio-visual content into sign language, displayed as sleek, transparent animations overlaid on the screen. The focus is on delivering low-latency and high-accuracy performance, utilizing advanced machine learning algorithms for speech recognit"&amp;"ion to ensure an uninterrupted and intuitive user experience. With an emphasis on adaptability, this project aims to create a versatile solution that can be easily integrated across various platforms or tailored to specific use cases, meeting the diverse "&amp;"needs of its users.
Key Features:
1. Real-Time Speech-to-Text Conversion: Efficient and accurate transcription of audio from videos.
2. Text-to-Sign Language Mapping: Automated translation of transcribed text into corresponding sign language gestures.
3."&amp;" Animated Sign Language Display: High-quality, real-time rendering of sign language animations.
4. Translucent Overlay Box: A non-intrusive, customizable overlay that displays sign language on the video screen.
5. Low Latency Processing: Optimized to ensu"&amp;"re minimal delay between audio input and sign language output.
6. Platform Compatibility: Designed to work seamlessly on multimedia platform.
7. User Customization Options: Ability to adjust the size, position, and transparency of the sign language overla"&amp;"y.
8. Speech and Text Synchronization: Ensures that sign language animations are synchronized with the corresponding speech or text in the video.")</f>
        <v>The primary objective of this project is to develop an innovative software solution designed to empower the deaf and individuals with hearing impairments by providing real-time translation of speech into animated sign language. This software will seamlessly convert audio-visual content into sign language, displayed as sleek, transparent animations overlaid on the screen. The focus is on delivering low-latency and high-accuracy performance, utilizing advanced machine learning algorithms for speech recognition to ensure an uninterrupted and intuitive user experience. With an emphasis on adaptability, this project aims to create a versatile solution that can be easily integrated across various platforms or tailored to specific use cases, meeting the diverse needs of its users.
Key Features:
1. Real-Time Speech-to-Text Conversion: Efficient and accurate transcription of audio from videos.
2. Text-to-Sign Language Mapping: Automated translation of transcribed text into corresponding sign language gestures.
3. Animated Sign Language Display: High-quality, real-time rendering of sign language animations.
4. Translucent Overlay Box: A non-intrusive, customizable overlay that displays sign language on the video screen.
5. Low Latency Processing: Optimized to ensure minimal delay between audio input and sign language output.
6. Platform Compatibility: Designed to work seamlessly on multimedia platform.
7. User Customization Options: Ability to adjust the size, position, and transparency of the sign language overlay.
8. Speech and Text Synchronization: Ensures that sign language animations are synchronized with the corresponding speech or text in the video.</v>
      </c>
      <c r="D165" s="1" t="str">
        <f ca="1">IFERROR(__xludf.DUMMYFUNCTION("""COMPUTED_VALUE"""),"Mr. Hassan Raza")</f>
        <v>Mr. Hassan Raza</v>
      </c>
    </row>
    <row r="166" spans="1:4">
      <c r="A166" s="1" t="str">
        <f ca="1">IFERROR(__xludf.DUMMYFUNCTION("""COMPUTED_VALUE"""),"F24-166-D-GenFlex")</f>
        <v>F24-166-D-GenFlex</v>
      </c>
      <c r="B166" s="1" t="str">
        <f ca="1">IFERROR(__xludf.DUMMYFUNCTION("""COMPUTED_VALUE"""),"GenFlex")</f>
        <v>GenFlex</v>
      </c>
      <c r="C166" s="2" t="str">
        <f ca="1">IFERROR(__xludf.DUMMYFUNCTION("""COMPUTED_VALUE"""),"""SmartGrade"" is a digital platform designed to automate and streamline the entire examination process for educational institutions. It encompasses the creation, administration, and evaluation of exams, utilizing cutting-edge technologies such as machine"&amp;" learning and natural language processing to enhance accuracy, efficiency, and accessibility. The system supports both objective and subjective assessments, automates grading, and ensures secure, real-time exam monitoring, all while providing a user-frien"&amp;"dly experience across web and mobile platforms. The project aims to modernize exam systems, making them more reliable, fair, and adaptable to various educational needs.")</f>
        <v>"SmartGrade" is a digital platform designed to automate and streamline the entire examination process for educational institutions. It encompasses the creation, administration, and evaluation of exams, utilizing cutting-edge technologies such as machine learning and natural language processing to enhance accuracy, efficiency, and accessibility. The system supports both objective and subjective assessments, automates grading, and ensures secure, real-time exam monitoring, all while providing a user-friendly experience across web and mobile platforms. The project aims to modernize exam systems, making them more reliable, fair, and adaptable to various educational needs.</v>
      </c>
      <c r="D166" s="1" t="str">
        <f ca="1">IFERROR(__xludf.DUMMYFUNCTION("""COMPUTED_VALUE"""),"Mr. Irfan Ullah")</f>
        <v>Mr. Irfan Ullah</v>
      </c>
    </row>
    <row r="167" spans="1:4">
      <c r="A167" s="1" t="str">
        <f ca="1">IFERROR(__xludf.DUMMYFUNCTION("""COMPUTED_VALUE"""),"F24-167-D-Intelli-Datum")</f>
        <v>F24-167-D-Intelli-Datum</v>
      </c>
      <c r="B167" s="1" t="str">
        <f ca="1">IFERROR(__xludf.DUMMYFUNCTION("""COMPUTED_VALUE"""),"Smart Data Management")</f>
        <v>Smart Data Management</v>
      </c>
      <c r="C167" s="2" t="str">
        <f ca="1">IFERROR(__xludf.DUMMYFUNCTION("""COMPUTED_VALUE"""),"A smart data management app that enhances data management using GenAI. The app takes heterogenous data from different sources as input and uses AI models to automate data workflows, enhance data management efficiency, and automate data processing tasks. I"&amp;"t ensures efficiency, accuracy, and insight generation of data. Some major key features are listed below:
1. Automated data cleaning: Automatically detects and corrects errors, inconsistencies, and duplicates in data.
2. Smart data categorization: Uses AI"&amp;" to classify, organize, and tag data.
3. Predictive data preprocessing: Anticipates preprocessing needs and applies appropriate transformations to improve data quality. Learn from human intervention.
4. Anomaly detection and altering: Identifies unusual p"&amp;"atterns or outliers in data and sends real-time alerts.
5. Adaptive data integration: Seamlessly integrates data from various sources while adapting to changes in data formats.
6. Insights Generation: Provides advanced descriptions of the categorized data"&amp;", helping users make informed decisions.
7. Data security and privacy: Ensures that data is protected and complies with privacy regulations.
8. App user interface: Provides an easy-to-use interface for users to manage, visualize, and interact with their d"&amp;"ata efficiently.")</f>
        <v>A smart data management app that enhances data management using GenAI. The app takes heterogenous data from different sources as input and uses AI models to automate data workflows, enhance data management efficiency, and automate data processing tasks. It ensures efficiency, accuracy, and insight generation of data. Some major key features are listed below:
1. Automated data cleaning: Automatically detects and corrects errors, inconsistencies, and duplicates in data.
2. Smart data categorization: Uses AI to classify, organize, and tag data.
3. Predictive data preprocessing: Anticipates preprocessing needs and applies appropriate transformations to improve data quality. Learn from human intervention.
4. Anomaly detection and altering: Identifies unusual patterns or outliers in data and sends real-time alerts.
5. Adaptive data integration: Seamlessly integrates data from various sources while adapting to changes in data formats.
6. Insights Generation: Provides advanced descriptions of the categorized data, helping users make informed decisions.
7. Data security and privacy: Ensures that data is protected and complies with privacy regulations.
8. App user interface: Provides an easy-to-use interface for users to manage, visualize, and interact with their data efficiently.</v>
      </c>
      <c r="D167" s="1" t="str">
        <f ca="1">IFERROR(__xludf.DUMMYFUNCTION("""COMPUTED_VALUE"""),"Dr. Asif Naeem")</f>
        <v>Dr. Asif Naeem</v>
      </c>
    </row>
    <row r="168" spans="1:4">
      <c r="A168" s="1" t="str">
        <f ca="1">IFERROR(__xludf.DUMMYFUNCTION("""COMPUTED_VALUE"""),"F24-168-D-BalleBaaz")</f>
        <v>F24-168-D-BalleBaaz</v>
      </c>
      <c r="B168" s="1" t="str">
        <f ca="1">IFERROR(__xludf.DUMMYFUNCTION("""COMPUTED_VALUE"""),"BalleBaaz")</f>
        <v>BalleBaaz</v>
      </c>
      <c r="C168" s="2" t="str">
        <f ca="1">IFERROR(__xludf.DUMMYFUNCTION("""COMPUTED_VALUE"""),"Talented cricket players in Pakistan are frequently overlooked due to nepotism, despite their outstanding performances. Local matches often involve LBW controversies, which get worse by biased umpiring and a lack of DRS. Hiring neutral umpires is a soluti"&amp;"on, but it is costly. Furthermore, teams frequently experience difficulties fielding a full 11-player squad, emphasizing the need for a system that allows random players to join.
We propose an application which provides an overall cricketing environment "&amp;"for teams. Our app will have the following features
•	Scoring system
•	Stats tracker (Per team and Per player )
•	Ground booking 
•	Match Highlights
•	Player Highlights
•	DRS System
•	Weather monitoring system ( For predicting rain )
•	Umpire booking 
•	T"&amp;"eam Ranking System
•	Squad Selector")</f>
        <v>Talented cricket players in Pakistan are frequently overlooked due to nepotism, despite their outstanding performances. Local matches often involve LBW controversies, which get worse by biased umpiring and a lack of DRS. Hiring neutral umpires is a solution, but it is costly. Furthermore, teams frequently experience difficulties fielding a full 11-player squad, emphasizing the need for a system that allows random players to join.
We propose an application which provides an overall cricketing environment for teams. Our app will have the following features
•	Scoring system
•	Stats tracker (Per team and Per player )
•	Ground booking 
•	Match Highlights
•	Player Highlights
•	DRS System
•	Weather monitoring system ( For predicting rain )
•	Umpire booking 
•	Team Ranking System
•	Squad Selector</v>
      </c>
      <c r="D168" s="1" t="str">
        <f ca="1">IFERROR(__xludf.DUMMYFUNCTION("""COMPUTED_VALUE"""),"Mr. Shahbaz Hassan")</f>
        <v>Mr. Shahbaz Hassan</v>
      </c>
    </row>
    <row r="169" spans="1:4">
      <c r="A169" s="1" t="str">
        <f ca="1">IFERROR(__xludf.DUMMYFUNCTION("""COMPUTED_VALUE"""),"F24-169-D-Emobot")</f>
        <v>F24-169-D-Emobot</v>
      </c>
      <c r="B169" s="1" t="str">
        <f ca="1">IFERROR(__xludf.DUMMYFUNCTION("""COMPUTED_VALUE"""),"Empathetic chatbots ")</f>
        <v xml:space="preserve">Empathetic chatbots </v>
      </c>
      <c r="C169" s="2" t="str">
        <f ca="1">IFERROR(__xludf.DUMMYFUNCTION("""COMPUTED_VALUE"""),"This project seeks to address the growing need for accessible mental health resources by developing an AI-driven mental health support application. The app will provide users with an interactive platform that offers initial support through AI-powered conv"&amp;"ersations, helping them manage common mental health challenges. By integrating features that promote emotional well-being, track user progress, and offer personalized guidance, the application aims to serve as a valuable tool for individuals in need of me"&amp;"ntal health assistance. Additionally, it will facilitate connections to professional resources when more in-depth care is required.
Programming Languages: Python, JavaScript, Java
Integrated Development Environments (IDEs): Visual Studio Code, Android S"&amp;"tudio
Frameworks: TensorFlow, PyTorch, Node.js, React Native
NLP Libraries: NLTK, GPT-based models
Database: MongoDB, Firebase
Cloud Services: AWS, Google Cloud
Security Protocols: SSL/TLS, Data Encryption (AES, RSA)
Version Control: Git/GitHub")</f>
        <v>This project seeks to address the growing need for accessible mental health resources by developing an AI-driven mental health support application. The app will provide users with an interactive platform that offers initial support through AI-powered conversations, helping them manage common mental health challenges. By integrating features that promote emotional well-being, track user progress, and offer personalized guidance, the application aims to serve as a valuable tool for individuals in need of mental health assistance. Additionally, it will facilitate connections to professional resources when more in-depth care is required.
Programming Languages: Python, JavaScript, Java
Integrated Development Environments (IDEs): Visual Studio Code, Android Studio
Frameworks: TensorFlow, PyTorch, Node.js, React Native
NLP Libraries: NLTK, GPT-based models
Database: MongoDB, Firebase
Cloud Services: AWS, Google Cloud
Security Protocols: SSL/TLS, Data Encryption (AES, RSA)
Version Control: Git/GitHub</v>
      </c>
      <c r="D169" s="1" t="str">
        <f ca="1">IFERROR(__xludf.DUMMYFUNCTION("""COMPUTED_VALUE"""),"Mr. Saad Salman")</f>
        <v>Mr. Saad Salman</v>
      </c>
    </row>
    <row r="170" spans="1:4">
      <c r="A170" s="1" t="str">
        <f ca="1">IFERROR(__xludf.DUMMYFUNCTION("""COMPUTED_VALUE"""),"F24-170-D-Kisan Rabta")</f>
        <v>F24-170-D-Kisan Rabta</v>
      </c>
      <c r="B170" s="1" t="str">
        <f ca="1">IFERROR(__xludf.DUMMYFUNCTION("""COMPUTED_VALUE"""),"Kisan Rabta: Integrated Agricultural Data Collection and Analysis System")</f>
        <v>Kisan Rabta: Integrated Agricultural Data Collection and Analysis System</v>
      </c>
      <c r="C170" s="2" t="str">
        <f ca="1">IFERROR(__xludf.DUMMYFUNCTION("""COMPUTED_VALUE"""),"This project involves developing a comprehensive system to revolutionize how agricultural data is collected and analyzed. The system integrates a call center platform and field personnel, enabling them to record conversations with farmers in Urdu or Punja"&amp;"bi. These recordings are processed by advanced machine learning models to transcribe the audio into text, followed by specialized agricultural models that extract critical data such as crop diseases, challenges, and treatments. This information is then fe"&amp;"d into a robust web-based platform, featuring complex data visualization tools and an admin panel that allows for sophisticated querying and filtering of data by demographics, disease names, and more. The system aims to provide deep insights and support d"&amp;"ata-driven decision-making in the agricultural sector, offering a scalable solution for large-scale data collection and analysis.
A voice recording interface will be used for call center agents and field personnel to capture conversations in Urdu or Punj"&amp;"abi.
Audio-to-text conversion using advanced machine learning models to transcribe recordings into Urdu text.
Agricultural data extraction to identify crop diseases, problems, and treatments from transcribed text.
Centralized data integration for comprehe"&amp;"nsive analysis and reporting.
Web-based visualization platform with tools for creating graphs and charts to analyze agricultural information.
Admin dashboard for querying and filtering data by demographics, disease names, and other criteria.
Scalable arch"&amp;"itecture designed to support large-scale data collection and analysis.
Customizable report generation to support strategic planning and intervention in agricultural practices.
")</f>
        <v xml:space="preserve">This project involves developing a comprehensive system to revolutionize how agricultural data is collected and analyzed. The system integrates a call center platform and field personnel, enabling them to record conversations with farmers in Urdu or Punjabi. These recordings are processed by advanced machine learning models to transcribe the audio into text, followed by specialized agricultural models that extract critical data such as crop diseases, challenges, and treatments. This information is then fed into a robust web-based platform, featuring complex data visualization tools and an admin panel that allows for sophisticated querying and filtering of data by demographics, disease names, and more. The system aims to provide deep insights and support data-driven decision-making in the agricultural sector, offering a scalable solution for large-scale data collection and analysis.
A voice recording interface will be used for call center agents and field personnel to capture conversations in Urdu or Punjabi.
Audio-to-text conversion using advanced machine learning models to transcribe recordings into Urdu text.
Agricultural data extraction to identify crop diseases, problems, and treatments from transcribed text.
Centralized data integration for comprehensive analysis and reporting.
Web-based visualization platform with tools for creating graphs and charts to analyze agricultural information.
Admin dashboard for querying and filtering data by demographics, disease names, and other criteria.
Scalable architecture designed to support large-scale data collection and analysis.
Customizable report generation to support strategic planning and intervention in agricultural practices.
</v>
      </c>
      <c r="D170" s="1" t="str">
        <f ca="1">IFERROR(__xludf.DUMMYFUNCTION("""COMPUTED_VALUE"""),"Mr. Aqib Rehman")</f>
        <v>Mr. Aqib Rehman</v>
      </c>
    </row>
    <row r="171" spans="1:4">
      <c r="A171" s="1" t="str">
        <f ca="1">IFERROR(__xludf.DUMMYFUNCTION("""COMPUTED_VALUE"""),"F24-171-D-PenTrack")</f>
        <v>F24-171-D-PenTrack</v>
      </c>
      <c r="B171" s="1" t="str">
        <f ca="1">IFERROR(__xludf.DUMMYFUNCTION("""COMPUTED_VALUE"""),"PenTrack")</f>
        <v>PenTrack</v>
      </c>
      <c r="C171" s="2" t="str">
        <f ca="1">IFERROR(__xludf.DUMMYFUNCTION("""COMPUTED_VALUE"""),"The AI-Powered Penalty Analysis and Simulation software aims to revolutionize the way football enthusiasts and professionals analyze and improve penalty kicks. The project focuses on developing advanced machine learning models trained on video data of pro"&amp;"fessional players, which will enable users to compare their penalty techniques with those of specific professional strikers and assess whether their shot would be saved by a particular professional goalkeeper. The software will provide personalized feedba"&amp;"ck, actionable insights, and realistic simulations based on the user's performance, ultimately helping them enhance their penalty-taking skills.
Key Features:
1) Analyze user penalty kicks against a specific professional striker's technique.
2) Predict a"&amp;"nd simulate the outcome of a user’s penalty kick against a specific professional goalkeeper.
3) Utilize camera angles to capture and analyze foot position, ball trajectory, athlete posture, athlete run-up and shot power.
4) Provide detailed feedback on ho"&amp;"w closely the user's technique matches the professional and how to improve it.
5) Allow users to record their penalty kicks and upload them for analysis and simulation.
6) Provide statistical insights on shot success rates, average shot power, and accurac"&amp;"y.
7) Incorporate additional parameters such as game time, scoreline, and striker's position at ball contact for the dummy models of pro players.
8) Ensure the app is accessible on multiple devices, including smartphones and tablets.")</f>
        <v>The AI-Powered Penalty Analysis and Simulation software aims to revolutionize the way football enthusiasts and professionals analyze and improve penalty kicks. The project focuses on developing advanced machine learning models trained on video data of professional players, which will enable users to compare their penalty techniques with those of specific professional strikers and assess whether their shot would be saved by a particular professional goalkeeper. The software will provide personalized feedback, actionable insights, and realistic simulations based on the user's performance, ultimately helping them enhance their penalty-taking skills.
Key Features:
1) Analyze user penalty kicks against a specific professional striker's technique.
2) Predict and simulate the outcome of a user’s penalty kick against a specific professional goalkeeper.
3) Utilize camera angles to capture and analyze foot position, ball trajectory, athlete posture, athlete run-up and shot power.
4) Provide detailed feedback on how closely the user's technique matches the professional and how to improve it.
5) Allow users to record their penalty kicks and upload them for analysis and simulation.
6) Provide statistical insights on shot success rates, average shot power, and accuracy.
7) Incorporate additional parameters such as game time, scoreline, and striker's position at ball contact for the dummy models of pro players.
8) Ensure the app is accessible on multiple devices, including smartphones and tablets.</v>
      </c>
      <c r="D171" s="1" t="str">
        <f ca="1">IFERROR(__xludf.DUMMYFUNCTION("""COMPUTED_VALUE"""),"Dr. Ali Zeeshan Ijaz")</f>
        <v>Dr. Ali Zeeshan Ijaz</v>
      </c>
    </row>
    <row r="172" spans="1:4">
      <c r="A172" s="1" t="str">
        <f ca="1">IFERROR(__xludf.DUMMYFUNCTION("""COMPUTED_VALUE"""),"F24-172-D-QuranEcho")</f>
        <v>F24-172-D-QuranEcho</v>
      </c>
      <c r="B172" s="1" t="str">
        <f ca="1">IFERROR(__xludf.DUMMYFUNCTION("""COMPUTED_VALUE"""),"QuranEcho: Quranic Audio Matching")</f>
        <v>QuranEcho: Quranic Audio Matching</v>
      </c>
      <c r="C172" s="2" t="str">
        <f ca="1">IFERROR(__xludf.DUMMYFUNCTION("""COMPUTED_VALUE"""),"QuranEcho is an AI-powered tool designed to enhance Quranic recitation by providing real-time feedback on pronunciation and Makharij (articulation points). The tool uses advanced speech recognition and natural language processing (NLP) to analyze a user’s"&amp;" recitation and guide them toward improving their accuracy and adherence to proper pronunciation techniques. Quran Echo aims to offer an accessible platform for learners of all levels to master the art of Quranic recitation.
1) Focus on detecting the cor"&amp;"rect articulation of individual Arabic letters (Haroof) according to their Makharij. The tool provides real-time feedback on improper articulation, guiding users to improve their pronunciation based on traditional Quranic rules.
2)  Quran Echo offers use"&amp;"rs the ability to learn and emulate the recitation styles of famous Quranic reciters. The tool helps users match their tone, rhythm, and recitation flow with that of the renowned Qaris.
3) A Quran Hifz module which allows users to set memorization goals "&amp;"for specific verses, Surahs, or Juz. It will track their progress over time and assist in the memorization journey of readers.")</f>
        <v>QuranEcho is an AI-powered tool designed to enhance Quranic recitation by providing real-time feedback on pronunciation and Makharij (articulation points). The tool uses advanced speech recognition and natural language processing (NLP) to analyze a user’s recitation and guide them toward improving their accuracy and adherence to proper pronunciation techniques. Quran Echo aims to offer an accessible platform for learners of all levels to master the art of Quranic recitation.
1) Focus on detecting the correct articulation of individual Arabic letters (Haroof) according to their Makharij. The tool provides real-time feedback on improper articulation, guiding users to improve their pronunciation based on traditional Quranic rules.
2)  Quran Echo offers users the ability to learn and emulate the recitation styles of famous Quranic reciters. The tool helps users match their tone, rhythm, and recitation flow with that of the renowned Qaris.
3) A Quran Hifz module which allows users to set memorization goals for specific verses, Surahs, or Juz. It will track their progress over time and assist in the memorization journey of readers.</v>
      </c>
      <c r="D172" s="1" t="str">
        <f ca="1">IFERROR(__xludf.DUMMYFUNCTION("""COMPUTED_VALUE"""),"Mr. M. Aadil Ur Rehman")</f>
        <v>Mr. M. Aadil Ur Rehman</v>
      </c>
    </row>
    <row r="173" spans="1:4">
      <c r="A173" s="1" t="str">
        <f ca="1">IFERROR(__xludf.DUMMYFUNCTION("""COMPUTED_VALUE"""),"F24-173-D-CyberQuest")</f>
        <v>F24-173-D-CyberQuest</v>
      </c>
      <c r="B173" s="1" t="str">
        <f ca="1">IFERROR(__xludf.DUMMYFUNCTION("""COMPUTED_VALUE"""),"A Game-Based Intervention for Cyber Security Awareness")</f>
        <v>A Game-Based Intervention for Cyber Security Awareness</v>
      </c>
      <c r="C173" s="2" t="str">
        <f ca="1">IFERROR(__xludf.DUMMYFUNCTION("""COMPUTED_VALUE"""),"Our project is a game-based intervention for cybersecurity awareness, and it will focus on the design, development, and implementation of a 3D game utilizing Unity 3D and virtual reality. The game targets teenagers as the primary audience and aims to rais"&amp;"e awareness about cybersecurity threats and best practices in a relatable real-world environment setting. It will include virtual labs, classrooms, and scenarios that demonstrate these attacks and teach preventive measures. The scope consists of both the "&amp;"technical and educational aspects of the game. It will use VR technology to simulate real-life scenarios and will include features such as user authentication, scenario selection, and real-time feedback. The game is intended for deployment on VR platforms"&amp;", supporting various VR headsets, including Oculus.
The game will implement a taxonomy of high-priority cyber attacks within its system boundary, focusing on phishing, Man-in-the-Middle (MitM) attacks, brute force attack, malware, ransomware, email spoofi"&amp;"ng, clickjacking, usb-based attacks, sniffing, default password, spam attack and social engineering. These attacks will be fully implemented in the game to educate players on their nature and prevention. However, certain attacks, such as DDoS, hash inject"&amp;"ion,arp poisoning, dns attack and SQL injection etc, are deemed irrelevant to the core objectives of this project and will be considered out of scope, residing in the irrelevant domain of the document.In the context boundary, the game will support VR plat"&amp;"forms, including Oculus.
The game will have a realistic and immersive visual style, representing a local environment with high-fidelity 3D models. The user interface will be intuitive, with clear prompts and easy-to-navigate menus and feedback to guide th"&amp;"e player through the game. The game features ambient sounds reflecting the environment, culturally appropriate music, and sound effects that highlight key events or decisions. 
Features: 
Interactive Scenarios: Each scenario represents a specific cyber at"&amp;"tack (e.g., Phishing, Social Engineering, Man-in-the-Middle attacks) where players must make decisions to navigate and mitigate the threats.
Real-World Simulation: Scenarios are designed to mimic real-world situations, making the learning experience more "&amp;"relatable and impactful.
Virtual Campus Environment: A fully explorable 3D university campus where players interact with various elements to learn about cyber threats.
Realistic Interactions: VR allows players to physically interact with objects (e.g., p"&amp;"icking up a USB drive, navigating through emails), enhancing engagement and retention.
Level-Based Progression: Players advance through increasingly complex scenarios, each teaching a new aspect of cybersecurity.
Score and Rewards System: Players earn poi"&amp;"nts and badges for correct decisions.
Immediate Feedback: After each decision, the game provides feedback explaining the consequences and teaching the correct course of action.
Replayability: Players can replay scenarios to improve their understanding and"&amp;" score, reinforcing learning through repetition.
Tutorials and Help System: An in-game tutorial guides new players, while an accessible help menu provides additional tips and information.")</f>
        <v>Our project is a game-based intervention for cybersecurity awareness, and it will focus on the design, development, and implementation of a 3D game utilizing Unity 3D and virtual reality. The game targets teenagers as the primary audience and aims to raise awareness about cybersecurity threats and best practices in a relatable real-world environment setting. It will include virtual labs, classrooms, and scenarios that demonstrate these attacks and teach preventive measures. The scope consists of both the technical and educational aspects of the game. It will use VR technology to simulate real-life scenarios and will include features such as user authentication, scenario selection, and real-time feedback. The game is intended for deployment on VR platforms, supporting various VR headsets, including Oculus.
The game will implement a taxonomy of high-priority cyber attacks within its system boundary, focusing on phishing, Man-in-the-Middle (MitM) attacks, brute force attack, malware, ransomware, email spoofing, clickjacking, usb-based attacks, sniffing, default password, spam attack and social engineering. These attacks will be fully implemented in the game to educate players on their nature and prevention. However, certain attacks, such as DDoS, hash injection,arp poisoning, dns attack and SQL injection etc, are deemed irrelevant to the core objectives of this project and will be considered out of scope, residing in the irrelevant domain of the document.In the context boundary, the game will support VR platforms, including Oculus.
The game will have a realistic and immersive visual style, representing a local environment with high-fidelity 3D models. The user interface will be intuitive, with clear prompts and easy-to-navigate menus and feedback to guide the player through the game. The game features ambient sounds reflecting the environment, culturally appropriate music, and sound effects that highlight key events or decisions. 
Features: 
Interactive Scenarios: Each scenario represents a specific cyber attack (e.g., Phishing, Social Engineering, Man-in-the-Middle attacks) where players must make decisions to navigate and mitigate the threats.
Real-World Simulation: Scenarios are designed to mimic real-world situations, making the learning experience more relatable and impactful.
Virtual Campus Environment: A fully explorable 3D university campus where players interact with various elements to learn about cyber threats.
Realistic Interactions: VR allows players to physically interact with objects (e.g., picking up a USB drive, navigating through emails), enhancing engagement and retention.
Level-Based Progression: Players advance through increasingly complex scenarios, each teaching a new aspect of cybersecurity.
Score and Rewards System: Players earn points and badges for correct decisions.
Immediate Feedback: After each decision, the game provides feedback explaining the consequences and teaching the correct course of action.
Replayability: Players can replay scenarios to improve their understanding and score, reinforcing learning through repetition.
Tutorials and Help System: An in-game tutorial guides new players, while an accessible help menu provides additional tips and information.</v>
      </c>
      <c r="D173" s="1" t="str">
        <f ca="1">IFERROR(__xludf.DUMMYFUNCTION("""COMPUTED_VALUE"""),"Mr. Zaheer ul Hussain Sani")</f>
        <v>Mr. Zaheer ul Hussain Sani</v>
      </c>
    </row>
    <row r="174" spans="1:4">
      <c r="A174" s="1" t="str">
        <f ca="1">IFERROR(__xludf.DUMMYFUNCTION("""COMPUTED_VALUE"""),"F24-174-D-V-Escape")</f>
        <v>F24-174-D-V-Escape</v>
      </c>
      <c r="B174" s="1" t="str">
        <f ca="1">IFERROR(__xludf.DUMMYFUNCTION("""COMPUTED_VALUE"""),"V-Escape")</f>
        <v>V-Escape</v>
      </c>
      <c r="C174" s="2" t="str">
        <f ca="1">IFERROR(__xludf.DUMMYFUNCTION("""COMPUTED_VALUE"""),"The Escape Room game is a multi-platform experience where players are immersed in an  environment, the game challenges players to solve a series of intricate puzzles to escape from a locked room or a series of locked rooms. The game will provide an engagi"&amp;"ng experience with realistic interactions, diverse puzzles, and an interactive narrative. Players will need to utilize their problem-solving skills, teamwork, and critical thinking to navigate through dynamic challenges, uncover hidden clues, and overcome"&amp;" obstacles. Moreover, the game will have procedural map generation to ensure a fresh and new experience every time they play.
Key Features:
Diverse Puzzles: A range of puzzles, including logic, pattern recognition, and physical interaction challenges, d"&amp;"esigned to test various problem-solving skills.
Procedural Generation: Algorithm-generated rooms and puzzles to ensure unique challenges and replay-ability for all players.
Accessibility Features: Customizable controls, difficulty levels, and options fo"&amp;"r players with motion sensitivity, making the game inclusive for all players.
Online Gameplay: To make the escape rooms fun. playing with friends would be an option.
Cross-Platform Support: Seamless gameplay experience between different Platforms builds"&amp;", ensuring that players on either platform can enjoy the game fully.
3d Assets: The game will use 3d assets to make the experience more immersive for the player.
Slight Horror Elements: The game will have slight horror element to it like horror music or"&amp;" jump scares to keep the players on their toes.
Dynamic Object Interaction: Realistic physics engine allowing players to interact with objects naturally, no matter what platform they are playing on.")</f>
        <v>The Escape Room game is a multi-platform experience where players are immersed in an  environment, the game challenges players to solve a series of intricate puzzles to escape from a locked room or a series of locked rooms. The game will provide an engaging experience with realistic interactions, diverse puzzles, and an interactive narrative. Players will need to utilize their problem-solving skills, teamwork, and critical thinking to navigate through dynamic challenges, uncover hidden clues, and overcome obstacles. Moreover, the game will have procedural map generation to ensure a fresh and new experience every time they play.
Key Features:
Diverse Puzzles: A range of puzzles, including logic, pattern recognition, and physical interaction challenges, designed to test various problem-solving skills.
Procedural Generation: Algorithm-generated rooms and puzzles to ensure unique challenges and replay-ability for all players.
Accessibility Features: Customizable controls, difficulty levels, and options for players with motion sensitivity, making the game inclusive for all players.
Online Gameplay: To make the escape rooms fun. playing with friends would be an option.
Cross-Platform Support: Seamless gameplay experience between different Platforms builds, ensuring that players on either platform can enjoy the game fully.
3d Assets: The game will use 3d assets to make the experience more immersive for the player.
Slight Horror Elements: The game will have slight horror element to it like horror music or jump scares to keep the players on their toes.
Dynamic Object Interaction: Realistic physics engine allowing players to interact with objects naturally, no matter what platform they are playing on.</v>
      </c>
      <c r="D174" s="1" t="str">
        <f ca="1">IFERROR(__xludf.DUMMYFUNCTION("""COMPUTED_VALUE"""),"Mr. Shams Farooq")</f>
        <v>Mr. Shams Farooq</v>
      </c>
    </row>
    <row r="175" spans="1:4">
      <c r="A175" s="1" t="str">
        <f ca="1">IFERROR(__xludf.DUMMYFUNCTION("""COMPUTED_VALUE"""),"F24-175-D-PulseViz")</f>
        <v>F24-175-D-PulseViz</v>
      </c>
      <c r="B175" s="1" t="str">
        <f ca="1">IFERROR(__xludf.DUMMYFUNCTION("""COMPUTED_VALUE"""),"PulseViz : ECG Reimagined")</f>
        <v>PulseViz : ECG Reimagined</v>
      </c>
      <c r="C175" s="2" t="str">
        <f ca="1">IFERROR(__xludf.DUMMYFUNCTION("""COMPUTED_VALUE"""),"Our project aims to develop an innovative mobile application that digitizes and analyzes Electrocardiograms (ECGs) using advanced AI algorithms. The app will enable users to scan ECGs directly through their mobile devices, and our AI will provide real-tim"&amp;"e comprehensive analysis, including current cardiac condition, detection of any recent heart events and predictions of potential near-future risks. By eliminating the need for a doctor in the initial diagnostic process, the app offers an accessible and im"&amp;"mediate solution for cardiac monitoring, democratizing heart health and providing users with actionable insights right at their fingertips.
Key Features:
1- ECG Scanning: Capture high-quality ECGs directly from mobile devices .
2- AI-Powered Analysis: A"&amp;"dvanced algorithms to assess heart rhythms, detect anomalies, and provide comprehensive diagnostic insights.
3- Real-Time Feedback: Immediate results and recommendations for the user after each scan.
4-Personalized Health Reports: Generation of detailed h"&amp;"ealth reports that users can share with healthcare professionals.
5-User-Friendly Interface: Intuitive design tailored for both medical professionals and general users.
6-Alerts &amp; Notifications: Automated alerts for critical conditions that require immedi"&amp;"ate attention.
7-Data Security: Robust encryption and privacy controls to ensure the safety of user data.
8-Cloud Integration: Secure cloud storage for easy access to ECG records anytime, anywhere.
")</f>
        <v xml:space="preserve">Our project aims to develop an innovative mobile application that digitizes and analyzes Electrocardiograms (ECGs) using advanced AI algorithms. The app will enable users to scan ECGs directly through their mobile devices, and our AI will provide real-time comprehensive analysis, including current cardiac condition, detection of any recent heart events and predictions of potential near-future risks. By eliminating the need for a doctor in the initial diagnostic process, the app offers an accessible and immediate solution for cardiac monitoring, democratizing heart health and providing users with actionable insights right at their fingertips.
Key Features:
1- ECG Scanning: Capture high-quality ECGs directly from mobile devices .
2- AI-Powered Analysis: Advanced algorithms to assess heart rhythms, detect anomalies, and provide comprehensive diagnostic insights.
3- Real-Time Feedback: Immediate results and recommendations for the user after each scan.
4-Personalized Health Reports: Generation of detailed health reports that users can share with healthcare professionals.
5-User-Friendly Interface: Intuitive design tailored for both medical professionals and general users.
6-Alerts &amp; Notifications: Automated alerts for critical conditions that require immediate attention.
7-Data Security: Robust encryption and privacy controls to ensure the safety of user data.
8-Cloud Integration: Secure cloud storage for easy access to ECG records anytime, anywhere.
</v>
      </c>
      <c r="D175" s="1" t="str">
        <f ca="1">IFERROR(__xludf.DUMMYFUNCTION("""COMPUTED_VALUE"""),"Dr. Usman Habib")</f>
        <v>Dr. Usman Habib</v>
      </c>
    </row>
    <row r="176" spans="1:4">
      <c r="A176" s="1" t="str">
        <f ca="1">IFERROR(__xludf.DUMMYFUNCTION("""COMPUTED_VALUE"""),"F24-176-R-AGIT")</f>
        <v>F24-176-R-AGIT</v>
      </c>
      <c r="B176" s="1" t="str">
        <f ca="1">IFERROR(__xludf.DUMMYFUNCTION("""COMPUTED_VALUE"""),"Automated Game Genre Identification Using Text &amp; Image Classification")</f>
        <v>Automated Game Genre Identification Using Text &amp; Image Classification</v>
      </c>
      <c r="C176" s="2" t="str">
        <f ca="1">IFERROR(__xludf.DUMMYFUNCTION("""COMPUTED_VALUE"""),"The project, ""Automated Game Genre Identification Using Text and Image Data Classification,"" aims to develop an AI system that accurately classifies game genres using both text and visual data. The research involves collecting and preprocessing game des"&amp;"criptions, cover images, and in-game screenshots. By leveraging advanced machine learning models that combine natural language processing (NLP) and computer vision techniques, the system will be trained to classify games into predefined genres. The projec"&amp;"t will focus on optimizing model accuracy and enhancing generalization across diverse game types, ultimately automating the genre classification process and improving consistency in large databases.")</f>
        <v>The project, "Automated Game Genre Identification Using Text and Image Data Classification," aims to develop an AI system that accurately classifies game genres using both text and visual data. The research involves collecting and preprocessing game descriptions, cover images, and in-game screenshots. By leveraging advanced machine learning models that combine natural language processing (NLP) and computer vision techniques, the system will be trained to classify games into predefined genres. The project will focus on optimizing model accuracy and enhancing generalization across diverse game types, ultimately automating the genre classification process and improving consistency in large databases.</v>
      </c>
      <c r="D176" s="1" t="str">
        <f ca="1">IFERROR(__xludf.DUMMYFUNCTION("""COMPUTED_VALUE"""),"Dr. Ahmad Raza Shahid")</f>
        <v>Dr. Ahmad Raza Shahid</v>
      </c>
    </row>
    <row r="177" spans="1:4">
      <c r="A177" s="1" t="str">
        <f ca="1">IFERROR(__xludf.DUMMYFUNCTION("""COMPUTED_VALUE"""),"F24-177-D-RastaSaaz")</f>
        <v>F24-177-D-RastaSaaz</v>
      </c>
      <c r="B177" s="1" t="str">
        <f ca="1">IFERROR(__xludf.DUMMYFUNCTION("""COMPUTED_VALUE"""),"RastaSaaz: AI powered Career Counseling System for Educational and Professional Success.")</f>
        <v>RastaSaaz: AI powered Career Counseling System for Educational and Professional Success.</v>
      </c>
      <c r="C177" s="2" t="str">
        <f ca="1">IFERROR(__xludf.DUMMYFUNCTION("""COMPUTED_VALUE"""),"RastaSaaz is a career counseling system designed for school, college, and undergraduate university students, guiding them through their career planning and development journey. The system features ML-driven aptitude testing to assess individual strengths "&amp;"and interests, providing a deep analysis that informs personalized career recommendations tailored to each student’s unique profile. It offers industry-specific insights to guide career choices, along with detailed information on university scholarships a"&amp;"nd financial aid opportunities. Additionally, RastaSaaz suggests personalized courses and projects to enhance relevant skills and connects students with professionals for mentorship and networking, ensuring a well-rounded approach to career planning and d"&amp;"evelopment.
Key features
1) Multidimensional Aptitude Testing
2) Personalized Recommendation based on aptitude test results 
3) Industry-specific insights
4) University scholarships and Financial Aid Information
5) Personalized courses and project recomm"&amp;"endations
6) Connecting with professionals")</f>
        <v>RastaSaaz is a career counseling system designed for school, college, and undergraduate university students, guiding them through their career planning and development journey. The system features ML-driven aptitude testing to assess individual strengths and interests, providing a deep analysis that informs personalized career recommendations tailored to each student’s unique profile. It offers industry-specific insights to guide career choices, along with detailed information on university scholarships and financial aid opportunities. Additionally, RastaSaaz suggests personalized courses and projects to enhance relevant skills and connects students with professionals for mentorship and networking, ensuring a well-rounded approach to career planning and development.
Key features
1) Multidimensional Aptitude Testing
2) Personalized Recommendation based on aptitude test results 
3) Industry-specific insights
4) University scholarships and Financial Aid Information
5) Personalized courses and project recommendations
6) Connecting with professionals</v>
      </c>
      <c r="D177" s="1" t="str">
        <f ca="1">IFERROR(__xludf.DUMMYFUNCTION("""COMPUTED_VALUE"""),"Mr. M. Aadil Ur Rehman")</f>
        <v>Mr. M. Aadil Ur Rehman</v>
      </c>
    </row>
    <row r="178" spans="1:4">
      <c r="A178" s="1" t="str">
        <f ca="1">IFERROR(__xludf.DUMMYFUNCTION("""COMPUTED_VALUE"""),"F24-178-D-HifzQuran")</f>
        <v>F24-178-D-HifzQuran</v>
      </c>
      <c r="B178" s="1" t="str">
        <f ca="1">IFERROR(__xludf.DUMMYFUNCTION("""COMPUTED_VALUE"""),"Intelligent Quran Memorization Assistant for People Using Deep Learning Techniques")</f>
        <v>Intelligent Quran Memorization Assistant for People Using Deep Learning Techniques</v>
      </c>
      <c r="C178" s="2" t="str">
        <f ca="1">IFERROR(__xludf.DUMMYFUNCTION("""COMPUTED_VALUE"""),"This project is focused on creating a smart Quran Memorization Assistant using the latest deep learning and NLP technologies The app will improve traditional memorization methods by adjusting to each person's learning pace, offering flexible repetition st"&amp;"rategies, and giving real-time feedback on their recitation accuracy through speech recognition. With advanced features like ayah segmentation, error detection, and personalized learning paths, this app will make memorizing the Quran more engaging and eff"&amp;"ective. It aims to set a new benchmark in educational technology for Islamic learning.
key features
1- Personalized Learning Paths: The app adapts to each person's learning style and pace, customizing the memorization process to fit their needs.
2- Adapt"&amp;"ive Repetition Strategies: Repetition is adjusted automatically based on how well the person is memorizing, ensuring they get the right amount of practice.
3- Learning Style Analysis: The app notices whether the user learns better by listening or reciting"&amp;" and adjusts the memorization process to match their style. If they’re better at memorizing through listening, the app will emphasize more audio repetition.
4- Real-Time Recitation Feedback: With built-in speech recognition, the app provides instant feedb"&amp;"ack, helping people correct mistakes as they go.
5- Ayah Segmentation: Verses are broken down into smaller, more manageable pieces, making it easier for a person to memorize.
6- Interactive Memorization Modes: Offers different ways for a person to engage "&amp;"with the material, like Memorize and Review, each with tailored guidance.
7- Interactive Recitation and Listening Modes: Provides additional modes such as Recite and Listen, helping the person engage with the content in various ways.
8- Mutashabihat Detec"&amp;"tion: Similar verses that might cause confusion are flagged, allowing people to focus on and memorize them more effectively.
")</f>
        <v xml:space="preserve">This project is focused on creating a smart Quran Memorization Assistant using the latest deep learning and NLP technologies The app will improve traditional memorization methods by adjusting to each person's learning pace, offering flexible repetition strategies, and giving real-time feedback on their recitation accuracy through speech recognition. With advanced features like ayah segmentation, error detection, and personalized learning paths, this app will make memorizing the Quran more engaging and effective. It aims to set a new benchmark in educational technology for Islamic learning.
key features
1- Personalized Learning Paths: The app adapts to each person's learning style and pace, customizing the memorization process to fit their needs.
2- Adaptive Repetition Strategies: Repetition is adjusted automatically based on how well the person is memorizing, ensuring they get the right amount of practice.
3- Learning Style Analysis: The app notices whether the user learns better by listening or reciting and adjusts the memorization process to match their style. If they’re better at memorizing through listening, the app will emphasize more audio repetition.
4- Real-Time Recitation Feedback: With built-in speech recognition, the app provides instant feedback, helping people correct mistakes as they go.
5- Ayah Segmentation: Verses are broken down into smaller, more manageable pieces, making it easier for a person to memorize.
6- Interactive Memorization Modes: Offers different ways for a person to engage with the material, like Memorize and Review, each with tailored guidance.
7- Interactive Recitation and Listening Modes: Provides additional modes such as Recite and Listen, helping the person engage with the content in various ways.
8- Mutashabihat Detection: Similar verses that might cause confusion are flagged, allowing people to focus on and memorize them more effectively.
</v>
      </c>
      <c r="D178" s="1" t="str">
        <f ca="1">IFERROR(__xludf.DUMMYFUNCTION("""COMPUTED_VALUE"""),"Mr. M Aamir Gulzar")</f>
        <v>Mr. M Aamir Gulzar</v>
      </c>
    </row>
    <row r="179" spans="1:4">
      <c r="A179" s="1" t="str">
        <f ca="1">IFERROR(__xludf.DUMMYFUNCTION("""COMPUTED_VALUE"""),"F24-179-D-GlaciArc")</f>
        <v>F24-179-D-GlaciArc</v>
      </c>
      <c r="B179" s="1" t="str">
        <f ca="1">IFERROR(__xludf.DUMMYFUNCTION("""COMPUTED_VALUE"""),"Glacier Risk Prediction &amp; Monitoring Platform")</f>
        <v>Glacier Risk Prediction &amp; Monitoring Platform</v>
      </c>
      <c r="C179" s="2" t="str">
        <f ca="1">IFERROR(__xludf.DUMMYFUNCTION("""COMPUTED_VALUE"""),"The GlaciArc project focuses on creating a web-based platform to monitor glacier dynamics in the northern regions of Pakistan. By utilizing satellite imagery, the platform will track glacier movements, analyze the effects of melting on rivers and infrastr"&amp;"ucture, and assess flood risks to nearby communities.
Key Features:
User-Friendly Interface
Glacier Monitoring
River Detection and Analysis
Erosion Detection
House and Infrastructure Impact Assessment
Road and Bridge Detection.")</f>
        <v>The GlaciArc project focuses on creating a web-based platform to monitor glacier dynamics in the northern regions of Pakistan. By utilizing satellite imagery, the platform will track glacier movements, analyze the effects of melting on rivers and infrastructure, and assess flood risks to nearby communities.
Key Features:
User-Friendly Interface
Glacier Monitoring
River Detection and Analysis
Erosion Detection
House and Infrastructure Impact Assessment
Road and Bridge Detection.</v>
      </c>
      <c r="D179" s="1" t="str">
        <f ca="1">IFERROR(__xludf.DUMMYFUNCTION("""COMPUTED_VALUE"""),"Dr. Akhtar Jamil")</f>
        <v>Dr. Akhtar Jamil</v>
      </c>
    </row>
    <row r="180" spans="1:4">
      <c r="A180" s="1" t="str">
        <f ca="1">IFERROR(__xludf.DUMMYFUNCTION("""COMPUTED_VALUE"""),"F24-180-D-Nimbus360DashGen")</f>
        <v>F24-180-D-Nimbus360DashGen</v>
      </c>
      <c r="B180" s="1" t="str">
        <f ca="1">IFERROR(__xludf.DUMMYFUNCTION("""COMPUTED_VALUE"""),"Generation of Dashboards with complete portal for commerce sector eliminating the needs of analysts")</f>
        <v>Generation of Dashboards with complete portal for commerce sector eliminating the needs of analysts</v>
      </c>
      <c r="C180" s="2" t="str">
        <f ca="1">IFERROR(__xludf.DUMMYFUNCTION("""COMPUTED_VALUE"""),"Our project is a comprehensive analytics and dashboard generation platform designed to transform the way businesses in the commerce sector manage and interpret their data. It allows users to upload their commerce files and instantly generate personalized,"&amp;" interactive dashboards that not only visualize key metrics but also provide actionable insights and predictive analytics. The platform integrates seamlessly with existing e-commerce platforms and POS systems, offering tools for real-time pricing adjustme"&amp;"nts, competitive analysis, and sustainability reporting. Its holistic approach enables businesses to make data-driven decisions, optimize operations, and enhance customer satisfaction.
Key Features:
Personalized Dashboard Generation: Upload commerce file"&amp;"s to create custom dashboards tailored to specific business needs.
Real-time Data Visualization: Instantly visualize key metrics like sales, returns, and exchanges in an interactive dashboard.
Predictive Analytics: Forecast future inventory needs and tren"&amp;"ds using advanced machine learning algorithms.
Competitive Analysis Tool: Automatically scan competitor pricing and adjust your pricing strategies in real-time.
Customer Feedback Integration: Incorporate customer feedback to measure satisfaction and impro"&amp;"ve offers and discounts.
Dynamic Pricing Adjustments: Use algorithms to automatically adjust pricing based on market conditions and competitor analysis.
Branch and Manager Management: Centralized control and management of operations across multiple branch"&amp;"es.
Cashier and Warehousing Solutions: Streamline cashier operations and optimize warehouse management with integrated tools.
Sustainability Reporting: Generate and analyze sustainability reports to meet internal and external standards.
Interactive Q&amp;A: U"&amp;"se the dashboard to answer business-specific questions, providing insights and recommendations based on the uploaded data.")</f>
        <v>Our project is a comprehensive analytics and dashboard generation platform designed to transform the way businesses in the commerce sector manage and interpret their data. It allows users to upload their commerce files and instantly generate personalized, interactive dashboards that not only visualize key metrics but also provide actionable insights and predictive analytics. The platform integrates seamlessly with existing e-commerce platforms and POS systems, offering tools for real-time pricing adjustments, competitive analysis, and sustainability reporting. Its holistic approach enables businesses to make data-driven decisions, optimize operations, and enhance customer satisfaction.
Key Features:
Personalized Dashboard Generation: Upload commerce files to create custom dashboards tailored to specific business needs.
Real-time Data Visualization: Instantly visualize key metrics like sales, returns, and exchanges in an interactive dashboard.
Predictive Analytics: Forecast future inventory needs and trends using advanced machine learning algorithms.
Competitive Analysis Tool: Automatically scan competitor pricing and adjust your pricing strategies in real-time.
Customer Feedback Integration: Incorporate customer feedback to measure satisfaction and improve offers and discounts.
Dynamic Pricing Adjustments: Use algorithms to automatically adjust pricing based on market conditions and competitor analysis.
Branch and Manager Management: Centralized control and management of operations across multiple branches.
Cashier and Warehousing Solutions: Streamline cashier operations and optimize warehouse management with integrated tools.
Sustainability Reporting: Generate and analyze sustainability reports to meet internal and external standards.
Interactive Q&amp;A: Use the dashboard to answer business-specific questions, providing insights and recommendations based on the uploaded data.</v>
      </c>
      <c r="D180" s="1" t="str">
        <f ca="1">IFERROR(__xludf.DUMMYFUNCTION("""COMPUTED_VALUE"""),"Mr. Zaheer ul Hussain Sani")</f>
        <v>Mr. Zaheer ul Hussain Sani</v>
      </c>
    </row>
    <row r="181" spans="1:4">
      <c r="A181" s="1" t="str">
        <f ca="1">IFERROR(__xludf.DUMMYFUNCTION("""COMPUTED_VALUE"""),"F24-181-D-LittleLearner")</f>
        <v>F24-181-D-LittleLearner</v>
      </c>
      <c r="B181" s="1" t="str">
        <f ca="1">IFERROR(__xludf.DUMMYFUNCTION("""COMPUTED_VALUE"""),"Little Learner: A Tailored AI Tutor for Children with Speech Impairments")</f>
        <v>Little Learner: A Tailored AI Tutor for Children with Speech Impairments</v>
      </c>
      <c r="C181" s="2" t="str">
        <f ca="1">IFERROR(__xludf.DUMMYFUNCTION("""COMPUTED_VALUE"""),"Our project, ""Little Learner,"" aims to develop an AI tutor for young children aged 2-5 in Pakistan, including those with speech impairments, by adapting and fine-tuning advanced AI technologies such as the Whisper model to understand and interact with t"&amp;"he unique communication styles of early learners. This includes the development of both sentence-level and single word speech detection capabilities. The scope encompasses creating a custom dataset to capture diverse speech patterns, refining AI models fo"&amp;"r accurate response and interaction, and implementing an AI-driven educational platform to enhance accessibility and inclusivity in early childhood education. The project will culminate in rigorous testing and refinement to ensure the tutor meets the spec"&amp;"ific needs of its young users, focusing on improving foundational language skills and making learning engaging.
System Features:
1. Speech Recognition and Transcription customized for kids and local speech
2. Run-Time Processing
3. Answer Validation and r"&amp;"eports generation
4. Integration with Large Language Models (LLM)
5. Feedback Loop
6. User Interaction Flow
7. Personalization
8. Error Handling
9. Engagement Features
")</f>
        <v xml:space="preserve">Our project, "Little Learner," aims to develop an AI tutor for young children aged 2-5 in Pakistan, including those with speech impairments, by adapting and fine-tuning advanced AI technologies such as the Whisper model to understand and interact with the unique communication styles of early learners. This includes the development of both sentence-level and single word speech detection capabilities. The scope encompasses creating a custom dataset to capture diverse speech patterns, refining AI models for accurate response and interaction, and implementing an AI-driven educational platform to enhance accessibility and inclusivity in early childhood education. The project will culminate in rigorous testing and refinement to ensure the tutor meets the specific needs of its young users, focusing on improving foundational language skills and making learning engaging.
System Features:
1. Speech Recognition and Transcription customized for kids and local speech
2. Run-Time Processing
3. Answer Validation and reports generation
4. Integration with Large Language Models (LLM)
5. Feedback Loop
6. User Interaction Flow
7. Personalization
8. Error Handling
9. Engagement Features
</v>
      </c>
      <c r="D181" s="1" t="str">
        <f ca="1">IFERROR(__xludf.DUMMYFUNCTION("""COMPUTED_VALUE"""),"Dr. Imran Ashraf")</f>
        <v>Dr. Imran Ashraf</v>
      </c>
    </row>
    <row r="182" spans="1:4">
      <c r="A182" s="1" t="str">
        <f ca="1">IFERROR(__xludf.DUMMYFUNCTION("""COMPUTED_VALUE"""),"F24-182-D-TheWeathermind")</f>
        <v>F24-182-D-TheWeathermind</v>
      </c>
      <c r="B182" s="1" t="str">
        <f ca="1">IFERROR(__xludf.DUMMYFUNCTION("""COMPUTED_VALUE"""),"AI Based Weather Forecasting System for Pakistan")</f>
        <v>AI Based Weather Forecasting System for Pakistan</v>
      </c>
      <c r="C182" s="2" t="str">
        <f ca="1">IFERROR(__xludf.DUMMYFUNCTION("""COMPUTED_VALUE"""),"Scope of the Project
The project focuses on creating a purely AI-driven weather forecasting model tailored to Pakistan's diverse climatic regions (specifically Islamabad, Lahore, Karachi). The model will utilize data from 300 weather stations and atmosphe"&amp;"ric radar data to predict weather variables such as temperature, humidity, wind speed, rainfall, and wind direction. Forecasts will be provided for short-term (daily) and medium-term (weekly) periods.
Key Features
Localized Forecasting: Tailored weather p"&amp;"redictions for specific cities (Islamabad, Lahore, Karachi) and their surrounding areas.
High-Resolution Data Integration: Utilizes data from 300 weather stations and atmospheric radar for precise forecasting.
Real-Time Updates: Provides frequent update"&amp;"s every 10 minutes to reflect the latest weather conditions.
Short-Term and Medium-Term Forecasts: Delivers accurate forecasts for both daily and weekly weather conditions.
Multi-Variable Predictions: Forecasts multiple weather variables, including temp"&amp;"erature, humidity, wind speed, rainfall, and wind direction.
Advanced AI Techniques: Employs state-of-the-art AI/ML models to improve efficiency beyond traditional numerical methods.
Weather Anomaly Detection: Identifies and alerts users to unusual weat"&amp;"her patterns or extreme conditions.
Disaster Management Support: Provides critical weather information and alerts for disaster preparedness and response.
")</f>
        <v xml:space="preserve">Scope of the Project
The project focuses on creating a purely AI-driven weather forecasting model tailored to Pakistan's diverse climatic regions (specifically Islamabad, Lahore, Karachi). The model will utilize data from 300 weather stations and atmospheric radar data to predict weather variables such as temperature, humidity, wind speed, rainfall, and wind direction. Forecasts will be provided for short-term (daily) and medium-term (weekly) periods.
Key Features
Localized Forecasting: Tailored weather predictions for specific cities (Islamabad, Lahore, Karachi) and their surrounding areas.
High-Resolution Data Integration: Utilizes data from 300 weather stations and atmospheric radar for precise forecasting.
Real-Time Updates: Provides frequent updates every 10 minutes to reflect the latest weather conditions.
Short-Term and Medium-Term Forecasts: Delivers accurate forecasts for both daily and weekly weather conditions.
Multi-Variable Predictions: Forecasts multiple weather variables, including temperature, humidity, wind speed, rainfall, and wind direction.
Advanced AI Techniques: Employs state-of-the-art AI/ML models to improve efficiency beyond traditional numerical methods.
Weather Anomaly Detection: Identifies and alerts users to unusual weather patterns or extreme conditions.
Disaster Management Support: Provides critical weather information and alerts for disaster preparedness and response.
</v>
      </c>
      <c r="D182" s="1" t="str">
        <f ca="1">IFERROR(__xludf.DUMMYFUNCTION("""COMPUTED_VALUE"""),"Dr. Naveed Ahmad")</f>
        <v>Dr. Naveed Ahmad</v>
      </c>
    </row>
    <row r="183" spans="1:4">
      <c r="A183" s="1" t="str">
        <f ca="1">IFERROR(__xludf.DUMMYFUNCTION("""COMPUTED_VALUE"""),"F24-183-D-Khaka")</f>
        <v>F24-183-D-Khaka</v>
      </c>
      <c r="B183" s="1" t="str">
        <f ca="1">IFERROR(__xludf.DUMMYFUNCTION("""COMPUTED_VALUE"""),"Sketching companion for starters")</f>
        <v>Sketching companion for starters</v>
      </c>
      <c r="C183" s="2" t="str">
        <f ca="1">IFERROR(__xludf.DUMMYFUNCTION("""COMPUTED_VALUE"""),"Khaka is an AI-based tool that helps artists and designers start sketching effortlessly by transforming images into detailed sketch layers and guiding them through a step-by-step process to create hand-drawn sketches.
Features:
Artistic stylization of"&amp;" sketches
Final Result Preview  
Multi-layer sketch breakdown (contour, shapes, shading, details)
Layer-by-layer drawing guidance
AI-powered drawing feedback
Tool recommendations for each layer
Art Gallery and Showcasing")</f>
        <v>Khaka is an AI-based tool that helps artists and designers start sketching effortlessly by transforming images into detailed sketch layers and guiding them through a step-by-step process to create hand-drawn sketches.
Features:
Artistic stylization of sketches
Final Result Preview  
Multi-layer sketch breakdown (contour, shapes, shading, details)
Layer-by-layer drawing guidance
AI-powered drawing feedback
Tool recommendations for each layer
Art Gallery and Showcasing</v>
      </c>
      <c r="D183" s="1" t="str">
        <f ca="1">IFERROR(__xludf.DUMMYFUNCTION("""COMPUTED_VALUE"""),"Ms. Marium Hida")</f>
        <v>Ms. Marium Hida</v>
      </c>
    </row>
    <row r="184" spans="1:4">
      <c r="A184" s="1" t="str">
        <f ca="1">IFERROR(__xludf.DUMMYFUNCTION("""COMPUTED_VALUE"""),"F24-184-D-AtlasPredict")</f>
        <v>F24-184-D-AtlasPredict</v>
      </c>
      <c r="B184" s="1" t="str">
        <f ca="1">IFERROR(__xludf.DUMMYFUNCTION("""COMPUTED_VALUE"""),"Natural Disaster Prediction System ")</f>
        <v xml:space="preserve">Natural Disaster Prediction System </v>
      </c>
      <c r="C184" s="2" t="str">
        <f ca="1">IFERROR(__xludf.DUMMYFUNCTION("""COMPUTED_VALUE"""),"Project Overview:
This project proposes the development of a Natural Disaster Prediction System
specifically tailored for Pakistan, focusing on real-time forecasting of floods and heavy
rainfall. Leveraging data from key sources like NDMA, PMD, SUPARCO, a"&amp;"nd NASA, the
system will utilize advanced machine learning algorithms to deliver precise, location-
based disaster predictions. A key feature of the system is the interactive mapping of
the Pakistan Atlas, providing real-time visualization of disaster pre"&amp;"dictions and weather
forecasts. Additionally, the platform will generate post-event advisory instructions,
offering actionable safety guidance to authorities and the public.
Key Features for the Natural Disaster Prediction System
• Localized Data Aggrega"&amp;"tion: Combines meteorological data from NDMA,
PMD, and SUPARCO with high-resolution satellite imagery from NASA for
precise disaster predictions
• Dynamic Weather Tracking: Continuously updates weather conditions with
real-time data streams to ensure accu"&amp;"rate forecasts
• Disaster Risk Classification: Employs Random Forest to categorize regions by
disaster risk levels for targeted response
• Flood Zone Detection: Uses SVM to identify flood-prone areas, facilitating
proactive management strategies
• Rainfal"&amp;"l Forecasting: Leverages LSTM for accurate time-series predictions of
rainfall and flood onset
• Model Enhancement with Daily Weather Data: Updates predictive models
daily with new weather data, ensuring continuous improvement in accuracy
based on the lat"&amp;"est information
• Big Data Analytics: Utilizes Apache Spark for efficient analysis of large datasets,
enabling rapid decision-making during critical events
• Automated Regional Advisory Systems: Generates region-specific safety
advisories and evacuation p"&amp;"lans using NLP models, tailored to local languages
• Locality-Based Customizable Alerts: Allows authorities to issue alerts based
on disaster type and severity for specific locations
• Prevention Precautions Based on Historical and Scientific Data:
Recomm"&amp;"ends preventive measures, such as tree planting in flood-prone areas,
based on historical data and scientific research to mitigate future risks
• Pakistan Atlas Visualization: Features interactive maps that display disaster
predictions and weather forecas"&amp;"ts across the Pakistan Atlas, highlighting impact
zones and critical infrastructure
• Data Visualization on Online Portal: Presents prediction models and datasets
through a user-friendly interface accessible to authorities and the general public
• Authori"&amp;"ty Dashboard: Centralizes visualized predictive data and response
tools for emergency management teams
• Public Engagement Section of Portal: Provides citizens with real-time
predictions, safety instructions, and tools for assessing personal risk
• Improv"&amp;"ement of Existing Pakistan Atlas: Utilizes ArcGIS/QGIS to map disaster
risks, monitor environmental changes, and simulate scenarios with high
precision to improve the existing Pakistan Atlas")</f>
        <v>Project Overview:
This project proposes the development of a Natural Disaster Prediction System
specifically tailored for Pakistan, focusing on real-time forecasting of floods and heavy
rainfall. Leveraging data from key sources like NDMA, PMD, SUPARCO, and NASA, the
system will utilize advanced machine learning algorithms to deliver precise, location-
based disaster predictions. A key feature of the system is the interactive mapping of
the Pakistan Atlas, providing real-time visualization of disaster predictions and weather
forecasts. Additionally, the platform will generate post-event advisory instructions,
offering actionable safety guidance to authorities and the public.
Key Features for the Natural Disaster Prediction System
• Localized Data Aggregation: Combines meteorological data from NDMA,
PMD, and SUPARCO with high-resolution satellite imagery from NASA for
precise disaster predictions
• Dynamic Weather Tracking: Continuously updates weather conditions with
real-time data streams to ensure accurate forecasts
• Disaster Risk Classification: Employs Random Forest to categorize regions by
disaster risk levels for targeted response
• Flood Zone Detection: Uses SVM to identify flood-prone areas, facilitating
proactive management strategies
• Rainfall Forecasting: Leverages LSTM for accurate time-series predictions of
rainfall and flood onset
• Model Enhancement with Daily Weather Data: Updates predictive models
daily with new weather data, ensuring continuous improvement in accuracy
based on the latest information
• Big Data Analytics: Utilizes Apache Spark for efficient analysis of large datasets,
enabling rapid decision-making during critical events
• Automated Regional Advisory Systems: Generates region-specific safety
advisories and evacuation plans using NLP models, tailored to local languages
• Locality-Based Customizable Alerts: Allows authorities to issue alerts based
on disaster type and severity for specific locations
• Prevention Precautions Based on Historical and Scientific Data:
Recommends preventive measures, such as tree planting in flood-prone areas,
based on historical data and scientific research to mitigate future risks
• Pakistan Atlas Visualization: Features interactive maps that display disaster
predictions and weather forecasts across the Pakistan Atlas, highlighting impact
zones and critical infrastructure
• Data Visualization on Online Portal: Presents prediction models and datasets
through a user-friendly interface accessible to authorities and the general public
• Authority Dashboard: Centralizes visualized predictive data and response
tools for emergency management teams
• Public Engagement Section of Portal: Provides citizens with real-time
predictions, safety instructions, and tools for assessing personal risk
• Improvement of Existing Pakistan Atlas: Utilizes ArcGIS/QGIS to map disaster
risks, monitor environmental changes, and simulate scenarios with high
precision to improve the existing Pakistan Atlas</v>
      </c>
      <c r="D184" s="1" t="str">
        <f ca="1">IFERROR(__xludf.DUMMYFUNCTION("""COMPUTED_VALUE"""),"Dr. Atif Jilani")</f>
        <v>Dr. Atif Jilani</v>
      </c>
    </row>
    <row r="185" spans="1:4">
      <c r="A185" s="1" t="str">
        <f ca="1">IFERROR(__xludf.DUMMYFUNCTION("""COMPUTED_VALUE"""),"F24-185-D-SmartGallery")</f>
        <v>F24-185-D-SmartGallery</v>
      </c>
      <c r="B185" s="1" t="str">
        <f ca="1">IFERROR(__xludf.DUMMYFUNCTION("""COMPUTED_VALUE"""),"AI-Powered Gallery Search and Image Retrieval System")</f>
        <v>AI-Powered Gallery Search and Image Retrieval System</v>
      </c>
      <c r="C185" s="2" t="str">
        <f ca="1">IFERROR(__xludf.DUMMYFUNCTION("""COMPUTED_VALUE"""),"This project aims to develop ""Smart Gallery,"" a sophisticated application designed to enhance the user experience in image management and retrieval. It will allow users to search and retrieve images from their galleries using natural language prompts, r"&amp;"ecognize individuals and scenes, generate descriptive captions, and integrate these functionalities seamlessly with mobile devices.
Key features:
1. People Classification: Identify and categorize individuals in images based on age and sentiment, enh"&amp;"ancing gallery organization.
2. Content Classification: Recognize and categorize objects and scenes within images, such as cars, landscapes, and animals.
3. Geo-Location Tagging: Automatically tag images with geographic data, enriching the context.
4. "&amp;"Text-to-Image Search and Retrieval: Enable natural language-based image searching in user galleries.
5. Information Retrieval within Images: Extract and translate text from images to facilitate multilingual information exchange.
6. Caption Generation: A"&amp;"utomatically create relevant captions for images, making them ready for media use.
7. Prompt-Based Inpainting: Edit and style images using natural language prompts, supporting features like style transfer and blurring.
8. Reverse Image Retrieval: Enable"&amp;" searching for similar images based on an input image.
9. Mobile App Integration: Seamlessly integrate these features into a mobile application to enhance accessibility and user engagement.
* Tentative Features
10. Text-based-Video Search and Retriev"&amp;"al: video searching according to a natural language prompt . Content and person based searching . segmentation and editing .
11. content blocking : Audio and video content blurring for racial or offensive comments.
12. text based Audio search : Audio fi"&amp;"le searching using natural language prompt , Altering and editing certain Conversation , to highlight tune of audio or blur audio.
Smart-Gallery will provide a unified platform to access and play around with multiple features for people from any profes"&amp;"sion to tweak and use it according to there use cases . ")</f>
        <v xml:space="preserve">This project aims to develop "Smart Gallery," a sophisticated application designed to enhance the user experience in image management and retrieval. It will allow users to search and retrieve images from their galleries using natural language prompts, recognize individuals and scenes, generate descriptive captions, and integrate these functionalities seamlessly with mobile devices.
Key features:
1. People Classification: Identify and categorize individuals in images based on age and sentiment, enhancing gallery organization.
2. Content Classification: Recognize and categorize objects and scenes within images, such as cars, landscapes, and animals.
3. Geo-Location Tagging: Automatically tag images with geographic data, enriching the context.
4. Text-to-Image Search and Retrieval: Enable natural language-based image searching in user galleries.
5. Information Retrieval within Images: Extract and translate text from images to facilitate multilingual information exchange.
6. Caption Generation: Automatically create relevant captions for images, making them ready for media use.
7. Prompt-Based Inpainting: Edit and style images using natural language prompts, supporting features like style transfer and blurring.
8. Reverse Image Retrieval: Enable searching for similar images based on an input image.
9. Mobile App Integration: Seamlessly integrate these features into a mobile application to enhance accessibility and user engagement.
* Tentative Features
10. Text-based-Video Search and Retrieval: video searching according to a natural language prompt . Content and person based searching . segmentation and editing .
11. content blocking : Audio and video content blurring for racial or offensive comments.
12. text based Audio search : Audio file searching using natural language prompt , Altering and editing certain Conversation , to highlight tune of audio or blur audio.
Smart-Gallery will provide a unified platform to access and play around with multiple features for people from any profession to tweak and use it according to there use cases . </v>
      </c>
      <c r="D185" s="1" t="str">
        <f ca="1">IFERROR(__xludf.DUMMYFUNCTION("""COMPUTED_VALUE"""),"Mr. Irfan Ullah")</f>
        <v>Mr. Irfan Ullah</v>
      </c>
    </row>
    <row r="186" spans="1:4">
      <c r="A186" s="1" t="str">
        <f ca="1">IFERROR(__xludf.DUMMYFUNCTION("""COMPUTED_VALUE"""),"F24-186-D-Reagent")</f>
        <v>F24-186-D-Reagent</v>
      </c>
      <c r="B186" s="1" t="str">
        <f ca="1">IFERROR(__xludf.DUMMYFUNCTION("""COMPUTED_VALUE"""),"Reagent: Seamless Development")</f>
        <v>Reagent: Seamless Development</v>
      </c>
      <c r="C186" s="2" t="str">
        <f ca="1">IFERROR(__xludf.DUMMYFUNCTION("""COMPUTED_VALUE"""),"This project aims to develop a specialized tool for analyzing Python code quality, addressing the unique features and idioms of the Python language. Unlike existing tools that primarily focus on languages like Java, C, and C++, this tool is designed to de"&amp;"tect Python-specific code smells, analyze code complexity, and provide actionable insights for optimization. It also integrates with GitHub Copilot and Python Tutor to enhance developer productivity and code understanding, ensuring that Python code is not"&amp;" only compliant with PEP8 but also structurally sound and maintainable.
Python-Specific Code Smell Detection: Identifies common Python code smells and provides recommendations for improvement.
Code Complexity Analysis: Evaluates and reports on the compl"&amp;"exity of Python code, offering suggestions to simplify and optimize.
GitHub Copilot Integration: Seamlessly integrates with GitHub Copilot to provide intelligent code completion and suggestions.
Python Tutor Integration: Visualizes code execution to hel"&amp;"p developers understand and debug Python code more effectively.
Structural and Design Issue Detection: Identifies deeper structural and design issues that could impact code maintainability.
Structural and Design Issue Detection: Identifies deeper struct"&amp;"ural and design issues that could impact code maintainability.")</f>
        <v>This project aims to develop a specialized tool for analyzing Python code quality, addressing the unique features and idioms of the Python language. Unlike existing tools that primarily focus on languages like Java, C, and C++, this tool is designed to detect Python-specific code smells, analyze code complexity, and provide actionable insights for optimization. It also integrates with GitHub Copilot and Python Tutor to enhance developer productivity and code understanding, ensuring that Python code is not only compliant with PEP8 but also structurally sound and maintainable.
Python-Specific Code Smell Detection: Identifies common Python code smells and provides recommendations for improvement.
Code Complexity Analysis: Evaluates and reports on the complexity of Python code, offering suggestions to simplify and optimize.
GitHub Copilot Integration: Seamlessly integrates with GitHub Copilot to provide intelligent code completion and suggestions.
Python Tutor Integration: Visualizes code execution to help developers understand and debug Python code more effectively.
Structural and Design Issue Detection: Identifies deeper structural and design issues that could impact code maintainability.
Structural and Design Issue Detection: Identifies deeper structural and design issues that could impact code maintainability.</v>
      </c>
      <c r="D186" s="1" t="str">
        <f ca="1">IFERROR(__xludf.DUMMYFUNCTION("""COMPUTED_VALUE"""),"Dr. Javaria Imtiaz")</f>
        <v>Dr. Javaria Imtiaz</v>
      </c>
    </row>
    <row r="187" spans="1:4">
      <c r="A187" s="1" t="str">
        <f ca="1">IFERROR(__xludf.DUMMYFUNCTION("""COMPUTED_VALUE"""),"F24-187-R-CodeCommClassifier")</f>
        <v>F24-187-R-CodeCommClassifier</v>
      </c>
      <c r="B187" s="1" t="str">
        <f ca="1">IFERROR(__xludf.DUMMYFUNCTION("""COMPUTED_VALUE"""),"Code Comment Classification: Multiclass Classification of Code Comments Using Transformer-Based Models")</f>
        <v>Code Comment Classification: Multiclass Classification of Code Comments Using Transformer-Based Models</v>
      </c>
      <c r="C187" s="2" t="str">
        <f ca="1">IFERROR(__xludf.DUMMYFUNCTION("""COMPUTED_VALUE"""),"The ""CodeComm Classifier"" project aims to develop a machine learning model for the automatic classification of code comments into various predefined categories. Leveraging the power of Transformer-based models, the project seeks to surpass existing base"&amp;"lines in accuracy and efficiency. The scope includes dataset preparation, model training, hyperparameter tuning, and extensive evaluation on a large dataset. The project will contribute valuable insights into natural language processing in software engine"&amp;"ering, enhancing automated documentation and code review processes. 
Key Features:
Multi-class Classification: The software will classify code comments into one or more of 19 predefined categories.
Transformer-based Model: Utilizes advanced Transformer a"&amp;"rchitecture for superior text classification performance.
Customizable Hyperparameters: Allows for fine-tuning of model hyperparameters to optimize performance.
Cross-Validation: Implements cross-validation techniques to ensure model robustness and genera"&amp;"lizability.
Real-time Inference: Provides real-time classification of code comments for integration into development tools.
Performance Analytics: Includes detailed performance metrics and visualization tools for model evaluation.
Scalable Architecture: D"&amp;"esigned to handle large datasets and can be scaled for even bigger code repositories.
Model Comparison: Compares the performance of various models and techniques to determine the most effective approach.")</f>
        <v>The "CodeComm Classifier" project aims to develop a machine learning model for the automatic classification of code comments into various predefined categories. Leveraging the power of Transformer-based models, the project seeks to surpass existing baselines in accuracy and efficiency. The scope includes dataset preparation, model training, hyperparameter tuning, and extensive evaluation on a large dataset. The project will contribute valuable insights into natural language processing in software engineering, enhancing automated documentation and code review processes. 
Key Features:
Multi-class Classification: The software will classify code comments into one or more of 19 predefined categories.
Transformer-based Model: Utilizes advanced Transformer architecture for superior text classification performance.
Customizable Hyperparameters: Allows for fine-tuning of model hyperparameters to optimize performance.
Cross-Validation: Implements cross-validation techniques to ensure model robustness and generalizability.
Real-time Inference: Provides real-time classification of code comments for integration into development tools.
Performance Analytics: Includes detailed performance metrics and visualization tools for model evaluation.
Scalable Architecture: Designed to handle large datasets and can be scaled for even bigger code repositories.
Model Comparison: Compares the performance of various models and techniques to determine the most effective approach.</v>
      </c>
      <c r="D187" s="1" t="str">
        <f ca="1">IFERROR(__xludf.DUMMYFUNCTION("""COMPUTED_VALUE"""),"Mr. Pir Sami Ullah Shah")</f>
        <v>Mr. Pir Sami Ullah Shah</v>
      </c>
    </row>
    <row r="188" spans="1:4">
      <c r="A188" s="1" t="str">
        <f ca="1">IFERROR(__xludf.DUMMYFUNCTION("""COMPUTED_VALUE"""),"F24-188-D-Realconnect")</f>
        <v>F24-188-D-Realconnect</v>
      </c>
      <c r="B188" s="1" t="str">
        <f ca="1">IFERROR(__xludf.DUMMYFUNCTION("""COMPUTED_VALUE"""),"Real Estate Management System")</f>
        <v>Real Estate Management System</v>
      </c>
      <c r="C188" s="2" t="str">
        <f ca="1">IFERROR(__xludf.DUMMYFUNCTION("""COMPUTED_VALUE"""),"This online real estate Management system is perfect tool to digitalize the real estate business that is being run manually. This system is developed for the companies and individuals which run real estate business. This makes sure 24×7 service to the cus"&amp;"tomers. Just few clicks are required to visit and confirm the property. Payment can be done online.
1. Advance search filters
2. AI-Powered Property Recommendations
3. Automated Documentation and Contract Management 
4. Market Analysis and Price trends
5"&amp;". Property management for owners
6. Integration with Payment gateways
7. User Reviews and Ratings
8. Neighborhood insights and Community Features")</f>
        <v>This online real estate Management system is perfect tool to digitalize the real estate business that is being run manually. This system is developed for the companies and individuals which run real estate business. This makes sure 24×7 service to the customers. Just few clicks are required to visit and confirm the property. Payment can be done online.
1. Advance search filters
2. AI-Powered Property Recommendations
3. Automated Documentation and Contract Management 
4. Market Analysis and Price trends
5. Property management for owners
6. Integration with Payment gateways
7. User Reviews and Ratings
8. Neighborhood insights and Community Features</v>
      </c>
      <c r="D188" s="1" t="str">
        <f ca="1">IFERROR(__xludf.DUMMYFUNCTION("""COMPUTED_VALUE"""),"Mr. Irfan Ullah")</f>
        <v>Mr. Irfan Ullah</v>
      </c>
    </row>
    <row r="189" spans="1:4">
      <c r="A189" s="1" t="str">
        <f ca="1">IFERROR(__xludf.DUMMYFUNCTION("""COMPUTED_VALUE"""),"F24-189-D-Pixel")</f>
        <v>F24-189-D-Pixel</v>
      </c>
      <c r="B189" s="1" t="str">
        <f ca="1">IFERROR(__xludf.DUMMYFUNCTION("""COMPUTED_VALUE"""),"Decentralized NFT Marketplace")</f>
        <v>Decentralized NFT Marketplace</v>
      </c>
      <c r="C189" s="2" t="str">
        <f ca="1">IFERROR(__xludf.DUMMYFUNCTION("""COMPUTED_VALUE"""),"Pixel is a decentralized NFT marketplace that leverages blockchain technology to empower artists, collectors, and enthusiasts by providing a secure, transparent, and user-friendly platform for creating, buying, and selling digital assets. Built on the MER"&amp;"N stack with Next.js for enhanced performance, Python for generative AI capabilities, and Solidity for smart contract implementation, Pixel aims to democratize the art world by removing intermediaries and ensuring that creators retain ownership and contro"&amp;"l over their work. The platform will also feature AI-driven tools to help users generate, discover, and curate unique NFTs.
Key Features:
	1.	Decentralized Ownership: Smart contracts powered by Solidity ensure transparent and secure ownership of digital"&amp;" assets.
	2.	AI-Powered NFT Generation: Integration of Python-based generative AI tools to create unique, customizable NFTs.
	3.	Cross-Chain Compatibility: Support for multiple blockchain networks, allowing users to trade NFTs across different chains.
	4."&amp;"	Advanced Search and Discovery: Enhanced search algorithms to help users find specific NFTs based on various filters and AI-driven recommendations.
	5.	User-Friendly Interface: A seamless and intuitive UI/UX designed using Next.js to cater to both novice "&amp;"and experienced users.
	6.	Auction and Bidding System: A decentralized auction mechanism that allows users to bid on NFTs in a transparent manner.
	7.	Royalty Management: Automatic distribution of royalties to creators for every resale of their NFTs.
	8.	"&amp;"Community Governance: Decentralized governance features that let users vote on platform changes and new features.
	9.	Secure Wallet Integration: Easy integration with popular cryptocurrency wallets for safe transactions.
	10.	Fraud Detection: Built-in mec"&amp;"hanisms to detect and prevent fraudulent activities and ensure the authenticity of NFTs.")</f>
        <v>Pixel is a decentralized NFT marketplace that leverages blockchain technology to empower artists, collectors, and enthusiasts by providing a secure, transparent, and user-friendly platform for creating, buying, and selling digital assets. Built on the MERN stack with Next.js for enhanced performance, Python for generative AI capabilities, and Solidity for smart contract implementation, Pixel aims to democratize the art world by removing intermediaries and ensuring that creators retain ownership and control over their work. The platform will also feature AI-driven tools to help users generate, discover, and curate unique NFTs.
Key Features:
	1.	Decentralized Ownership: Smart contracts powered by Solidity ensure transparent and secure ownership of digital assets.
	2.	AI-Powered NFT Generation: Integration of Python-based generative AI tools to create unique, customizable NFTs.
	3.	Cross-Chain Compatibility: Support for multiple blockchain networks, allowing users to trade NFTs across different chains.
	4.	Advanced Search and Discovery: Enhanced search algorithms to help users find specific NFTs based on various filters and AI-driven recommendations.
	5.	User-Friendly Interface: A seamless and intuitive UI/UX designed using Next.js to cater to both novice and experienced users.
	6.	Auction and Bidding System: A decentralized auction mechanism that allows users to bid on NFTs in a transparent manner.
	7.	Royalty Management: Automatic distribution of royalties to creators for every resale of their NFTs.
	8.	Community Governance: Decentralized governance features that let users vote on platform changes and new features.
	9.	Secure Wallet Integration: Easy integration with popular cryptocurrency wallets for safe transactions.
	10.	Fraud Detection: Built-in mechanisms to detect and prevent fraudulent activities and ensure the authenticity of NFTs.</v>
      </c>
      <c r="D189" s="1" t="str">
        <f ca="1">IFERROR(__xludf.DUMMYFUNCTION("""COMPUTED_VALUE"""),"Dr. Qaiser Shafi")</f>
        <v>Dr. Qaiser Shafi</v>
      </c>
    </row>
    <row r="190" spans="1:4">
      <c r="A190" s="1" t="str">
        <f ca="1">IFERROR(__xludf.DUMMYFUNCTION("""COMPUTED_VALUE"""),"F24-190-D-WattWiseAI")</f>
        <v>F24-190-D-WattWiseAI</v>
      </c>
      <c r="B190" s="1" t="str">
        <f ca="1">IFERROR(__xludf.DUMMYFUNCTION("""COMPUTED_VALUE"""),"AI-Powered Predictive Analysis of Power Consumption")</f>
        <v>AI-Powered Predictive Analysis of Power Consumption</v>
      </c>
      <c r="C190" s="2" t="str">
        <f ca="1">IFERROR(__xludf.DUMMYFUNCTION("""COMPUTED_VALUE"""),"The ""AI-Powered Predictive Analysis of Power Consumption"" project is designed to harness the power of artificial intelligence to provide accurate, data-driven predictions of power consumption. The scope of the project includes collecting and analyzing d"&amp;"ata on various factors such as humidity, temperature, seasonal variations, and holiday impacts, and integrating these variables into a sophisticated AI model. The ultimate goal is to deliver actionable insights that can be used for pre-construction power "&amp;"estimation, optimizing energy efficiency, and assisting in the transition to solar energy. The project’s reach extends to developers, homeowners, industries, and renewable energy advocates, offering a comprehensive solution for power consumption forecasti"&amp;"ng.
Key Features:
Advanced Data Analytics: Utilizes AI to analyze vast datasets including weather conditions, seasonal patterns, and historical power usage.
Predictive Modeling: Generates accurate power consumption forecasts based on real-time and histo"&amp;"rical data.
Customizable Dashboards: Offers user-friendly dashboards that can be tailored to display relevant insights for different users, such as homeowners or developers.
Energy Efficiency Recommendations: Provides suggestions to reduce energy waste an"&amp;"d optimize power usage based on consumption patterns.
Solar Energy Transition Analysis: Assesses current power consumption and calculates potential savings from transitioning to solar energy.
Scalability: Capable of handling data from individual homes to "&amp;"entire residential communities, making it suitable for a wide range of applications.
Seasonal Adjustment Algorithms: Adjusts predictions according to seasonal variations and holiday impacts, improving accuracy.
Pre-Construction Power Estimation: Helps dev"&amp;"elopers estimate power needs for new constructions, aiding in better infrastructure planning.")</f>
        <v>The "AI-Powered Predictive Analysis of Power Consumption" project is designed to harness the power of artificial intelligence to provide accurate, data-driven predictions of power consumption. The scope of the project includes collecting and analyzing data on various factors such as humidity, temperature, seasonal variations, and holiday impacts, and integrating these variables into a sophisticated AI model. The ultimate goal is to deliver actionable insights that can be used for pre-construction power estimation, optimizing energy efficiency, and assisting in the transition to solar energy. The project’s reach extends to developers, homeowners, industries, and renewable energy advocates, offering a comprehensive solution for power consumption forecasting.
Key Features:
Advanced Data Analytics: Utilizes AI to analyze vast datasets including weather conditions, seasonal patterns, and historical power usage.
Predictive Modeling: Generates accurate power consumption forecasts based on real-time and historical data.
Customizable Dashboards: Offers user-friendly dashboards that can be tailored to display relevant insights for different users, such as homeowners or developers.
Energy Efficiency Recommendations: Provides suggestions to reduce energy waste and optimize power usage based on consumption patterns.
Solar Energy Transition Analysis: Assesses current power consumption and calculates potential savings from transitioning to solar energy.
Scalability: Capable of handling data from individual homes to entire residential communities, making it suitable for a wide range of applications.
Seasonal Adjustment Algorithms: Adjusts predictions according to seasonal variations and holiday impacts, improving accuracy.
Pre-Construction Power Estimation: Helps developers estimate power needs for new constructions, aiding in better infrastructure planning.</v>
      </c>
      <c r="D190" s="1" t="str">
        <f ca="1">IFERROR(__xludf.DUMMYFUNCTION("""COMPUTED_VALUE"""),"Dr. Labiba Fahad")</f>
        <v>Dr. Labiba Fahad</v>
      </c>
    </row>
    <row r="191" spans="1:4">
      <c r="A191" s="1" t="str">
        <f ca="1">IFERROR(__xludf.DUMMYFUNCTION("""COMPUTED_VALUE"""),"F24-191-D-BugLens")</f>
        <v>F24-191-D-BugLens</v>
      </c>
      <c r="B191" s="1" t="str">
        <f ca="1">IFERROR(__xludf.DUMMYFUNCTION("""COMPUTED_VALUE"""),"Automated bug classification approach for spatial and temporal video game bugs")</f>
        <v>Automated bug classification approach for spatial and temporal video game bugs</v>
      </c>
      <c r="C191" s="2" t="str">
        <f ca="1">IFERROR(__xludf.DUMMYFUNCTION("""COMPUTED_VALUE"""),"This project aims to develop a system for scraping game bug reviews from the Steam platform, where the reviews will be categorized into 15 distinct bug categories. The system will utilize 15 separate binary classification models, exclusively based on Tran"&amp;"sformer-based models, for automated classification of each review according to these categories. Advanced NLP-based techniques will be used to ensure accurate and efficient automated classification of the reviews into the predefined bug categories.
Featu"&amp;"res:
1. Automated bug classification
2. Link based search
3. CSV based search
4. Dataset mining
5. NLP based model building
6. Report generation
7. Profile Management
8. Model Hosting on Hugging Face
")</f>
        <v xml:space="preserve">This project aims to develop a system for scraping game bug reviews from the Steam platform, where the reviews will be categorized into 15 distinct bug categories. The system will utilize 15 separate binary classification models, exclusively based on Transformer-based models, for automated classification of each review according to these categories. Advanced NLP-based techniques will be used to ensure accurate and efficient automated classification of the reviews into the predefined bug categories.
Features:
1. Automated bug classification
2. Link based search
3. CSV based search
4. Dataset mining
5. NLP based model building
6. Report generation
7. Profile Management
8. Model Hosting on Hugging Face
</v>
      </c>
      <c r="D191" s="1" t="str">
        <f ca="1">IFERROR(__xludf.DUMMYFUNCTION("""COMPUTED_VALUE"""),"Mr. Bilal Khalid Dar")</f>
        <v>Mr. Bilal Khalid Dar</v>
      </c>
    </row>
    <row r="192" spans="1:4">
      <c r="A192" s="1" t="str">
        <f ca="1">IFERROR(__xludf.DUMMYFUNCTION("""COMPUTED_VALUE"""),"F24-192-R-WorkSync")</f>
        <v>F24-192-R-WorkSync</v>
      </c>
      <c r="B192" s="1" t="str">
        <f ca="1">IFERROR(__xludf.DUMMYFUNCTION("""COMPUTED_VALUE"""),"AI-enhanced video conferencing and remote work platform")</f>
        <v>AI-enhanced video conferencing and remote work platform</v>
      </c>
      <c r="C192" s="2" t="str">
        <f ca="1">IFERROR(__xludf.DUMMYFUNCTION("""COMPUTED_VALUE"""),"WorkSync is an advanced AI-enhanced video conferencing and remote work platform designed to meet the needs of modern-day digital collaboration. The platform leverages PyTorch and TensorFlow for real-time deepfake detection, OpenCV for facial recognition, "&amp;"and Google Cloud for speech-to-text translation. Background generation is enhanced using AI models powered by TensorFlow, while text-to-speech functionality is also supported by Google Cloud. The user interface is built using Angular and React, with Fireb"&amp;"ase handling real-time data management and user authentication. Collaboration tools are seamlessly integrated to facilitate file sharing, co-editing, and project management.
Key features include:
1. Real-time Deepfake Detection (PyTorch, TensorFlow)
2. F"&amp;"acial Recognition (OpenCV)
3. Background Generation using AI (TensorFlow)
4. Voice-to-Text Translation (Google Cloud)
5. UI Prompts Meeting Host with Actionable Options (e.g., Remove Deepfake-Detected Members)
6. User Interface and Management for All Memb"&amp;"ers
7. Private Chats
8. Collaboration Tools with Real-time Data")</f>
        <v>WorkSync is an advanced AI-enhanced video conferencing and remote work platform designed to meet the needs of modern-day digital collaboration. The platform leverages PyTorch and TensorFlow for real-time deepfake detection, OpenCV for facial recognition, and Google Cloud for speech-to-text translation. Background generation is enhanced using AI models powered by TensorFlow, while text-to-speech functionality is also supported by Google Cloud. The user interface is built using Angular and React, with Firebase handling real-time data management and user authentication. Collaboration tools are seamlessly integrated to facilitate file sharing, co-editing, and project management.
Key features include:
1. Real-time Deepfake Detection (PyTorch, TensorFlow)
2. Facial Recognition (OpenCV)
3. Background Generation using AI (TensorFlow)
4. Voice-to-Text Translation (Google Cloud)
5. UI Prompts Meeting Host with Actionable Options (e.g., Remove Deepfake-Detected Members)
6. User Interface and Management for All Members
7. Private Chats
8. Collaboration Tools with Real-time Data</v>
      </c>
      <c r="D192" s="1" t="str">
        <f ca="1">IFERROR(__xludf.DUMMYFUNCTION("""COMPUTED_VALUE"""),"Dr. Akhtar Jamil")</f>
        <v>Dr. Akhtar Jamil</v>
      </c>
    </row>
    <row r="193" spans="1:4">
      <c r="A193" s="1" t="str">
        <f ca="1">IFERROR(__xludf.DUMMYFUNCTION("""COMPUTED_VALUE"""),"F24-193-D-Safar")</f>
        <v>F24-193-D-Safar</v>
      </c>
      <c r="B193" s="1" t="str">
        <f ca="1">IFERROR(__xludf.DUMMYFUNCTION("""COMPUTED_VALUE"""),"Immersive Trip Planing: A 3D Spatial Approach")</f>
        <v>Immersive Trip Planing: A 3D Spatial Approach</v>
      </c>
      <c r="C193" s="2" t="str">
        <f ca="1">IFERROR(__xludf.DUMMYFUNCTION("""COMPUTED_VALUE"""),"3D Destination Visualization: Convert 2D data into immersive 3D environments.
Interactive Exploration: Enable users to zoom in, zoom out, and navigate 3D spaces.
Personalized Recommendations: Suggest nearby attractions based on user preferences and intere"&amp;"sts.
Trip Organization Assistance: Help users plan trips within their budget and preferences.")</f>
        <v>3D Destination Visualization: Convert 2D data into immersive 3D environments.
Interactive Exploration: Enable users to zoom in, zoom out, and navigate 3D spaces.
Personalized Recommendations: Suggest nearby attractions based on user preferences and interests.
Trip Organization Assistance: Help users plan trips within their budget and preferences.</v>
      </c>
      <c r="D193" s="1" t="str">
        <f ca="1">IFERROR(__xludf.DUMMYFUNCTION("""COMPUTED_VALUE"""),"Dr. Zeshan Khan")</f>
        <v>Dr. Zeshan Khan</v>
      </c>
    </row>
    <row r="194" spans="1:4">
      <c r="A194" s="1" t="str">
        <f ca="1">IFERROR(__xludf.DUMMYFUNCTION("""COMPUTED_VALUE"""),"F24-194-D-NewsNet")</f>
        <v>F24-194-D-NewsNet</v>
      </c>
      <c r="B194" s="1" t="str">
        <f ca="1">IFERROR(__xludf.DUMMYFUNCTION("""COMPUTED_VALUE"""),"NewsNet: GraphRAG leveraging KGraphs for deep news analysis using LLMs.")</f>
        <v>NewsNet: GraphRAG leveraging KGraphs for deep news analysis using LLMs.</v>
      </c>
      <c r="C194" s="2" t="str">
        <f ca="1">IFERROR(__xludf.DUMMYFUNCTION("""COMPUTED_VALUE"""),"Causal text-mining of news data to extract causal relationships. Which provide a deeper meaning when fine tuned on an LLM leveraging Knowledge Graphs, said LLM uses techniques such as GraphRAG. Topic clustering with relevance made through cause and effect"&amp;" to better summarize and understand the chain of events.
Key Features:
1- Cause and Effect Detection
2- Timeline Summarization
3- Internet Scraping
4- Link Article
5- Anomaly Flagger
6- Trend Analysis
7- Categorical Search
8- User Tailored Recommendation"&amp;"s
9- Visualized Graph Summary")</f>
        <v>Causal text-mining of news data to extract causal relationships. Which provide a deeper meaning when fine tuned on an LLM leveraging Knowledge Graphs, said LLM uses techniques such as GraphRAG. Topic clustering with relevance made through cause and effect to better summarize and understand the chain of events.
Key Features:
1- Cause and Effect Detection
2- Timeline Summarization
3- Internet Scraping
4- Link Article
5- Anomaly Flagger
6- Trend Analysis
7- Categorical Search
8- User Tailored Recommendations
9- Visualized Graph Summary</v>
      </c>
      <c r="D194" s="1" t="str">
        <f ca="1">IFERROR(__xludf.DUMMYFUNCTION("""COMPUTED_VALUE"""),"Mr. Aqib Rehman")</f>
        <v>Mr. Aqib Rehman</v>
      </c>
    </row>
    <row r="195" spans="1:4">
      <c r="A195" s="1" t="str">
        <f ca="1">IFERROR(__xludf.DUMMYFUNCTION("""COMPUTED_VALUE"""),"F24-195-D-HoshyarInvestAI")</f>
        <v>F24-195-D-HoshyarInvestAI</v>
      </c>
      <c r="B195" s="1" t="str">
        <f ca="1">IFERROR(__xludf.DUMMYFUNCTION("""COMPUTED_VALUE"""),"HoshyarInvestAI")</f>
        <v>HoshyarInvestAI</v>
      </c>
      <c r="C195" s="2" t="str">
        <f ca="1">IFERROR(__xludf.DUMMYFUNCTION("""COMPUTED_VALUE"""),"Project Description:
The project aims to develop an AI-driven investment bot tailored for the tech sector in Pakistan, focusing on the top 5–7 publicly listed tech companies. The bot will use advanced NLP and semantic understanding to analyze financial d"&amp;"ata, market trends, and investor sentiment. It will provide real-time investment recommendations (buy, hold, sell) and insights into market dynamics. The target users are investors seeking data-driven decisions in the tech industry.
Key Features
- Real-"&amp;"Time Financial Data Integration
- Sentiment Analysis from Investor Behavior
- Semantic Analysis of Financial Reports
- Investment Recommendations (Buy, Hold, Sell)
- Trend Prediction in Tech Sector
- Risk Assessment for Investments
- User-Friendly Dashboa"&amp;"rd
- Backtesting with Historical Data
- Customizable Alerts for Specific Events")</f>
        <v>Project Description:
The project aims to develop an AI-driven investment bot tailored for the tech sector in Pakistan, focusing on the top 5–7 publicly listed tech companies. The bot will use advanced NLP and semantic understanding to analyze financial data, market trends, and investor sentiment. It will provide real-time investment recommendations (buy, hold, sell) and insights into market dynamics. The target users are investors seeking data-driven decisions in the tech industry.
Key Features
- Real-Time Financial Data Integration
- Sentiment Analysis from Investor Behavior
- Semantic Analysis of Financial Reports
- Investment Recommendations (Buy, Hold, Sell)
- Trend Prediction in Tech Sector
- Risk Assessment for Investments
- User-Friendly Dashboard
- Backtesting with Historical Data
- Customizable Alerts for Specific Events</v>
      </c>
      <c r="D195" s="1" t="str">
        <f ca="1">IFERROR(__xludf.DUMMYFUNCTION("""COMPUTED_VALUE"""),"Dr. Atif Jilani")</f>
        <v>Dr. Atif Jilani</v>
      </c>
    </row>
    <row r="196" spans="1:4">
      <c r="A196" s="1" t="str">
        <f ca="1">IFERROR(__xludf.DUMMYFUNCTION("""COMPUTED_VALUE"""),"F24-196-D-VRZombieSurvival")</f>
        <v>F24-196-D-VRZombieSurvival</v>
      </c>
      <c r="B196" s="1" t="str">
        <f ca="1">IFERROR(__xludf.DUMMYFUNCTION("""COMPUTED_VALUE"""),"Almost Dead")</f>
        <v>Almost Dead</v>
      </c>
      <c r="C196" s="2" t="str">
        <f ca="1">IFERROR(__xludf.DUMMYFUNCTION("""COMPUTED_VALUE"""),"""Almost Dead "" is a VR Zombie Survival game that combines immersive gameplay with a non-violent approach to survival. Set in a world devastated by a new, aggressive virus, the game challenges players to navigate through a university overrun by infected "&amp;"individuals. Using Virtual Reality, players experience a highly realistic 3D environment, dynamic lighting, and atmospheric sound design that heightens the tension. The game emphasizes preparedness and mental resilience, offering both an engaging entertai"&amp;"nment experience and a subtle educational message on surviving unforeseen global crises.
Creation and customizable VR Avatars
Essential Survival Kit
Immersive 3D VR Environment
Dynamic Lighting Effects
Atmospheric Sound Design
Non-Violent Gameplay: Playe"&amp;"rs use tranquilizers instead of lethal weapons, focusing on neutralizing threats non-violently.
Multiplayer Functionality
Advanced NPC 
First Person Tranquilizer Shooting Mechanism")</f>
        <v>"Almost Dead " is a VR Zombie Survival game that combines immersive gameplay with a non-violent approach to survival. Set in a world devastated by a new, aggressive virus, the game challenges players to navigate through a university overrun by infected individuals. Using Virtual Reality, players experience a highly realistic 3D environment, dynamic lighting, and atmospheric sound design that heightens the tension. The game emphasizes preparedness and mental resilience, offering both an engaging entertainment experience and a subtle educational message on surviving unforeseen global crises.
Creation and customizable VR Avatars
Essential Survival Kit
Immersive 3D VR Environment
Dynamic Lighting Effects
Atmospheric Sound Design
Non-Violent Gameplay: Players use tranquilizers instead of lethal weapons, focusing on neutralizing threats non-violently.
Multiplayer Functionality
Advanced NPC 
First Person Tranquilizer Shooting Mechanism</v>
      </c>
      <c r="D196" s="1" t="str">
        <f ca="1">IFERROR(__xludf.DUMMYFUNCTION("""COMPUTED_VALUE"""),"Mr. Saad Salman")</f>
        <v>Mr. Saad Salman</v>
      </c>
    </row>
    <row r="197" spans="1:4">
      <c r="A197" s="1" t="str">
        <f ca="1">IFERROR(__xludf.DUMMYFUNCTION("""COMPUTED_VALUE"""),"F24-197-D-WiVi")</f>
        <v>F24-197-D-WiVi</v>
      </c>
      <c r="B197" s="1" t="str">
        <f ca="1">IFERROR(__xludf.DUMMYFUNCTION("""COMPUTED_VALUE"""),"WiFi Vision")</f>
        <v>WiFi Vision</v>
      </c>
      <c r="C197" s="2" t="str">
        <f ca="1">IFERROR(__xludf.DUMMYFUNCTION("""COMPUTED_VALUE"""),"This project aims to develop an AI-based Human and Object Monitoring System that utilizes Wi-Fi signal strength and the deflection of it for surveillance purposes. Wi-Fi signals will be tracked using ESP32 microcontrollers placed at different points withi"&amp;"n a room or outside it. These microcontrollers will continuously track the intensity of Wi-Fi signals that interact with various objects as well as humans present in the surrounding. The collected data is then relayed to a deep learning model, which will "&amp;"analyze and identify patterns that correspond to the presence of specific objects or humans. This outcome is relayed to both web and mobile application full-stack, allowing for real-time presentation and alerts system, which gives users an innovative and "&amp;"low-key approach towards securing their homes.
Key Features:
1.) Un-Interrupted and Non-Intrusive Surveillance: Utilizes Wi-Fi signals, eliminating the need for traditional costly surveillance cameras. This means the system can detect objects or activit"&amp;"ies based on variations in Wi-Fi signal data.
2.) Real Time Detection: Provides real-time detection of humans activities and objects by continuously analyzing Wi-Fi signal strength and variations in the reading. 
3.) Remote Accessibility: Allows users t"&amp;"o monitor their spaces from anywhere via the cloud-based application, providing peace of mind even when they are away.
4.) Energy Efficient: Utilizes power efficient ESP32 microcontrollers with long service life without frequent maintenance to reduce ope"&amp;"rating costs.
5.) Versatility in Conditions: Unlike cameras, it is not affected by poor lighting or occlusion, ensuring reliable performance in different conditions.
6.) Scalable System: Easily scalable to cover multiple rooms or larger areas, giving us"&amp;"ers the flexibility to expand their surveillance system as needed.
7.) Visual Indicators for Easy Interpretation: The system includes visual representations of detected objects, such as heatmaps or markers, making it easier for users to understand the la"&amp;"yout and security status of their monitored space.
8.) Real Time Alerts and Notifications: Users shall receive instant notifications when specific objects or people are detected, enhancing security.
9.) User-Friendly Interface: Provides an intuitive web"&amp;" and mobile app interface, making it easy for users to visualize detected objects and monitor their environment.
10.) API Integration: Allows nearby police departments or emergency services to access real-time data and alerts, enhancing the ability to re"&amp;"spond quickly to security incidents.
")</f>
        <v xml:space="preserve">This project aims to develop an AI-based Human and Object Monitoring System that utilizes Wi-Fi signal strength and the deflection of it for surveillance purposes. Wi-Fi signals will be tracked using ESP32 microcontrollers placed at different points within a room or outside it. These microcontrollers will continuously track the intensity of Wi-Fi signals that interact with various objects as well as humans present in the surrounding. The collected data is then relayed to a deep learning model, which will analyze and identify patterns that correspond to the presence of specific objects or humans. This outcome is relayed to both web and mobile application full-stack, allowing for real-time presentation and alerts system, which gives users an innovative and low-key approach towards securing their homes.
Key Features:
1.) Un-Interrupted and Non-Intrusive Surveillance: Utilizes Wi-Fi signals, eliminating the need for traditional costly surveillance cameras. This means the system can detect objects or activities based on variations in Wi-Fi signal data.
2.) Real Time Detection: Provides real-time detection of humans activities and objects by continuously analyzing Wi-Fi signal strength and variations in the reading. 
3.) Remote Accessibility: Allows users to monitor their spaces from anywhere via the cloud-based application, providing peace of mind even when they are away.
4.) Energy Efficient: Utilizes power efficient ESP32 microcontrollers with long service life without frequent maintenance to reduce operating costs.
5.) Versatility in Conditions: Unlike cameras, it is not affected by poor lighting or occlusion, ensuring reliable performance in different conditions.
6.) Scalable System: Easily scalable to cover multiple rooms or larger areas, giving users the flexibility to expand their surveillance system as needed.
7.) Visual Indicators for Easy Interpretation: The system includes visual representations of detected objects, such as heatmaps or markers, making it easier for users to understand the layout and security status of their monitored space.
8.) Real Time Alerts and Notifications: Users shall receive instant notifications when specific objects or people are detected, enhancing security.
9.) User-Friendly Interface: Provides an intuitive web and mobile app interface, making it easy for users to visualize detected objects and monitor their environment.
10.) API Integration: Allows nearby police departments or emergency services to access real-time data and alerts, enhancing the ability to respond quickly to security incidents.
</v>
      </c>
      <c r="D197" s="1" t="str">
        <f ca="1">IFERROR(__xludf.DUMMYFUNCTION("""COMPUTED_VALUE"""),"Dr. Zeshan Khan")</f>
        <v>Dr. Zeshan Khan</v>
      </c>
    </row>
    <row r="198" spans="1:4">
      <c r="A198" s="1" t="str">
        <f ca="1">IFERROR(__xludf.DUMMYFUNCTION("""COMPUTED_VALUE"""),"F24-198-D-StoryAnimator")</f>
        <v>F24-198-D-StoryAnimator</v>
      </c>
      <c r="B198" s="1" t="str">
        <f ca="1">IFERROR(__xludf.DUMMYFUNCTION("""COMPUTED_VALUE"""),"SVG story animator-Bringing characters to life")</f>
        <v>SVG story animator-Bringing characters to life</v>
      </c>
      <c r="C198" s="2" t="str">
        <f ca="1">IFERROR(__xludf.DUMMYFUNCTION("""COMPUTED_VALUE"""),"Our project is a cutting-edge web application that leverages generative AI to transform text into animated characters. Users can generate an image from text, which is then converted into an SVG format, allowing for easy editing in tools like Illustrator. "&amp;"After the image creation, a video is generated featuring the animated character. The application integrates several key features: character generation, SVG conversion, background removal, story generation from the character image, animation creation (incl"&amp;"uding complex actions like swimming), audio integration with background sounds, and video compilation. This comprehensive system ensures a seamless and engaging multimedia creation experience.
Project Features:
Character Generation: Users begin by enter"&amp;"ing an English textual prompt into the system. The AI then generates a customizable animated image based on the input, allowing users to tweak various attributes of the character to match their vision.
Background Removal: After generating the image, user"&amp;"s can click the ""Remove Background"" button to automatically eliminate any unwanted background, isolating the character for further use.
SVG Conversion: Once the image is finalized, users can convert the image from JPG or PNG format to SVG format with a"&amp;" simple click. This conversion enables the use of vector-based editing tools like Illustrator, providing flexibility for detailed customizations.
Story Generation: An integrated language model reads the character image and generates a narrative based on "&amp;"its appearance and characteristics, allowing users to build a story around their creation.
Animation Creation: Users can animate their SVG characters directly within the application. The system supports the creation of complex actions, such as swimming, "&amp;"walking, or flying, making the character dynamic and engaging.
Audio Integration: The application also adds appropriate background audio and sound effects to the animations, enhancing the overall atmosphere and emotional impact of the video.
Video Compi"&amp;"lation: Finally, all elements—character, story, animations, and audio—are compiled into a cohesive, short video. This video can then be shared or further edited, offering a complete multimedia creation tool.")</f>
        <v>Our project is a cutting-edge web application that leverages generative AI to transform text into animated characters. Users can generate an image from text, which is then converted into an SVG format, allowing for easy editing in tools like Illustrator. After the image creation, a video is generated featuring the animated character. The application integrates several key features: character generation, SVG conversion, background removal, story generation from the character image, animation creation (including complex actions like swimming), audio integration with background sounds, and video compilation. This comprehensive system ensures a seamless and engaging multimedia creation experience.
Project Features:
Character Generation: Users begin by entering an English textual prompt into the system. The AI then generates a customizable animated image based on the input, allowing users to tweak various attributes of the character to match their vision.
Background Removal: After generating the image, users can click the "Remove Background" button to automatically eliminate any unwanted background, isolating the character for further use.
SVG Conversion: Once the image is finalized, users can convert the image from JPG or PNG format to SVG format with a simple click. This conversion enables the use of vector-based editing tools like Illustrator, providing flexibility for detailed customizations.
Story Generation: An integrated language model reads the character image and generates a narrative based on its appearance and characteristics, allowing users to build a story around their creation.
Animation Creation: Users can animate their SVG characters directly within the application. The system supports the creation of complex actions, such as swimming, walking, or flying, making the character dynamic and engaging.
Audio Integration: The application also adds appropriate background audio and sound effects to the animations, enhancing the overall atmosphere and emotional impact of the video.
Video Compilation: Finally, all elements—character, story, animations, and audio—are compiled into a cohesive, short video. This video can then be shared or further edited, offering a complete multimedia creation tool.</v>
      </c>
      <c r="D198" s="1" t="str">
        <f ca="1">IFERROR(__xludf.DUMMYFUNCTION("""COMPUTED_VALUE"""),"Ms. Ayesha Kamran")</f>
        <v>Ms. Ayesha Kamran</v>
      </c>
    </row>
    <row r="199" spans="1:4">
      <c r="A199" s="1" t="str">
        <f ca="1">IFERROR(__xludf.DUMMYFUNCTION("""COMPUTED_VALUE"""),"F24-199-D-Soul Sync")</f>
        <v>F24-199-D-Soul Sync</v>
      </c>
      <c r="B199" s="1" t="str">
        <f ca="1">IFERROR(__xludf.DUMMYFUNCTION("""COMPUTED_VALUE"""),"SoulSyncedWithAI")</f>
        <v>SoulSyncedWithAI</v>
      </c>
      <c r="C199" s="2" t="str">
        <f ca="1">IFERROR(__xludf.DUMMYFUNCTION("""COMPUTED_VALUE"""),"SoulSync is an innovative AI-driven platform designed to preserve the persona of loved ones or
master professionals in their respective fields. By leveraging advanced AI techniques, SoulSync 
creates a digital version of a person based on their digital fo"&amp;"otprint, including texts, images, videos, 
education, and experience. This synthetic persona allows users to engage in meaningful interactions, 
share emotions, and even gain insights from the preserved knowledge and thought processes of experts 
long aft"&amp;"er they are gone.
Features:
1) SoulSync employs advanced techniques to extract meaningful data from social media posts, writings, images, and videos for the creation of an Artificial Persona.
2) SoulSync utilizes state-of-the-art NLP algorithms to enabl"&amp;"e realistic and context-aware conversations.
3) SoulSync incorporates sentiment analysis and emotion recognition algorithms to detect and simulate the emotional tone of the individual’s interactions with their loved ones.
4) SoulSync creates an AI-driven "&amp;"avatar for personalized, lifelike interactions.
5) SoulSync replicates the individual's voice to make conversations feel authentic and natural.
6) SoulSync offers a multimodal experience by combining text, voice, and visual data to create a rich and immer"&amp;"sive interaction environment.
7) SoulSync includes ethical data handling practices, ensuring that all personal data is managed with the utmost privacy and consent, respecting the individual’s legacy.
8) SoulSync offers an intuitive mobile app with a user-"&amp;"friendly interface, allowing users to easily upload data such as text, images, and videos. Within hours, the app processes the information to create a fully functional Artificial Persona ready for conversations.")</f>
        <v>SoulSync is an innovative AI-driven platform designed to preserve the persona of loved ones or
master professionals in their respective fields. By leveraging advanced AI techniques, SoulSync 
creates a digital version of a person based on their digital footprint, including texts, images, videos, 
education, and experience. This synthetic persona allows users to engage in meaningful interactions, 
share emotions, and even gain insights from the preserved knowledge and thought processes of experts 
long after they are gone.
Features:
1) SoulSync employs advanced techniques to extract meaningful data from social media posts, writings, images, and videos for the creation of an Artificial Persona.
2) SoulSync utilizes state-of-the-art NLP algorithms to enable realistic and context-aware conversations.
3) SoulSync incorporates sentiment analysis and emotion recognition algorithms to detect and simulate the emotional tone of the individual’s interactions with their loved ones.
4) SoulSync creates an AI-driven avatar for personalized, lifelike interactions.
5) SoulSync replicates the individual's voice to make conversations feel authentic and natural.
6) SoulSync offers a multimodal experience by combining text, voice, and visual data to create a rich and immersive interaction environment.
7) SoulSync includes ethical data handling practices, ensuring that all personal data is managed with the utmost privacy and consent, respecting the individual’s legacy.
8) SoulSync offers an intuitive mobile app with a user-friendly interface, allowing users to easily upload data such as text, images, and videos. Within hours, the app processes the information to create a fully functional Artificial Persona ready for conversations.</v>
      </c>
      <c r="D199" s="1" t="str">
        <f ca="1">IFERROR(__xludf.DUMMYFUNCTION("""COMPUTED_VALUE"""),"Dr. Mehreen Alam")</f>
        <v>Dr. Mehreen Alam</v>
      </c>
    </row>
    <row r="200" spans="1:4">
      <c r="A200" s="1" t="str">
        <f ca="1">IFERROR(__xludf.DUMMYFUNCTION("""COMPUTED_VALUE"""),"F24-200-R-INS(P)ECT")</f>
        <v>F24-200-R-INS(P)ECT</v>
      </c>
      <c r="B200" s="1" t="str">
        <f ca="1">IFERROR(__xludf.DUMMYFUNCTION("""COMPUTED_VALUE"""),"Optimized Flea Beetle Counting using Edge Devices")</f>
        <v>Optimized Flea Beetle Counting using Edge Devices</v>
      </c>
      <c r="C200" s="2" t="str">
        <f ca="1">IFERROR(__xludf.DUMMYFUNCTION("""COMPUTED_VALUE"""),"This project focuses on researching and developing methods to accurately count flea beetles on canola crop farms. Accurate counting of flea beetles is critical for planning insecticide treatments. The aim is to develop an edge-AI, optimized for lower-end "&amp;"devices, that is based on deep learning detection models. The model will be integrated into a mobile application that will allow users to take pictures of sticky traps used in the fields, and the model will process these images to count the number of flea"&amp;" beetles present. This modern method offers a more accessible and cost-effective alternative to existing insect-counting techniques, which typically require expensive equipment. The University of Regina, in collaboration with Agriculture and Agri-Food Can"&amp;"ada’s Lowe Road research farm, will provide the dataset for training the model. 
1. Image Capture and Upload
2. Automatic Insect Counting
3. Edge-AI
4. Easy-to-use UI
5. Offline Functionality
6. Results Summary and History
7. Data Visualization
8. Cloud "&amp;"Backup")</f>
        <v>This project focuses on researching and developing methods to accurately count flea beetles on canola crop farms. Accurate counting of flea beetles is critical for planning insecticide treatments. The aim is to develop an edge-AI, optimized for lower-end devices, that is based on deep learning detection models. The model will be integrated into a mobile application that will allow users to take pictures of sticky traps used in the fields, and the model will process these images to count the number of flea beetles present. This modern method offers a more accessible and cost-effective alternative to existing insect-counting techniques, which typically require expensive equipment. The University of Regina, in collaboration with Agriculture and Agri-Food Canada’s Lowe Road research farm, will provide the dataset for training the model. 
1. Image Capture and Upload
2. Automatic Insect Counting
3. Edge-AI
4. Easy-to-use UI
5. Offline Functionality
6. Results Summary and History
7. Data Visualization
8. Cloud Backup</v>
      </c>
      <c r="D200" s="1" t="str">
        <f ca="1">IFERROR(__xludf.DUMMYFUNCTION("""COMPUTED_VALUE"""),"Dr. Imran Ashraf")</f>
        <v>Dr. Imran Ashraf</v>
      </c>
    </row>
    <row r="201" spans="1:4">
      <c r="A201" s="1" t="str">
        <f ca="1">IFERROR(__xludf.DUMMYFUNCTION("""COMPUTED_VALUE"""),"F24-201-D-SmartStudyCompanion")</f>
        <v>F24-201-D-SmartStudyCompanion</v>
      </c>
      <c r="B201" s="1" t="str">
        <f ca="1">IFERROR(__xludf.DUMMYFUNCTION("""COMPUTED_VALUE"""),"SmartStudy Companion: An AI-powered adaptive learning platform for personalized programming education, using knowledge graphs.")</f>
        <v>SmartStudy Companion: An AI-powered adaptive learning platform for personalized programming education, using knowledge graphs.</v>
      </c>
      <c r="C201" s="2" t="str">
        <f ca="1">IFERROR(__xludf.DUMMYFUNCTION("""COMPUTED_VALUE"""),"                                             
SmartStudy Companion:
 SmartStudy Companion chatbot aims to provide personalized programming education, adapting to each user's skill level and language proficiency. It addresses the challenges of learning pro"&amp;"gramming, such as difficulty progression, language barriers, and understanding related concepts, by offering tailored explanations and suggestions based on user feedback and a structured knowledge base.
Key features of the chatbot:
1.	Knowledge Graph-base"&amp;"d Learning: 
o	     Utilizes RAG on a knowledge graph built from programming books
o	     Hierarchically structures topics from fundamental to advanced
2.	Adaptive Difficulty: 
o	    Employs reinforcement learning to adjust content difficulty
o	    Provid"&amp;"es explanations of prerequisites for challenging topics
3.	Language Assistance: 
o	    Offers simplified English explanations
o	    Provides Urdu translations for those who are weak in English
4.	Conceptual Navigation: 
o	    Suggests related concepts bre"&amp;"adthwise and depthwise
o	    Helps users explore connected programming ideas
5.	Interactive Feedback System: 
o	    Allows users to rate content as easy, difficult, or hard to understand
o	    Continuously improves responses based on user feedback
6.	Mult"&amp;"i-source Knowledge Base: 
o	    Integrates information from various programming books
")</f>
        <v xml:space="preserve">                                             
SmartStudy Companion:
 SmartStudy Companion chatbot aims to provide personalized programming education, adapting to each user's skill level and language proficiency. It addresses the challenges of learning programming, such as difficulty progression, language barriers, and understanding related concepts, by offering tailored explanations and suggestions based on user feedback and a structured knowledge base.
Key features of the chatbot:
1.	Knowledge Graph-based Learning: 
o	     Utilizes RAG on a knowledge graph built from programming books
o	     Hierarchically structures topics from fundamental to advanced
2.	Adaptive Difficulty: 
o	    Employs reinforcement learning to adjust content difficulty
o	    Provides explanations of prerequisites for challenging topics
3.	Language Assistance: 
o	    Offers simplified English explanations
o	    Provides Urdu translations for those who are weak in English
4.	Conceptual Navigation: 
o	    Suggests related concepts breadthwise and depthwise
o	    Helps users explore connected programming ideas
5.	Interactive Feedback System: 
o	    Allows users to rate content as easy, difficult, or hard to understand
o	    Continuously improves responses based on user feedback
6.	Multi-source Knowledge Base: 
o	    Integrates information from various programming books
</v>
      </c>
      <c r="D201" s="1" t="str">
        <f ca="1">IFERROR(__xludf.DUMMYFUNCTION("""COMPUTED_VALUE"""),"Mr. Aqib Rehman")</f>
        <v>Mr. Aqib Rehman</v>
      </c>
    </row>
    <row r="202" spans="1:4">
      <c r="A202" s="1" t="str">
        <f ca="1">IFERROR(__xludf.DUMMYFUNCTION("""COMPUTED_VALUE"""),"F24-202-R-FraudLock")</f>
        <v>F24-202-R-FraudLock</v>
      </c>
      <c r="B202" s="1" t="str">
        <f ca="1">IFERROR(__xludf.DUMMYFUNCTION("""COMPUTED_VALUE"""),"Developing Robust Deepfake Detection Methods for Face Recognition")</f>
        <v>Developing Robust Deepfake Detection Methods for Face Recognition</v>
      </c>
      <c r="C202" s="2" t="str">
        <f ca="1">IFERROR(__xludf.DUMMYFUNCTION("""COMPUTED_VALUE"""),"Our project, ""FraudLock"" focuses on developing an advanced mobile application that detects deepfake faces to mitigate financial fraud. The scope of the project includes the research, development, and deployment of a cross-platform app built using Flutte"&amp;"r and FastAPI. The app will leverage deep learning models to analyze and identify deepfake facial images during financial transactions, particularly in identity verification processes. The goal is to minimize false positives and enhance the security of fi"&amp;"nancial institutions by ensuring that only genuine users are granted access.The project will also address challenges related to the usability, accuracy, and efficiency of deepfake detection in real-time environments, contributing to the broader efforts in"&amp;" fraud prevention.
Key Features
Real-Time Deepfake Detection: Instant identification of deepfake faces during financial transactions.
Cross-Platform Support: Available on both Android and iOS platforms using Flutter.
Advanced Machine Learning Algorithms:"&amp;" Utilization of deep learning models for accurate deepfake detection.
User-Friendly Interface: Intuitive design ensuring ease of use for both end-users and administrators.
High Accuracy with Low False Positives: Optimized algorithms to ensure minimal fals"&amp;"e positives in detection.
Secure Data Handling: Ensures encryption and protection of user data throughout the process.
Multi-Language Support: Accessibility for users across different regions with language localization.
Scalable Architecture: Ability to h"&amp;"andle increasing amounts of data and users without loss of performance.
Comprehensive Reporting: Detailed reports on detection outcomes, trends, and system performance.
")</f>
        <v xml:space="preserve">Our project, "FraudLock" focuses on developing an advanced mobile application that detects deepfake faces to mitigate financial fraud. The scope of the project includes the research, development, and deployment of a cross-platform app built using Flutter and FastAPI. The app will leverage deep learning models to analyze and identify deepfake facial images during financial transactions, particularly in identity verification processes. The goal is to minimize false positives and enhance the security of financial institutions by ensuring that only genuine users are granted access.The project will also address challenges related to the usability, accuracy, and efficiency of deepfake detection in real-time environments, contributing to the broader efforts in fraud prevention.
Key Features
Real-Time Deepfake Detection: Instant identification of deepfake faces during financial transactions.
Cross-Platform Support: Available on both Android and iOS platforms using Flutter.
Advanced Machine Learning Algorithms: Utilization of deep learning models for accurate deepfake detection.
User-Friendly Interface: Intuitive design ensuring ease of use for both end-users and administrators.
High Accuracy with Low False Positives: Optimized algorithms to ensure minimal false positives in detection.
Secure Data Handling: Ensures encryption and protection of user data throughout the process.
Multi-Language Support: Accessibility for users across different regions with language localization.
Scalable Architecture: Ability to handle increasing amounts of data and users without loss of performance.
Comprehensive Reporting: Detailed reports on detection outcomes, trends, and system performance.
</v>
      </c>
      <c r="D202" s="1" t="str">
        <f ca="1">IFERROR(__xludf.DUMMYFUNCTION("""COMPUTED_VALUE"""),"Dr. Muhammad Ishtiaq")</f>
        <v>Dr. Muhammad Ishtiaq</v>
      </c>
    </row>
    <row r="203" spans="1:4">
      <c r="A203" s="1" t="str">
        <f ca="1">IFERROR(__xludf.DUMMYFUNCTION("""COMPUTED_VALUE"""),"F24-203-R-NeuroGen")</f>
        <v>F24-203-R-NeuroGen</v>
      </c>
      <c r="B203" s="1" t="str">
        <f ca="1">IFERROR(__xludf.DUMMYFUNCTION("""COMPUTED_VALUE"""),"Glioma-Aware 3D Brain Tissue Inpainting for Enhanced MRI Analysis")</f>
        <v>Glioma-Aware 3D Brain Tissue Inpainting for Enhanced MRI Analysis</v>
      </c>
      <c r="C203" s="2" t="str">
        <f ca="1">IFERROR(__xludf.DUMMYFUNCTION("""COMPUTED_VALUE"""),"Project Scope:
The project focuses on developing advanced algorithms to perform inpainting on 3D brain MRI scans, specifically targeting the regions affected by gliomas, a type of brain tumor. The goal is to synthesize realistic representations of healthy"&amp;" brain tissue in these tumor-affected areas, overcoming the limitations of current brain MRI analysis algorithms that struggle with tumor presence. By enhancing the accuracy of tissue reconstruction, this project aims to improve clinical tasks such as tis"&amp;"sue segmentation and tumor growth ultimately advancing the reliability of automated brain image analysis in medical settings.
Key Features:
1.3D Tissue Inpainting: Reconstructing missing brain tissue in 3D MRI scans using advance algorithms.
2.Automated "&amp;"Preprocessing: Streamlining the preprocessing of MRI data, including normalization, alignment, and skull stripping.
3.Multi-Modal Support: Incorporating various MRI modalities (e.g., T1, T2) 
4.Comprehensive Evaluation Metrics: Utilizing SSIM, PSNR, MSE, "&amp;"and Dice coefficient to validate the quality of inpainted regions.
5.Interactive Visualization: Providing an interface for clinicians to compare and analyze original and inpainted MRI scans.
6.Scalability: Ensuring the algorithm can efficiently process la"&amp;"rge datasets.
7.Generalization Across Tumors: Extending the algorithm to handle different tumor types by adapting to various datasets. (optional)
8.Open-Source Contribution: Publishing the project as an open-source tool to foster further research and inno"&amp;"vation.
")</f>
        <v xml:space="preserve">Project Scope:
The project focuses on developing advanced algorithms to perform inpainting on 3D brain MRI scans, specifically targeting the regions affected by gliomas, a type of brain tumor. The goal is to synthesize realistic representations of healthy brain tissue in these tumor-affected areas, overcoming the limitations of current brain MRI analysis algorithms that struggle with tumor presence. By enhancing the accuracy of tissue reconstruction, this project aims to improve clinical tasks such as tissue segmentation and tumor growth ultimately advancing the reliability of automated brain image analysis in medical settings.
Key Features:
1.3D Tissue Inpainting: Reconstructing missing brain tissue in 3D MRI scans using advance algorithms.
2.Automated Preprocessing: Streamlining the preprocessing of MRI data, including normalization, alignment, and skull stripping.
3.Multi-Modal Support: Incorporating various MRI modalities (e.g., T1, T2) 
4.Comprehensive Evaluation Metrics: Utilizing SSIM, PSNR, MSE, and Dice coefficient to validate the quality of inpainted regions.
5.Interactive Visualization: Providing an interface for clinicians to compare and analyze original and inpainted MRI scans.
6.Scalability: Ensuring the algorithm can efficiently process large datasets.
7.Generalization Across Tumors: Extending the algorithm to handle different tumor types by adapting to various datasets. (optional)
8.Open-Source Contribution: Publishing the project as an open-source tool to foster further research and innovation.
</v>
      </c>
      <c r="D203" s="1" t="str">
        <f ca="1">IFERROR(__xludf.DUMMYFUNCTION("""COMPUTED_VALUE"""),"Dr. Ahmad Raza Shahid")</f>
        <v>Dr. Ahmad Raza Shahid</v>
      </c>
    </row>
    <row r="204" spans="1:4">
      <c r="A204" s="1" t="str">
        <f ca="1">IFERROR(__xludf.DUMMYFUNCTION("""COMPUTED_VALUE"""),"F24-204-R-DriftGuard")</f>
        <v>F24-204-R-DriftGuard</v>
      </c>
      <c r="B204" s="1" t="str">
        <f ca="1">IFERROR(__xludf.DUMMYFUNCTION("""COMPUTED_VALUE"""),"Taming the Drift: Addressing Recurring Concept Drift in E-Commerce Machine Learning Models")</f>
        <v>Taming the Drift: Addressing Recurring Concept Drift in E-Commerce Machine Learning Models</v>
      </c>
      <c r="C204" s="2" t="str">
        <f ca="1">IFERROR(__xludf.DUMMYFUNCTION("""COMPUTED_VALUE"""),"This research project aims to address critical gaps in detecting and managing recurring concept drift in machine learning models, particularly within e-commerce retail datasets during major seasonal events such as Christmas, Black Friday, Eid, and Azadi S"&amp;"ale in Pakistan. These events often lead to significant shifts in consumer behavior, resulting in concept drift that can undermine model accuracy. Key gaps include the need for effective regression drift detection to identify changes in continuous target "&amp;"variables, the absence of a universal drift detector that can handle various types of concept drift, and the high false alarm rates of current methods, which can lead to unnecessary model adjustments. By critically analyzing existing literature, this proj"&amp;"ect will uncover these limitations and propose a more effective framework for real-time drift detection and adaptation, aiming to enhance model performance across different sales seasons.
Gaps Identified:
Regression Settings
Domain-Specific Applicability"&amp;"
False Alarm Rates 
Timely Drift Detection")</f>
        <v>This research project aims to address critical gaps in detecting and managing recurring concept drift in machine learning models, particularly within e-commerce retail datasets during major seasonal events such as Christmas, Black Friday, Eid, and Azadi Sale in Pakistan. These events often lead to significant shifts in consumer behavior, resulting in concept drift that can undermine model accuracy. Key gaps include the need for effective regression drift detection to identify changes in continuous target variables, the absence of a universal drift detector that can handle various types of concept drift, and the high false alarm rates of current methods, which can lead to unnecessary model adjustments. By critically analyzing existing literature, this project will uncover these limitations and propose a more effective framework for real-time drift detection and adaptation, aiming to enhance model performance across different sales seasons.
Gaps Identified:
Regression Settings
Domain-Specific Applicability
False Alarm Rates 
Timely Drift Detection</v>
      </c>
      <c r="D204" s="1" t="str">
        <f ca="1">IFERROR(__xludf.DUMMYFUNCTION("""COMPUTED_VALUE"""),"Ms. Tajwar Mehmood")</f>
        <v>Ms. Tajwar Mehmood</v>
      </c>
    </row>
    <row r="205" spans="1:4">
      <c r="A205" s="1" t="str">
        <f ca="1">IFERROR(__xludf.DUMMYFUNCTION("""COMPUTED_VALUE"""),"F24-205-D-EcoDrive")</f>
        <v>F24-205-D-EcoDrive</v>
      </c>
      <c r="B205" s="1" t="str">
        <f ca="1">IFERROR(__xludf.DUMMYFUNCTION("""COMPUTED_VALUE"""),"EcoDrive: AI-Powered Autonomous (toy) vehicle for Sustainable Waste Management")</f>
        <v>EcoDrive: AI-Powered Autonomous (toy) vehicle for Sustainable Waste Management</v>
      </c>
      <c r="C205" s="2" t="str">
        <f ca="1">IFERROR(__xludf.DUMMYFUNCTION("""COMPUTED_VALUE"""),"We are developing an autonomous toy car designed for waste management. The (""ego"") and the environment are not real; it is based on simulations. The user interface features a dashboard with a map displaying the locations of different waste bins. When a "&amp;"bin reaches capacity, it sends a signal to the ego vehicle, which then navigates to the bin, collects the waste, and transports it to a designated recycling or waste disposal facility. This system aims to demonstrate the potential for automated waste coll"&amp;"ection in real-world scenarios.
Features:
- Longitudinal Control; Responsible for acceleration and deceleration 
- Lateral Control; Responsible for steering angle
- Path Planning; Responsible for choosing the optimized path from a source to destination"&amp;"
- Navigation System; Based on the GPS (Global Positioning System)
- Smart Bins; Responsible for signaling the ego if its container is full
- Smart Waste Collection; Autonomous Waste Collection from the Bins")</f>
        <v>We are developing an autonomous toy car designed for waste management. The ("ego") and the environment are not real; it is based on simulations. The user interface features a dashboard with a map displaying the locations of different waste bins. When a bin reaches capacity, it sends a signal to the ego vehicle, which then navigates to the bin, collects the waste, and transports it to a designated recycling or waste disposal facility. This system aims to demonstrate the potential for automated waste collection in real-world scenarios.
Features:
- Longitudinal Control; Responsible for acceleration and deceleration 
- Lateral Control; Responsible for steering angle
- Path Planning; Responsible for choosing the optimized path from a source to destination
- Navigation System; Based on the GPS (Global Positioning System)
- Smart Bins; Responsible for signaling the ego if its container is full
- Smart Waste Collection; Autonomous Waste Collection from the Bins</v>
      </c>
      <c r="D205" s="1" t="str">
        <f ca="1">IFERROR(__xludf.DUMMYFUNCTION("""COMPUTED_VALUE"""),"Dr. Hasan Mujtaba")</f>
        <v>Dr. Hasan Mujtaba</v>
      </c>
    </row>
    <row r="206" spans="1:4">
      <c r="A206" s="1" t="str">
        <f ca="1">IFERROR(__xludf.DUMMYFUNCTION("""COMPUTED_VALUE"""),"F24-206-R-AgentialChitchat")</f>
        <v>F24-206-R-AgentialChitchat</v>
      </c>
      <c r="B206" s="1" t="str">
        <f ca="1">IFERROR(__xludf.DUMMYFUNCTION("""COMPUTED_VALUE"""),"Learning Unified Communication Protocols between Agents.")</f>
        <v>Learning Unified Communication Protocols between Agents.</v>
      </c>
      <c r="C206" s="2" t="str">
        <f ca="1">IFERROR(__xludf.DUMMYFUNCTION("""COMPUTED_VALUE"""),"Currently, multiple agents are capable of communicating with one another; however, they are unable to develop communication models for collaboration with other independently trained agents. Our hypothesis involves decentralizing both the communication bet"&amp;"ween agents and their decision-making policies. This approach will ensure that, although agents develop their own planning trajectories and undergo independent training, they must utilize the same communication model established previously.
- Decentralis"&amp;"ing communication and collaborative decision making.
- Developing unified communication model.
- Developing evaluator for agents to learn already emerged communication protocols.
- Collaboration between independent agents in adversarial and collaborative "&amp;"environments.")</f>
        <v>Currently, multiple agents are capable of communicating with one another; however, they are unable to develop communication models for collaboration with other independently trained agents. Our hypothesis involves decentralizing both the communication between agents and their decision-making policies. This approach will ensure that, although agents develop their own planning trajectories and undergo independent training, they must utilize the same communication model established previously.
- Decentralising communication and collaborative decision making.
- Developing unified communication model.
- Developing evaluator for agents to learn already emerged communication protocols.
- Collaboration between independent agents in adversarial and collaborative environments.</v>
      </c>
      <c r="D206" s="1" t="str">
        <f ca="1">IFERROR(__xludf.DUMMYFUNCTION("""COMPUTED_VALUE"""),"Dr. Ahmad Din")</f>
        <v>Dr. Ahmad Din</v>
      </c>
    </row>
    <row r="207" spans="1:4">
      <c r="A207" s="1" t="str">
        <f ca="1">IFERROR(__xludf.DUMMYFUNCTION("""COMPUTED_VALUE"""),"F24-207-D-CitySentinel")</f>
        <v>F24-207-D-CitySentinel</v>
      </c>
      <c r="B207" s="1" t="str">
        <f ca="1">IFERROR(__xludf.DUMMYFUNCTION("""COMPUTED_VALUE"""),"CitySentinel: Comprehensive Urban and Environmental Monitoring System")</f>
        <v>CitySentinel: Comprehensive Urban and Environmental Monitoring System</v>
      </c>
      <c r="C207" s="2" t="str">
        <f ca="1">IFERROR(__xludf.DUMMYFUNCTION("""COMPUTED_VALUE"""),"CitySentinel is a comprehensive urban and environmental monitoring system designed to assist government authorities in overseeing and enforcing construction and environmental regulations. The system allows users to designate specific areas where certain t"&amp;"ypes of construction, such as residential buildings or schools, are restricted, and continuously monitors these regions using satellite imagery to detect any unauthorized developments. Additionally, CitySentinel tracks deforestation trends in protected gr"&amp;"een areas and analyzes how urbanization and environmental changes impact local weather patterns over time. The system integrates historical and real-time data to provide detailed reports, helping policymakers make informed decisions that balance urban gro"&amp;"wth with environmental conservation.
1.Restricted Area Monitoring: Detects unauthorized construction in restricted zones.
2.Deforestation Detection: Monitors and reports illegal deforestation.
3.Weather Impact Analysis: Analyzes effects of urbanization an"&amp;"d deforestation on weather.
4.Interactive Map Interface: Marks and manages restricted areas via an easy map tool.
5.Automated Alerts: Sends real-time alerts for construction or deforestation violations. 
6.Custom Reporting: Generates detailed reports on a"&amp;"ctivities and impacts. 
7.Historical Data Analysis: Tracks land use changes over time with satellite data.
8.Chatbot Assistance: Provides area-specific information and navigation help.")</f>
        <v>CitySentinel is a comprehensive urban and environmental monitoring system designed to assist government authorities in overseeing and enforcing construction and environmental regulations. The system allows users to designate specific areas where certain types of construction, such as residential buildings or schools, are restricted, and continuously monitors these regions using satellite imagery to detect any unauthorized developments. Additionally, CitySentinel tracks deforestation trends in protected green areas and analyzes how urbanization and environmental changes impact local weather patterns over time. The system integrates historical and real-time data to provide detailed reports, helping policymakers make informed decisions that balance urban growth with environmental conservation.
1.Restricted Area Monitoring: Detects unauthorized construction in restricted zones.
2.Deforestation Detection: Monitors and reports illegal deforestation.
3.Weather Impact Analysis: Analyzes effects of urbanization and deforestation on weather.
4.Interactive Map Interface: Marks and manages restricted areas via an easy map tool.
5.Automated Alerts: Sends real-time alerts for construction or deforestation violations. 
6.Custom Reporting: Generates detailed reports on activities and impacts. 
7.Historical Data Analysis: Tracks land use changes over time with satellite data.
8.Chatbot Assistance: Provides area-specific information and navigation help.</v>
      </c>
      <c r="D207" s="1" t="str">
        <f ca="1">IFERROR(__xludf.DUMMYFUNCTION("""COMPUTED_VALUE"""),"Mr. Owais Idrees")</f>
        <v>Mr. Owais Idrees</v>
      </c>
    </row>
    <row r="208" spans="1:4">
      <c r="A208" s="1" t="str">
        <f ca="1">IFERROR(__xludf.DUMMYFUNCTION("""COMPUTED_VALUE"""),"F24-208-D-SmartPark")</f>
        <v>F24-208-D-SmartPark</v>
      </c>
      <c r="B208" s="1" t="str">
        <f ca="1">IFERROR(__xludf.DUMMYFUNCTION("""COMPUTED_VALUE"""),"IoT Based Smart Parking Management System")</f>
        <v>IoT Based Smart Parking Management System</v>
      </c>
      <c r="C208" s="2" t="str">
        <f ca="1">IFERROR(__xludf.DUMMYFUNCTION("""COMPUTED_VALUE"""),"The project aims to develop an IoT-based smart car parking system hosted on AWS, with a web application interface designed to significantly reduce the time and effort spent searching for an available parking space. The system will allow users to easily ch"&amp;"eck for vacant spots in real-time, directly navigate to an available space, and even reserve a parking spot for a specified duration. Additionally, the solution will offer an integrated and convenient payment method, ensuring a seamless parking experience"&amp;" from entry to exit. The project is intended to address the common challenges of urban parking, including long wait times and inefficient space utilization. 
Key features:
-  Real-Time Parking Spot Availability
-  Parking Spot Reservation 
-  Automated C"&amp;"heck-In and Check-Out 
-  Seamless Payment Integration 
-  User-Friendly Web Application 
-  AWS Cloud Hosting 
-  Data Logging and Reporting 
-  Parking Duration Tracking 
-  Secure User Authentication ")</f>
        <v xml:space="preserve">The project aims to develop an IoT-based smart car parking system hosted on AWS, with a web application interface designed to significantly reduce the time and effort spent searching for an available parking space. The system will allow users to easily check for vacant spots in real-time, directly navigate to an available space, and even reserve a parking spot for a specified duration. Additionally, the solution will offer an integrated and convenient payment method, ensuring a seamless parking experience from entry to exit. The project is intended to address the common challenges of urban parking, including long wait times and inefficient space utilization. 
Key features:
-  Real-Time Parking Spot Availability
-  Parking Spot Reservation 
-  Automated Check-In and Check-Out 
-  Seamless Payment Integration 
-  User-Friendly Web Application 
-  AWS Cloud Hosting 
-  Data Logging and Reporting 
-  Parking Duration Tracking 
-  Secure User Authentication </v>
      </c>
      <c r="D208" s="1" t="str">
        <f ca="1">IFERROR(__xludf.DUMMYFUNCTION("""COMPUTED_VALUE"""),"Dr. Adnan Tariq")</f>
        <v>Dr. Adnan Tariq</v>
      </c>
    </row>
    <row r="209" spans="1:4">
      <c r="A209" s="1" t="str">
        <f ca="1">IFERROR(__xludf.DUMMYFUNCTION("""COMPUTED_VALUE"""),"F24-209-D-ConvoAIFind")</f>
        <v>F24-209-D-ConvoAIFind</v>
      </c>
      <c r="B209" s="1" t="str">
        <f ca="1">IFERROR(__xludf.DUMMYFUNCTION("""COMPUTED_VALUE""")," CAF is an AI-driven bot that redefines online shopping by intelligently identifying products, analyzing reviews, and comparing options across stores to provide personalized recommendations.")</f>
        <v xml:space="preserve"> CAF is an AI-driven bot that redefines online shopping by intelligently identifying products, analyzing reviews, and comparing options across stores to provide personalized recommendations.</v>
      </c>
      <c r="C209" s="2" t="str">
        <f ca="1">IFERROR(__xludf.DUMMYFUNCTION("""COMPUTED_VALUE"""),"CAF is an AI-driven conversational bot designed to redefine the online shopping
experience. It intelligently identifies products based on user requirements, performs sentiment
analysis on reviews, and compares options across multiple online stores saving "&amp;"user’s time.
Leveraging advanced technologies like LLMs, web scraping CAF offers highly personalized and
targeted shopping recommendations.
Key Features:
● Conversational Interface Powered by LLMs
● Real-Time Web Scraping with Web Agent
● Sentiment Analys"&amp;"is for Product Reviews
● Comparative Analysis on Price, Availability, Reviews
● Platforms Comparisons based on User Reviews
● Targeted Product Recommendations
● Math Agent for Workflow Automation
● Product Recognition from Images
● Python Backend with Fas"&amp;"tAPI
● React-Based Frontend for Responsive UI
● Cloud Based Deployment")</f>
        <v>CAF is an AI-driven conversational bot designed to redefine the online shopping
experience. It intelligently identifies products based on user requirements, performs sentiment
analysis on reviews, and compares options across multiple online stores saving user’s time.
Leveraging advanced technologies like LLMs, web scraping CAF offers highly personalized and
targeted shopping recommendations.
Key Features:
● Conversational Interface Powered by LLMs
● Real-Time Web Scraping with Web Agent
● Sentiment Analysis for Product Reviews
● Comparative Analysis on Price, Availability, Reviews
● Platforms Comparisons based on User Reviews
● Targeted Product Recommendations
● Math Agent for Workflow Automation
● Product Recognition from Images
● Python Backend with FastAPI
● React-Based Frontend for Responsive UI
● Cloud Based Deployment</v>
      </c>
      <c r="D209" s="1" t="str">
        <f ca="1">IFERROR(__xludf.DUMMYFUNCTION("""COMPUTED_VALUE"""),"Mr. Irfan Ullah")</f>
        <v>Mr. Irfan Ullah</v>
      </c>
    </row>
    <row r="210" spans="1:4">
      <c r="A210" s="1" t="str">
        <f ca="1">IFERROR(__xludf.DUMMYFUNCTION("""COMPUTED_VALUE"""),"F24-210-R-CategorizeITV")</f>
        <v>F24-210-R-CategorizeITV</v>
      </c>
      <c r="B210" s="1" t="str">
        <f ca="1">IFERROR(__xludf.DUMMYFUNCTION("""COMPUTED_VALUE"""),"Transformer Based Inference Optimized Automated Issue Report Classification ")</f>
        <v xml:space="preserve">Transformer Based Inference Optimized Automated Issue Report Classification </v>
      </c>
      <c r="C210" s="2" t="str">
        <f ca="1">IFERROR(__xludf.DUMMYFUNCTION("""COMPUTED_VALUE"""),"Overview: 
An issue report system leveraging Transformer-based pre-trained BERT models like TinyBERT and FastBERT which effectively classifies issue reports into three main categories of Bug reports, Enhancement/Feature requests, and Questions. The proced"&amp;"ure includes preprocessing and cleaning of data for the NLBSE’25 tool competition which is followed by fine-tuning of pre-trained BERT models on the refined dataset. Our model's performance is evaluated on a dataset containing 3,000 labeled issue reports "&amp;"(categorized as bugs, enhancements, and questions) which are sourced from five real-world open-source projects.
Key features:
1. Bugs report module
2. Enhancements report module
3. Questionnaire report module
4. Profile management module
5. History manag"&amp;"ement module
6. Data upload module
7. Report Export Utility")</f>
        <v>Overview: 
An issue report system leveraging Transformer-based pre-trained BERT models like TinyBERT and FastBERT which effectively classifies issue reports into three main categories of Bug reports, Enhancement/Feature requests, and Questions. The procedure includes preprocessing and cleaning of data for the NLBSE’25 tool competition which is followed by fine-tuning of pre-trained BERT models on the refined dataset. Our model's performance is evaluated on a dataset containing 3,000 labeled issue reports (categorized as bugs, enhancements, and questions) which are sourced from five real-world open-source projects.
Key features:
1. Bugs report module
2. Enhancements report module
3. Questionnaire report module
4. Profile management module
5. History management module
6. Data upload module
7. Report Export Utility</v>
      </c>
      <c r="D210" s="1" t="str">
        <f ca="1">IFERROR(__xludf.DUMMYFUNCTION("""COMPUTED_VALUE"""),"Dr. Behjat Zuhaira")</f>
        <v>Dr. Behjat Zuhaira</v>
      </c>
    </row>
    <row r="211" spans="1:4">
      <c r="A211" s="1" t="str">
        <f ca="1">IFERROR(__xludf.DUMMYFUNCTION("""COMPUTED_VALUE"""),"F24-211-D-ParentalControlApp")</f>
        <v>F24-211-D-ParentalControlApp</v>
      </c>
      <c r="B211" s="1" t="str">
        <f ca="1">IFERROR(__xludf.DUMMYFUNCTION("""COMPUTED_VALUE"""),"Parental Control App")</f>
        <v>Parental Control App</v>
      </c>
      <c r="C211" s="2" t="str">
        <f ca="1">IFERROR(__xludf.DUMMYFUNCTION("""COMPUTED_VALUE"""),"The Parental Control App aims to provide a comprehensive solution for parents to monitor and manage their child's digital activities in real-time. The app will enable parents to track their child's location, monitor screen activity, control access to spec"&amp;"ific apps, and restrict the use of the microphone and camera. By offering these functionalities, the app ensures a safer digital environment for children, helping parents guide their usage of technology responsibly. The app will also focus on user-friendl"&amp;"iness, security, and adaptability across different devices and platforms.
1-Real-time Location Tracking: Enables parents to monitor their child's current location.
2-Live Screen Monitoring: Allows parents to view their child's screen activity in real-tim"&amp;"e.
3-App Usage Restrictions: Provides the ability to block or limit the use of specific applications.
4-Microphone Access Control: Restricts the use of the device's microphone, preventing unauthorized audio recording.
5-Camera Access Control: Limits acces"&amp;"s to the camera to prevent unauthorized video or photo capture.
6-Time-based Restrictions: Sets specific times when device usage is allowed or restricted.
7-Activity Reports: Generates detailed reports of the child’s daily digital activities, including ap"&amp;"p usage and screen time.
8-Emergency Alerts: An emergency button for the child to send immediate alerts to parents.")</f>
        <v>The Parental Control App aims to provide a comprehensive solution for parents to monitor and manage their child's digital activities in real-time. The app will enable parents to track their child's location, monitor screen activity, control access to specific apps, and restrict the use of the microphone and camera. By offering these functionalities, the app ensures a safer digital environment for children, helping parents guide their usage of technology responsibly. The app will also focus on user-friendliness, security, and adaptability across different devices and platforms.
1-Real-time Location Tracking: Enables parents to monitor their child's current location.
2-Live Screen Monitoring: Allows parents to view their child's screen activity in real-time.
3-App Usage Restrictions: Provides the ability to block or limit the use of specific applications.
4-Microphone Access Control: Restricts the use of the device's microphone, preventing unauthorized audio recording.
5-Camera Access Control: Limits access to the camera to prevent unauthorized video or photo capture.
6-Time-based Restrictions: Sets specific times when device usage is allowed or restricted.
7-Activity Reports: Generates detailed reports of the child’s daily digital activities, including app usage and screen time.
8-Emergency Alerts: An emergency button for the child to send immediate alerts to parents.</v>
      </c>
      <c r="D211" s="1" t="str">
        <f ca="1">IFERROR(__xludf.DUMMYFUNCTION("""COMPUTED_VALUE"""),"Dr. Syed Qaiser Ali Shah")</f>
        <v>Dr. Syed Qaiser Ali Shah</v>
      </c>
    </row>
    <row r="212" spans="1:4">
      <c r="A212" s="1" t="str">
        <f ca="1">IFERROR(__xludf.DUMMYFUNCTION("""COMPUTED_VALUE"""),"F24-212-D-DataGenie")</f>
        <v>F24-212-D-DataGenie</v>
      </c>
      <c r="B212" s="1" t="str">
        <f ca="1">IFERROR(__xludf.DUMMYFUNCTION("""COMPUTED_VALUE"""),"Data augmentation for training models for Quality inspection through generative AI")</f>
        <v>Data augmentation for training models for Quality inspection through generative AI</v>
      </c>
      <c r="C212" s="2" t="str">
        <f ca="1">IFERROR(__xludf.DUMMYFUNCTION("""COMPUTED_VALUE"""),"DataGenie is a generative AI model designed to tackle the issue of limited data in training AI models for quality inspection. By creating synthetic versions of both defective and non-defective data, DataGenie allows for more robust model training. It can "&amp;"generate diverse defects from a single image of each product view by interpreting descriptions in natural language, producing various versions of defects for enhanced training accuracy.
Key Features
1. Data augmentation through generative AI.
2. Generate "&amp;"trainable images using 3d image of the product.
3. Generate synthetic images of product using user prompts in natural language.
     (both defective and undefective images).
4. Train a new model using the generated custom dataset through transfer learning"&amp;" on a 
     pre trained model by clicking just one button.
5. Separate inference page for testing the produced model in real time.
6. Generate a model in pytorch or any other format as an output.
7. Implement strategies to validate the synthetic data agai"&amp;"nst real product images ensuring 
    the quality and realism of the generated data.
8. Allow for customization in the types and severity of defects simulated in the synthetic 
    data to cater to different industry needs and product types.")</f>
        <v>DataGenie is a generative AI model designed to tackle the issue of limited data in training AI models for quality inspection. By creating synthetic versions of both defective and non-defective data, DataGenie allows for more robust model training. It can generate diverse defects from a single image of each product view by interpreting descriptions in natural language, producing various versions of defects for enhanced training accuracy.
Key Features
1. Data augmentation through generative AI.
2. Generate trainable images using 3d image of the product.
3. Generate synthetic images of product using user prompts in natural language.
     (both defective and undefective images).
4. Train a new model using the generated custom dataset through transfer learning on a 
     pre trained model by clicking just one button.
5. Separate inference page for testing the produced model in real time.
6. Generate a model in pytorch or any other format as an output.
7. Implement strategies to validate the synthetic data against real product images ensuring 
    the quality and realism of the generated data.
8. Allow for customization in the types and severity of defects simulated in the synthetic 
    data to cater to different industry needs and product types.</v>
      </c>
      <c r="D212" s="1" t="str">
        <f ca="1">IFERROR(__xludf.DUMMYFUNCTION("""COMPUTED_VALUE"""),"Mr. Shams Farooq")</f>
        <v>Mr. Shams Farooq</v>
      </c>
    </row>
    <row r="213" spans="1:4">
      <c r="A213" s="1" t="str">
        <f ca="1">IFERROR(__xludf.DUMMYFUNCTION("""COMPUTED_VALUE"""),"F24-213-D-BinaryBeats")</f>
        <v>F24-213-D-BinaryBeats</v>
      </c>
      <c r="B213" s="1" t="str">
        <f ca="1">IFERROR(__xludf.DUMMYFUNCTION("""COMPUTED_VALUE"""),"CampusEye: Distributed Anomaly Detection for Campus Safety")</f>
        <v>CampusEye: Distributed Anomaly Detection for Campus Safety</v>
      </c>
      <c r="C213" s="2" t="str">
        <f ca="1">IFERROR(__xludf.DUMMYFUNCTION("""COMPUTED_VALUE"""),"This project is a real-time anomaly detection system designed to enhance campus security by monitoring existing CCTV networks. The system detects policy violations such as smoking, fighting, and vandalism using machine learning, computer vision, and distr"&amp;"ibuted computing. By distributing video processing across idle campus PCs, the solution is cost-effective, scalable, and provides instant alerts to security personnel, along with video clips of detected anomalies. The system integrates seamlessly with the"&amp;" current infrastructure, offering a smart, efficient way to improve university safety.
")</f>
        <v xml:space="preserve">This project is a real-time anomaly detection system designed to enhance campus security by monitoring existing CCTV networks. The system detects policy violations such as smoking, fighting, and vandalism using machine learning, computer vision, and distributed computing. By distributing video processing across idle campus PCs, the solution is cost-effective, scalable, and provides instant alerts to security personnel, along with video clips of detected anomalies. The system integrates seamlessly with the current infrastructure, offering a smart, efficient way to improve university safety.
</v>
      </c>
      <c r="D213" s="1" t="str">
        <f ca="1">IFERROR(__xludf.DUMMYFUNCTION("""COMPUTED_VALUE"""),"Mr. M. Aadil Ur Rehman")</f>
        <v>Mr. M. Aadil Ur Rehman</v>
      </c>
    </row>
    <row r="214" spans="1:4">
      <c r="A214" s="1" t="str">
        <f ca="1">IFERROR(__xludf.DUMMYFUNCTION("""COMPUTED_VALUE"""),"F24-214-D-MeriCloset")</f>
        <v>F24-214-D-MeriCloset</v>
      </c>
      <c r="B214" s="1" t="str">
        <f ca="1">IFERROR(__xludf.DUMMYFUNCTION("""COMPUTED_VALUE"""),"MeriCloset: Your Personalized Shopping Hub")</f>
        <v>MeriCloset: Your Personalized Shopping Hub</v>
      </c>
      <c r="C214" s="2" t="str">
        <f ca="1">IFERROR(__xludf.DUMMYFUNCTION("""COMPUTED_VALUE"""),"This fashion platform, MeriCloset centralizes products from various brands into one app, offering personalized clothing recommendations based on body measurements, style, occasions, and moods. Users can save, share and compare outfits and customize their "&amp;"level of personalization. It features visual search, customizable measurements, a virtual fitting room, AI-powered recommendations, personalized lookbooks, advanced filtering, and social features. It also emphasizes data security, scalability, and robust "&amp;"development for optimal performance.
Key Features:
-Personalized Recommendations: Tailored suggestions based on user profile.
-Visual Search: Find products by uploading images.
-Customizable Measurements: Enter detailed body measurements for accurate fit."&amp;"
-AI-Powered Suggestions: Smart recommendations using AI.
-Personalized Lookbooks: Curated outfits based on preferences.
-Advanced Filtering: Refine searches with detailed filters.
-Social Features: Share outfits and engage with the community.
-Outfit Com"&amp;"parison: Compare different outfits side by side.
-Data Security &amp; Scalability: Ensures user data protection and app performance.")</f>
        <v>This fashion platform, MeriCloset centralizes products from various brands into one app, offering personalized clothing recommendations based on body measurements, style, occasions, and moods. Users can save, share and compare outfits and customize their level of personalization. It features visual search, customizable measurements, a virtual fitting room, AI-powered recommendations, personalized lookbooks, advanced filtering, and social features. It also emphasizes data security, scalability, and robust development for optimal performance.
Key Features:
-Personalized Recommendations: Tailored suggestions based on user profile.
-Visual Search: Find products by uploading images.
-Customizable Measurements: Enter detailed body measurements for accurate fit.
-AI-Powered Suggestions: Smart recommendations using AI.
-Personalized Lookbooks: Curated outfits based on preferences.
-Advanced Filtering: Refine searches with detailed filters.
-Social Features: Share outfits and engage with the community.
-Outfit Comparison: Compare different outfits side by side.
-Data Security &amp; Scalability: Ensures user data protection and app performance.</v>
      </c>
      <c r="D214" s="1" t="str">
        <f ca="1">IFERROR(__xludf.DUMMYFUNCTION("""COMPUTED_VALUE"""),"Dr. Danish Shehzad")</f>
        <v>Dr. Danish Shehzad</v>
      </c>
    </row>
    <row r="215" spans="1:4">
      <c r="A215" s="1" t="str">
        <f ca="1">IFERROR(__xludf.DUMMYFUNCTION("""COMPUTED_VALUE"""),"F24-215-D-FashionFusion")</f>
        <v>F24-215-D-FashionFusion</v>
      </c>
      <c r="B215" s="1" t="str">
        <f ca="1">IFERROR(__xludf.DUMMYFUNCTION("""COMPUTED_VALUE"""),"All Pakistani clothing brands at one platform with easy comparison, AI assistant and review analysis")</f>
        <v>All Pakistani clothing brands at one platform with easy comparison, AI assistant and review analysis</v>
      </c>
      <c r="C215" s="2" t="str">
        <f ca="1">IFERROR(__xludf.DUMMYFUNCTION("""COMPUTED_VALUE"""),"This platform is designed to aggregate products from all clothing brands in Pakistan by scraping data from various brand websites. It enables customers to compare products easily in one location. The platform also analyses sales trends to identify which b"&amp;"rands offer genuine, seasonal discounts and which maintain year-round sales. To ensure transparency, it manages customer reviews authentically, keeping both positive and negative feedback visible. Additionally, the platform features a blog for customers t"&amp;"o discuss products, and it leverages advanced analysis to assess customer sentiment based on reviews and discussions.
Features:
1. Multi-Brand Scraping
2. Unified Product Database
3. Product Comparison Tool
4. Campaign Monitoring with Traffic &amp; Sales Ana"&amp;"lysis
5. Review Management &amp; Authentication
6. Sentiment Analysis
7. Trend Reports
8. Smart Chatbot")</f>
        <v>This platform is designed to aggregate products from all clothing brands in Pakistan by scraping data from various brand websites. It enables customers to compare products easily in one location. The platform also analyses sales trends to identify which brands offer genuine, seasonal discounts and which maintain year-round sales. To ensure transparency, it manages customer reviews authentically, keeping both positive and negative feedback visible. Additionally, the platform features a blog for customers to discuss products, and it leverages advanced analysis to assess customer sentiment based on reviews and discussions.
Features:
1. Multi-Brand Scraping
2. Unified Product Database
3. Product Comparison Tool
4. Campaign Monitoring with Traffic &amp; Sales Analysis
5. Review Management &amp; Authentication
6. Sentiment Analysis
7. Trend Reports
8. Smart Chatbot</v>
      </c>
      <c r="D215" s="1" t="str">
        <f ca="1">IFERROR(__xludf.DUMMYFUNCTION("""COMPUTED_VALUE"""),"Ms. Rabail Zahid")</f>
        <v>Ms. Rabail Zahid</v>
      </c>
    </row>
    <row r="216" spans="1:4">
      <c r="A216" s="1" t="str">
        <f ca="1">IFERROR(__xludf.DUMMYFUNCTION("""COMPUTED_VALUE"""),"F24-216-D-SmoothFlow")</f>
        <v>F24-216-D-SmoothFlow</v>
      </c>
      <c r="B216" s="1" t="str">
        <f ca="1">IFERROR(__xludf.DUMMYFUNCTION("""COMPUTED_VALUE"""),"Smooth Flow")</f>
        <v>Smooth Flow</v>
      </c>
      <c r="C216" s="2" t="str">
        <f ca="1">IFERROR(__xludf.DUMMYFUNCTION("""COMPUTED_VALUE"""),"Project Scope:
SmoothFlow is a web-based application targeted towards native English language speakers who suffer from speech disfluencies. The main objective is to assist such individuals in improving the fluency of their speech. It detects and classifie"&amp;"s the speech disfluencies present in the patient’s speech and based on the classification, it recommends the patient with different speech therapy exercises. The speech therapy exercises follow a gamified approach to encourage patients to stay consistent."&amp;" Progress tracking and feedback reports are also provided to the patient. Additionally, the patient can consult with a Speech Language Pathologist through text or video.
Key Features:
1. Detection and Multi-label classification of speech disfluencies (on"&amp;" patient’s speech)
2. Speech therapy exercises with gamification elements
3. Analysis of patient’s speech to check the severity of speech disfluencies
4. Performance Analytics, Progress Tracking and Feedback reports of the patient
5. Consultation with Spe"&amp;"ech Language Pathologist (SLP) through text or video
6. Chatbot to provide patients with information related to Speech Disfluencies and Speech Therapy
7. User Management
8. User-friendly Interface")</f>
        <v>Project Scope:
SmoothFlow is a web-based application targeted towards native English language speakers who suffer from speech disfluencies. The main objective is to assist such individuals in improving the fluency of their speech. It detects and classifies the speech disfluencies present in the patient’s speech and based on the classification, it recommends the patient with different speech therapy exercises. The speech therapy exercises follow a gamified approach to encourage patients to stay consistent. Progress tracking and feedback reports are also provided to the patient. Additionally, the patient can consult with a Speech Language Pathologist through text or video.
Key Features:
1. Detection and Multi-label classification of speech disfluencies (on patient’s speech)
2. Speech therapy exercises with gamification elements
3. Analysis of patient’s speech to check the severity of speech disfluencies
4. Performance Analytics, Progress Tracking and Feedback reports of the patient
5. Consultation with Speech Language Pathologist (SLP) through text or video
6. Chatbot to provide patients with information related to Speech Disfluencies and Speech Therapy
7. User Management
8. User-friendly Interface</v>
      </c>
      <c r="D216" s="1" t="str">
        <f ca="1">IFERROR(__xludf.DUMMYFUNCTION("""COMPUTED_VALUE"""),"Dr. Behjat Zuhaira")</f>
        <v>Dr. Behjat Zuhaira</v>
      </c>
    </row>
    <row r="217" spans="1:4">
      <c r="A217" s="1" t="str">
        <f ca="1">IFERROR(__xludf.DUMMYFUNCTION("""COMPUTED_VALUE"""),"F24-217-D-SkinSync")</f>
        <v>F24-217-D-SkinSync</v>
      </c>
      <c r="B217" s="1" t="str">
        <f ca="1">IFERROR(__xludf.DUMMYFUNCTION("""COMPUTED_VALUE"""),"Employing the power of AI for skin analysis ")</f>
        <v xml:space="preserve">Employing the power of AI for skin analysis </v>
      </c>
      <c r="C217" s="2" t="str">
        <f ca="1">IFERROR(__xludf.DUMMYFUNCTION("""COMPUTED_VALUE"""),"This project involves the development of an AI-powered chatbot designed to offer personalized skincare recommendations by considering a range of factors including skin type, dietary habits, potential allergens, and regional weather conditions. The chatbot"&amp;" will provide a holistic analysis to ensure that users receive comprehensive advice tailored to their specific needs. Additionally, it will incorporate machine learning for accurate diagnosis and continuous improvement through user feedback, making it a v"&amp;"aluable tool for both consumers and dermatologists.
1.NLP-Driven User Interaction: Intuitive input and response system.
2.Data Analysis: Comprehensive recommendations incorporating multiple factors.
3.Machine Learning Diagnosis: AI models to identify skin"&amp;" issues.
4.Image Recognition Module: Analyzes uploaded photos for skin conditions
5.Personalized Diet Analytics: Tailored dietary suggestions for skin health.
6.Allergy Detection Algorithm: Identifying potential skin allergens.
7.Product Recommendation En"&amp;"gine: Curated skincare product suggestions.
8.API Integration: Seamless connection with third-party skincare databases
9.Predictive Analytics: Forecasting potential skin issues before they arise.
")</f>
        <v xml:space="preserve">This project involves the development of an AI-powered chatbot designed to offer personalized skincare recommendations by considering a range of factors including skin type, dietary habits, potential allergens, and regional weather conditions. The chatbot will provide a holistic analysis to ensure that users receive comprehensive advice tailored to their specific needs. Additionally, it will incorporate machine learning for accurate diagnosis and continuous improvement through user feedback, making it a valuable tool for both consumers and dermatologists.
1.NLP-Driven User Interaction: Intuitive input and response system.
2.Data Analysis: Comprehensive recommendations incorporating multiple factors.
3.Machine Learning Diagnosis: AI models to identify skin issues.
4.Image Recognition Module: Analyzes uploaded photos for skin conditions
5.Personalized Diet Analytics: Tailored dietary suggestions for skin health.
6.Allergy Detection Algorithm: Identifying potential skin allergens.
7.Product Recommendation Engine: Curated skincare product suggestions.
8.API Integration: Seamless connection with third-party skincare databases
9.Predictive Analytics: Forecasting potential skin issues before they arise.
</v>
      </c>
      <c r="D217" s="1" t="str">
        <f ca="1">IFERROR(__xludf.DUMMYFUNCTION("""COMPUTED_VALUE"""),"Mr. Hassan Raza")</f>
        <v>Mr. Hassan Raza</v>
      </c>
    </row>
    <row r="218" spans="1:4">
      <c r="A218" s="1" t="str">
        <f ca="1">IFERROR(__xludf.DUMMYFUNCTION("""COMPUTED_VALUE"""),"F24-218-D-ArtiFlo")</f>
        <v>F24-218-D-ArtiFlo</v>
      </c>
      <c r="B218" s="1" t="str">
        <f ca="1">IFERROR(__xludf.DUMMYFUNCTION("""COMPUTED_VALUE"""),"ArtiFlo: Mastering Business Process Modeling")</f>
        <v>ArtiFlo: Mastering Business Process Modeling</v>
      </c>
      <c r="C218" s="2" t="str">
        <f ca="1">IFERROR(__xludf.DUMMYFUNCTION("""COMPUTED_VALUE"""),"The LLM-Enhanced BPMN Diagramming and Creation Tool combines the intuitive power of Artificial Intelligence with real-time feedback, enabling users to create efficient and accurate Business Process Model and Notation (BPMN) diagrams. By leveraging Large L"&amp;"anguage Models (LLMs), users can create BPMN diagrams from natural language prompts and receive real-time feedback. The tool is designed to streamline the BPMN diagram creation process, making it accessible and efficient for users of all skill levels, wit"&amp;"h a special focus on educational use.
1. Prompt-Based Diagram Creation: Users (Instructors) can describe business processes in natural language, which the tool then uses to generate BPMN diagrams.
2. Drag-and-drop Diagram Creation: Users (Students and In"&amp;"structors) can easily create BPMN diagrams by dragging and dropping components onto an interactive workspace using an intuitive interface which simplifies diagram construction.
3. Integrated Business Process Assistant: Offers users (students) real-time as"&amp;"sistance and feedback on the correctness of the BPMN structure, symbols, activities, and flow.
4. Chatbot Assistance: A conversational AI guide that helps users (students) through the diagram creation process and explains BPMN concepts.
5. Comprehensive A"&amp;"ctivity Logging and Performance Analysis: The system tracks and records all user (student) actions within the tool, including diagram creation, modifications, deletions, and time spent on each component. The detailed log of user interactions is then analy"&amp;"zed to generate performance metrics and actionable insights. Users (instructors) receive reports on the diagramming efficiency, identifying areas of difficulty or frequent revisions, while offering recommendations for improvement based on the usage patter"&amp;"ns and comparison with best practices.
6. Teacher Dashboard: Allows educators to monitor student progress, view activity logs, and provide personalized feedback.
7. Interactive Learning Content for Students: Includes BPMN tutorials, quizzes, and assessmen"&amp;"ts with automated grading and feedback.
8. Performance Reports : Instructors can generate detailed performance reports for individual students or groups, providing in-depth insights into their BPMN diagramming skills and workflow efficiency. The reports s"&amp;"ummarize key metrics such as time spent on various diagram components, frequency of revisions, common errors or bottlenecks, and adherence to BPMN best practices, enabling instructors to identify areas where students are struggling and offer actionable re"&amp;"commendations for improvement to help them refine their BPMN skills and become more proficient in business process modeling. 
9. Export and Import Functionality: Enables users to export diagrams in various formats (e.g., PNG, SVG, XML) and import existing"&amp;" BPMN diagrams for editing.
")</f>
        <v xml:space="preserve">The LLM-Enhanced BPMN Diagramming and Creation Tool combines the intuitive power of Artificial Intelligence with real-time feedback, enabling users to create efficient and accurate Business Process Model and Notation (BPMN) diagrams. By leveraging Large Language Models (LLMs), users can create BPMN diagrams from natural language prompts and receive real-time feedback. The tool is designed to streamline the BPMN diagram creation process, making it accessible and efficient for users of all skill levels, with a special focus on educational use.
1. Prompt-Based Diagram Creation: Users (Instructors) can describe business processes in natural language, which the tool then uses to generate BPMN diagrams.
2. Drag-and-drop Diagram Creation: Users (Students and Instructors) can easily create BPMN diagrams by dragging and dropping components onto an interactive workspace using an intuitive interface which simplifies diagram construction.
3. Integrated Business Process Assistant: Offers users (students) real-time assistance and feedback on the correctness of the BPMN structure, symbols, activities, and flow.
4. Chatbot Assistance: A conversational AI guide that helps users (students) through the diagram creation process and explains BPMN concepts.
5. Comprehensive Activity Logging and Performance Analysis: The system tracks and records all user (student) actions within the tool, including diagram creation, modifications, deletions, and time spent on each component. The detailed log of user interactions is then analyzed to generate performance metrics and actionable insights. Users (instructors) receive reports on the diagramming efficiency, identifying areas of difficulty or frequent revisions, while offering recommendations for improvement based on the usage patterns and comparison with best practices.
6. Teacher Dashboard: Allows educators to monitor student progress, view activity logs, and provide personalized feedback.
7. Interactive Learning Content for Students: Includes BPMN tutorials, quizzes, and assessments with automated grading and feedback.
8. Performance Reports : Instructors can generate detailed performance reports for individual students or groups, providing in-depth insights into their BPMN diagramming skills and workflow efficiency. The reports summarize key metrics such as time spent on various diagram components, frequency of revisions, common errors or bottlenecks, and adherence to BPMN best practices, enabling instructors to identify areas where students are struggling and offer actionable recommendations for improvement to help them refine their BPMN skills and become more proficient in business process modeling. 
9. Export and Import Functionality: Enables users to export diagrams in various formats (e.g., PNG, SVG, XML) and import existing BPMN diagrams for editing.
</v>
      </c>
      <c r="D218" s="1" t="str">
        <f ca="1">IFERROR(__xludf.DUMMYFUNCTION("""COMPUTED_VALUE"""),"Dr. Behjat Zuhaira")</f>
        <v>Dr. Behjat Zuhaira</v>
      </c>
    </row>
    <row r="219" spans="1:4">
      <c r="A219" s="1" t="str">
        <f ca="1">IFERROR(__xludf.DUMMYFUNCTION("""COMPUTED_VALUE"""),"F24-219-D-TracknRetrieve")</f>
        <v>F24-219-D-TracknRetrieve</v>
      </c>
      <c r="B219" s="1" t="str">
        <f ca="1">IFERROR(__xludf.DUMMYFUNCTION("""COMPUTED_VALUE"""),"Track &amp; Retrieve: Advanced Lost Item Search System")</f>
        <v>Track &amp; Retrieve: Advanced Lost Item Search System</v>
      </c>
      <c r="C219" s="2" t="str">
        <f ca="1">IFERROR(__xludf.DUMMYFUNCTION("""COMPUTED_VALUE"""),"The Lost and Found Web Application is designed to streamline the recovery of lost items using advanced technologies. The platform allows users to report lost items by providing descriptions or uploading images, which are then converted into 3D images or m"&amp;"atched with found items using AI. Finders can upload images of found items, which are matched with the database of lost items. The application also supports reporting stolen items to authorities. Privacy features ensure finders can remain anonymous, and u"&amp;"nclaimed items are donated to charity after a set period. The app will be secure, user-friendly, and scalable, ensuring efficient item recovery and reporting.
 Key Features
1. Voice-to-Text Conversion: 
2. AI-Powered 3D Image Generation:
3. Image-to-Ima"&amp;"ge Matching and discription to image matching.
4. Proof of Ownership Verification:
5. Privacy Protection for Finders:
6. Reporting to Authorities: 
7. Geolocation Tagging: 
8. Real-Time Notifications:
9. Community Alerts:
10. In-App Messaging:")</f>
        <v>The Lost and Found Web Application is designed to streamline the recovery of lost items using advanced technologies. The platform allows users to report lost items by providing descriptions or uploading images, which are then converted into 3D images or matched with found items using AI. Finders can upload images of found items, which are matched with the database of lost items. The application also supports reporting stolen items to authorities. Privacy features ensure finders can remain anonymous, and unclaimed items are donated to charity after a set period. The app will be secure, user-friendly, and scalable, ensuring efficient item recovery and reporting.
 Key Features
1. Voice-to-Text Conversion: 
2. AI-Powered 3D Image Generation:
3. Image-to-Image Matching and discription to image matching.
4. Proof of Ownership Verification:
5. Privacy Protection for Finders:
6. Reporting to Authorities: 
7. Geolocation Tagging: 
8. Real-Time Notifications:
9. Community Alerts:
10. In-App Messaging:</v>
      </c>
      <c r="D219" s="1" t="str">
        <f ca="1">IFERROR(__xludf.DUMMYFUNCTION("""COMPUTED_VALUE"""),"Mr. Shams Farooq")</f>
        <v>Mr. Shams Farooq</v>
      </c>
    </row>
    <row r="220" spans="1:4">
      <c r="A220" s="1" t="str">
        <f ca="1">IFERROR(__xludf.DUMMYFUNCTION("""COMPUTED_VALUE"""),"F24-220-R-Nazar")</f>
        <v>F24-220-R-Nazar</v>
      </c>
      <c r="B220" s="1" t="str">
        <f ca="1">IFERROR(__xludf.DUMMYFUNCTION("""COMPUTED_VALUE"""),"Nazar: AI based Smartphone Cataract screening Application")</f>
        <v>Nazar: AI based Smartphone Cataract screening Application</v>
      </c>
      <c r="C220" s="2" t="str">
        <f ca="1">IFERROR(__xludf.DUMMYFUNCTION("""COMPUTED_VALUE"""),"This project aims to develop a cost-effective, accessible, and accurate cataract screening application that can be used on smartphones to address the high prevalence of cataract-induced blindness in Pakistan, particularly in rural areas. The application w"&amp;"ill allow for self-screening or assisted screening using smartphone cameras. The project will focus on implementing advanced image processing techniques and machine learning algorithms to detect cataracts at various stages with high accuracy, thereby redu"&amp;"cing the need for expensive and time-consuming visits to ophthalmologists. The goal is to create a user-friendly and reliable tool that can be deployed widely, especially in underserved regions.
1. The application will be compatible with both iOS and And"&amp;"roid devices.
2. Simple and intuitive UI/UX design to facilitate easy use by non-experts.
3. Utilizes SVM-based AI models to detect cataracts with over 95% accuracy.
4. Capable of functioning effectively under varying lighting and environmental conditions"&amp;" with minimal impact on accuracy.
5. The method works accurately at a distance of 10 to 50 cm from the eye.
6. Built-in image filtering, cropping, and segmentation to enhance detection accuracy.
7. Converts images to luminance values for precise classific"&amp;"ation of cataract presence and type.
8. Identifies the stage of the cataract (mature, immature, etc.) for better treatment planning.
9. Allows the application to function without an internet connection, making it ideal for remote areas.
10. Significantly "&amp;"reduces the cost of cataract screening by eliminating the need for specialized equipment and multiple clinical visits.")</f>
        <v>This project aims to develop a cost-effective, accessible, and accurate cataract screening application that can be used on smartphones to address the high prevalence of cataract-induced blindness in Pakistan, particularly in rural areas. The application will allow for self-screening or assisted screening using smartphone cameras. The project will focus on implementing advanced image processing techniques and machine learning algorithms to detect cataracts at various stages with high accuracy, thereby reducing the need for expensive and time-consuming visits to ophthalmologists. The goal is to create a user-friendly and reliable tool that can be deployed widely, especially in underserved regions.
1. The application will be compatible with both iOS and Android devices.
2. Simple and intuitive UI/UX design to facilitate easy use by non-experts.
3. Utilizes SVM-based AI models to detect cataracts with over 95% accuracy.
4. Capable of functioning effectively under varying lighting and environmental conditions with minimal impact on accuracy.
5. The method works accurately at a distance of 10 to 50 cm from the eye.
6. Built-in image filtering, cropping, and segmentation to enhance detection accuracy.
7. Converts images to luminance values for precise classification of cataract presence and type.
8. Identifies the stage of the cataract (mature, immature, etc.) for better treatment planning.
9. Allows the application to function without an internet connection, making it ideal for remote areas.
10. Significantly reduces the cost of cataract screening by eliminating the need for specialized equipment and multiple clinical visits.</v>
      </c>
      <c r="D220" s="1" t="str">
        <f ca="1">IFERROR(__xludf.DUMMYFUNCTION("""COMPUTED_VALUE"""),"Dr. Isma ul Hassan")</f>
        <v>Dr. Isma ul Hassan</v>
      </c>
    </row>
    <row r="221" spans="1:4">
      <c r="A221" s="1" t="str">
        <f ca="1">IFERROR(__xludf.DUMMYFUNCTION("""COMPUTED_VALUE"""),"F24-221-D-DashGrab")</f>
        <v>F24-221-D-DashGrab</v>
      </c>
      <c r="B221" s="1" t="str">
        <f ca="1">IFERROR(__xludf.DUMMYFUNCTION("""COMPUTED_VALUE"""),"DashGrab - shop swiftly ")</f>
        <v xml:space="preserve">DashGrab - shop swiftly </v>
      </c>
      <c r="C221" s="2" t="str">
        <f ca="1">IFERROR(__xludf.DUMMYFUNCTION("""COMPUTED_VALUE"""),"DashGrab is an AI-powered cashier-less clothing retail store which offer a seamless and secure shopping experience tailored for fashion enthusiasts. Utilizing advanced computer vision, machine learning, and IoT technologies, DashGrab automates the entire "&amp;"shopping process where you just enter the store scanning your account, pick up stuff and just go. Also incorporating enhanced security measures.
Features:
1. AI-Powered Item Detection: Uses advanced cameras to automatically detect items picked up by custo"&amp;"mers.
2. Seamless Checkout: Customers simply walk out after shopping, with automatic billing through their linked accounts.
3. Real-Time Cart Updates: The app tracks what customers pick up or put back in real-time.
4. Insufficient Balance Alerts: Security"&amp;" notified if a customer with insufficient balance attempts to leave.
5. Pre-Authorization of Payment: Ensures customers have sufficient funds before they begin shopping.
6. Camera Blindspot Notification: Security is alerted if camera coverage is insuffici"&amp;"ent.
7. Minimizing employees: reducing the number of employees needed to run the store.
8. Minimizing shopping time : no more waiting in lines for check-out and payment. ")</f>
        <v xml:space="preserve">DashGrab is an AI-powered cashier-less clothing retail store which offer a seamless and secure shopping experience tailored for fashion enthusiasts. Utilizing advanced computer vision, machine learning, and IoT technologies, DashGrab automates the entire shopping process where you just enter the store scanning your account, pick up stuff and just go. Also incorporating enhanced security measures.
Features:
1. AI-Powered Item Detection: Uses advanced cameras to automatically detect items picked up by customers.
2. Seamless Checkout: Customers simply walk out after shopping, with automatic billing through their linked accounts.
3. Real-Time Cart Updates: The app tracks what customers pick up or put back in real-time.
4. Insufficient Balance Alerts: Security notified if a customer with insufficient balance attempts to leave.
5. Pre-Authorization of Payment: Ensures customers have sufficient funds before they begin shopping.
6. Camera Blindspot Notification: Security is alerted if camera coverage is insufficient.
7. Minimizing employees: reducing the number of employees needed to run the store.
8. Minimizing shopping time : no more waiting in lines for check-out and payment. </v>
      </c>
      <c r="D221" s="1" t="str">
        <f ca="1">IFERROR(__xludf.DUMMYFUNCTION("""COMPUTED_VALUE"""),"Mr. Ahmad Raza")</f>
        <v>Mr. Ahmad Raza</v>
      </c>
    </row>
    <row r="222" spans="1:4">
      <c r="A222" s="1" t="str">
        <f ca="1">IFERROR(__xludf.DUMMYFUNCTION("""COMPUTED_VALUE"""),"F24-222-D-3D AutoMod")</f>
        <v>F24-222-D-3D AutoMod</v>
      </c>
      <c r="B222" s="1" t="str">
        <f ca="1">IFERROR(__xludf.DUMMYFUNCTION("""COMPUTED_VALUE"""),"3D AutoMod: Real-Time Car Customization &amp; Mechanic Bidding Hub")</f>
        <v>3D AutoMod: Real-Time Car Customization &amp; Mechanic Bidding Hub</v>
      </c>
      <c r="C222" s="2" t="str">
        <f ca="1">IFERROR(__xludf.DUMMYFUNCTION("""COMPUTED_VALUE"""),"The 3D AutoMod platform aims to simplify car customization by providing users with a seamless interface for visualizing real-time modifications on 3D car models. The system enables users to upload images of their cars, which are then converted into 3D mod"&amp;"els. Through an intuitive interface, users can modify various aspects of their cars, such as rims, mirrors, and paint, etc. These changes are instantly reflected on the 3D model in real time. The platform also connects users with a network of mechanics, w"&amp;"ho can provide quotes based on the selected modifications. The platform fosters communication between users and mechanics, allowing them to negotiate and finalize deals efficiently. This project focuses on real-time 3D rendering, user interaction, and an "&amp;"integrated marketplace for custom auto modifications.
Key Features:
1. Conversion of uploaded car images into 3D models.
2. Real-time 3D visualization of car modifications.
3. Intuitive UI for customizing car features like rims, mirrors, and paint, etc.
"&amp;"4. Integrated mechanic bidding system for custom modifications.
5. Detailed modification specs sent to mechanics for tailored offers.
6. Easy-to-use filters for sorting mechanic offers by price, rating, and location.
7. Chat functionality for direct commu"&amp;"nication between users and mechanics.
8. Option to finalize deals and manage transactions through the platform.
9. Secure user accounts with modification history and preferences.
10. Notifications and alerts for new offers and mechanic responses.")</f>
        <v>The 3D AutoMod platform aims to simplify car customization by providing users with a seamless interface for visualizing real-time modifications on 3D car models. The system enables users to upload images of their cars, which are then converted into 3D models. Through an intuitive interface, users can modify various aspects of their cars, such as rims, mirrors, and paint, etc. These changes are instantly reflected on the 3D model in real time. The platform also connects users with a network of mechanics, who can provide quotes based on the selected modifications. The platform fosters communication between users and mechanics, allowing them to negotiate and finalize deals efficiently. This project focuses on real-time 3D rendering, user interaction, and an integrated marketplace for custom auto modifications.
Key Features:
1. Conversion of uploaded car images into 3D models.
2. Real-time 3D visualization of car modifications.
3. Intuitive UI for customizing car features like rims, mirrors, and paint, etc.
4. Integrated mechanic bidding system for custom modifications.
5. Detailed modification specs sent to mechanics for tailored offers.
6. Easy-to-use filters for sorting mechanic offers by price, rating, and location.
7. Chat functionality for direct communication between users and mechanics.
8. Option to finalize deals and manage transactions through the platform.
9. Secure user accounts with modification history and preferences.
10. Notifications and alerts for new offers and mechanic responses.</v>
      </c>
      <c r="D222" s="1" t="str">
        <f ca="1">IFERROR(__xludf.DUMMYFUNCTION("""COMPUTED_VALUE"""),"Mr. Irfan Ullah")</f>
        <v>Mr. Irfan Ullah</v>
      </c>
    </row>
    <row r="223" spans="1:4">
      <c r="A223" s="1" t="str">
        <f ca="1">IFERROR(__xludf.DUMMYFUNCTION("""COMPUTED_VALUE"""),"F24-223-D-FloodVis")</f>
        <v>F24-223-D-FloodVis</v>
      </c>
      <c r="B223" s="1" t="str">
        <f ca="1">IFERROR(__xludf.DUMMYFUNCTION("""COMPUTED_VALUE"""),"Deep Learning In UAV For Flood Monitoring, Inundation Mapping And Loss Assessment ")</f>
        <v xml:space="preserve">Deep Learning In UAV For Flood Monitoring, Inundation Mapping And Loss Assessment </v>
      </c>
      <c r="C223" s="2" t="str">
        <f ca="1">IFERROR(__xludf.DUMMYFUNCTION("""COMPUTED_VALUE"""),"Scope:
This project aims to develop a deep learning-based system using Unmanned Aerial Vehicles (UAVs) as an alternative to satellite remote-sensing for flood monitoring and disaster response. The focus is on automated detection of flooded areas and ident"&amp;"ification of affected people. By integrating UAV technology with advanced deep learning models, the project seeks to provide a more accurate and timely solution for flood detection and emergency response, ultimately enhancing disaster management efforts a"&amp;"nd saving lives.
List of Features:
1. Detection of floods.
2. Monitoring flood progression.
3. Evaluates damages caused by floods.
4. Capability to map flooded areas.
5. Detection of flood survivors.
6. Generate a report summarizing flood extent, damages"&amp;", and potential risks for decision-makers.")</f>
        <v>Scope:
This project aims to develop a deep learning-based system using Unmanned Aerial Vehicles (UAVs) as an alternative to satellite remote-sensing for flood monitoring and disaster response. The focus is on automated detection of flooded areas and identification of affected people. By integrating UAV technology with advanced deep learning models, the project seeks to provide a more accurate and timely solution for flood detection and emergency response, ultimately enhancing disaster management efforts and saving lives.
List of Features:
1. Detection of floods.
2. Monitoring flood progression.
3. Evaluates damages caused by floods.
4. Capability to map flooded areas.
5. Detection of flood survivors.
6. Generate a report summarizing flood extent, damages, and potential risks for decision-makers.</v>
      </c>
      <c r="D223" s="1" t="str">
        <f ca="1">IFERROR(__xludf.DUMMYFUNCTION("""COMPUTED_VALUE"""),"Dr. Javaria Imtiaz")</f>
        <v>Dr. Javaria Imtiaz</v>
      </c>
    </row>
    <row r="224" spans="1:4">
      <c r="A224" s="1" t="str">
        <f ca="1">IFERROR(__xludf.DUMMYFUNCTION("""COMPUTED_VALUE"""),"F24-224-D-IlmMate")</f>
        <v>F24-224-D-IlmMate</v>
      </c>
      <c r="B224" s="1" t="str">
        <f ca="1">IFERROR(__xludf.DUMMYFUNCTION("""COMPUTED_VALUE"""),"ILLMATE: Illuminating the future through an AI powered learning experience for all Customization")</f>
        <v>ILLMATE: Illuminating the future through an AI powered learning experience for all Customization</v>
      </c>
      <c r="C224" s="2" t="str">
        <f ca="1">IFERROR(__xludf.DUMMYFUNCTION("""COMPUTED_VALUE"""),"Ilmate is an innovative platform independent educational chatbot designed specifically for Pakistani students. The app leverages AI to provide personalized learning experiences, offering detailed explanations of curriculum topics, customized practice ques"&amp;"tions, and progress reports.
Features of Ilmate:
- Advanced RAG Pipeline that utilizes textbook data from Pakistani curriculum textbooks for students of grades 9
- Providing scraped resources in the form of video links and textual summaries on specific to"&amp;"pics within the curriculum of the student
- Providing detailed and specific explanations from textbooks to queries students may have.
- Entertaining voice and text queries
- Providing AI generated questions for each topic and customized for each students'"&amp;" unique way of learning.
- Generating AI reports on students' learning progress to their parents, teachers and themselves.
- Helping students achieve Learning objectives by identifying through assessments where they were lacking and providing more resourc"&amp;"es to better understand those Learning objectives.
-Facilitates easy access and communication by integrating with WhatsApp, allowing students to receive resources, and support directly on the platform.")</f>
        <v>Ilmate is an innovative platform independent educational chatbot designed specifically for Pakistani students. The app leverages AI to provide personalized learning experiences, offering detailed explanations of curriculum topics, customized practice questions, and progress reports.
Features of Ilmate:
- Advanced RAG Pipeline that utilizes textbook data from Pakistani curriculum textbooks for students of grades 9
- Providing scraped resources in the form of video links and textual summaries on specific topics within the curriculum of the student
- Providing detailed and specific explanations from textbooks to queries students may have.
- Entertaining voice and text queries
- Providing AI generated questions for each topic and customized for each students' unique way of learning.
- Generating AI reports on students' learning progress to their parents, teachers and themselves.
- Helping students achieve Learning objectives by identifying through assessments where they were lacking and providing more resources to better understand those Learning objectives.
-Facilitates easy access and communication by integrating with WhatsApp, allowing students to receive resources, and support directly on the platform.</v>
      </c>
      <c r="D224" s="1" t="str">
        <f ca="1">IFERROR(__xludf.DUMMYFUNCTION("""COMPUTED_VALUE"""),"Mr. Adil Majeed")</f>
        <v>Mr. Adil Majeed</v>
      </c>
    </row>
    <row r="225" spans="1:4">
      <c r="A225" s="1" t="str">
        <f ca="1">IFERROR(__xludf.DUMMYFUNCTION("""COMPUTED_VALUE"""),"F24-225-D-Watch")</f>
        <v>F24-225-D-Watch</v>
      </c>
      <c r="B225" s="1" t="str">
        <f ca="1">IFERROR(__xludf.DUMMYFUNCTION("""COMPUTED_VALUE"""),"Real-Time Worker Safety and Productivity Monitoring System")</f>
        <v>Real-Time Worker Safety and Productivity Monitoring System</v>
      </c>
      <c r="C225" s="2" t="str">
        <f ca="1">IFERROR(__xludf.DUMMYFUNCTION("""COMPUTED_VALUE"""),"Real-Time Worker Safety and Productivity Monitoring System Description: Develop a multi-agent, real-time object detection system designed for factories or workplaces. The system utilizes multiple cameras to monitor worker productivity, ensure compliance w"&amp;"ith safety regulations (like wearing helmets, goggles, caps), and track movements within the facility. The collaborative nature of the system allows for multiple cameras to work together, sharing data to enhance detection accuracy and provide a comprehens"&amp;"ive view of the workplace.")</f>
        <v>Real-Time Worker Safety and Productivity Monitoring System Description: Develop a multi-agent, real-time object detection system designed for factories or workplaces. The system utilizes multiple cameras to monitor worker productivity, ensure compliance with safety regulations (like wearing helmets, goggles, caps), and track movements within the facility. The collaborative nature of the system allows for multiple cameras to work together, sharing data to enhance detection accuracy and provide a comprehensive view of the workplace.</v>
      </c>
      <c r="D225" s="1" t="str">
        <f ca="1">IFERROR(__xludf.DUMMYFUNCTION("""COMPUTED_VALUE"""),"Ms. Sidra Khalid")</f>
        <v>Ms. Sidra Khalid</v>
      </c>
    </row>
    <row r="226" spans="1:4">
      <c r="A226" s="1" t="str">
        <f ca="1">IFERROR(__xludf.DUMMYFUNCTION("""COMPUTED_VALUE"""),"F24-226-D-ProdigyPal")</f>
        <v>F24-226-D-ProdigyPal</v>
      </c>
      <c r="B226" s="1" t="str">
        <f ca="1">IFERROR(__xludf.DUMMYFUNCTION("""COMPUTED_VALUE"""),"Personalized Interactive Online Learning Platform")</f>
        <v>Personalized Interactive Online Learning Platform</v>
      </c>
      <c r="C226" s="2" t="str">
        <f ca="1">IFERROR(__xludf.DUMMYFUNCTION("""COMPUTED_VALUE"""),"Our project aims to create a dynamic, adaptive, and interactive online learning platform tailored for young students, providing tools and resources to enhance both teaching and learning experiences. The platform will dynamically generate interactive works"&amp;"heets based on prompts provided by teachers through a chatbot interface. Teachers can input specific topics, difficulty levels, and types of exercises they need, it will also offer gamified elements such as points and leaderboards to maintain engagement. "&amp;"It will feature a chatbot assistant for teachers to help create resources, worksheets, and questions, as well as a student assistant chatbot that provides AI-based hints and resources tailored to each student's needs. The platform will dynamically create "&amp;"worksheets and questions, it will diagnose student progress and skills proficiency, and offer real-time feedback to both teachers and students. Student diagnostics will allow for a detailed analysis of progress, identifying areas where improvement is need"&amp;"ed and providing actionable insights for teachers. This comprehensive solution aims to create an engaging, personalized, and effective learning environment that adapts to each student's unique needs and supports teachers in delivering impactful educationa"&amp;"l experiences.")</f>
        <v>Our project aims to create a dynamic, adaptive, and interactive online learning platform tailored for young students, providing tools and resources to enhance both teaching and learning experiences. The platform will dynamically generate interactive worksheets based on prompts provided by teachers through a chatbot interface. Teachers can input specific topics, difficulty levels, and types of exercises they need, it will also offer gamified elements such as points and leaderboards to maintain engagement. It will feature a chatbot assistant for teachers to help create resources, worksheets, and questions, as well as a student assistant chatbot that provides AI-based hints and resources tailored to each student's needs. The platform will dynamically create worksheets and questions, it will diagnose student progress and skills proficiency, and offer real-time feedback to both teachers and students. Student diagnostics will allow for a detailed analysis of progress, identifying areas where improvement is needed and providing actionable insights for teachers. This comprehensive solution aims to create an engaging, personalized, and effective learning environment that adapts to each student's unique needs and supports teachers in delivering impactful educational experiences.</v>
      </c>
      <c r="D226" s="1" t="str">
        <f ca="1">IFERROR(__xludf.DUMMYFUNCTION("""COMPUTED_VALUE"""),"Dr. Javaria Imtiaz")</f>
        <v>Dr. Javaria Imtiaz</v>
      </c>
    </row>
    <row r="227" spans="1:4">
      <c r="A227" s="1" t="str">
        <f ca="1">IFERROR(__xludf.DUMMYFUNCTION("""COMPUTED_VALUE"""),"F24-227-D-LUCY")</f>
        <v>F24-227-D-LUCY</v>
      </c>
      <c r="B227" s="1" t="str">
        <f ca="1">IFERROR(__xludf.DUMMYFUNCTION("""COMPUTED_VALUE"""),"LUCY - AI-based banking assistant")</f>
        <v>LUCY - AI-based banking assistant</v>
      </c>
      <c r="C227" s="2" t="str">
        <f ca="1">IFERROR(__xludf.DUMMYFUNCTION("""COMPUTED_VALUE"""),"PROJECT: LUCY - AI-based banking assistant		
Objective:
Develop Lucy, an AI-powered virtual assistant for customer-service in the banking industry.
Key features:
-understands urdu and replies in urdu
-Real-time handling of queries
-Reduces bank-staf"&amp;"f workload
-Available 24/7
-no long waiting time for customers
-security verification through security questions
-understand most of dialects
-deal with background noise")</f>
        <v>PROJECT: LUCY - AI-based banking assistant		
Objective:
Develop Lucy, an AI-powered virtual assistant for customer-service in the banking industry.
Key features:
-understands urdu and replies in urdu
-Real-time handling of queries
-Reduces bank-staff workload
-Available 24/7
-no long waiting time for customers
-security verification through security questions
-understand most of dialects
-deal with background noise</v>
      </c>
      <c r="D227" s="1" t="str">
        <f ca="1">IFERROR(__xludf.DUMMYFUNCTION("""COMPUTED_VALUE"""),"Dr. Mehreen Alam")</f>
        <v>Dr. Mehreen Alam</v>
      </c>
    </row>
    <row r="228" spans="1:4">
      <c r="A228" s="1" t="str">
        <f ca="1">IFERROR(__xludf.DUMMYFUNCTION("""COMPUTED_VALUE"""),"F24-228-D-Vision311")</f>
        <v>F24-228-D-Vision311</v>
      </c>
      <c r="B228" s="1" t="str">
        <f ca="1">IFERROR(__xludf.DUMMYFUNCTION("""COMPUTED_VALUE"""),"Vision311:Transforming City Services with AI-Driven Automation")</f>
        <v>Vision311:Transforming City Services with AI-Driven Automation</v>
      </c>
      <c r="C228" s="2" t="str">
        <f ca="1">IFERROR(__xludf.DUMMYFUNCTION("""COMPUTED_VALUE"""),"Project Scope:
	The 311 system is used to facilitate the residents of a city for non-emergency services. The current process relies on the resident submitting a report detailing the type of problem and other relevant details. This has led to misallocation"&amp;" of the resources causing problems for the administration and the public. Vision311 aims to implement a Computer Vision based system that will allow the resident to simply snap a picture and the system will infer the problem and generate a report automati"&amp;"cally.
	It will consist of a mobile app where the resident can register, launch a complaint via the Vision311 system and track his complaints status. The system will also contain an analytics portal for the administration where they can monitor and analyz"&amp;"e all the service requests to make informed, data driven decisions.
The features of our Project are listed below.
1.	The mobile app will facilitate the user to login and launch complaints.
2.	The app will employ state of the art computer vision algorithm"&amp;"s to predict correct problem from the submitted image.
3.	The app will automatically generate a report based on the identified problem.
4.	The app will provide efficient tracking for open service requests.
5.	This app will provide real-time service predic"&amp;"tion improving response time by the city departments.
6.	The analytics dashboard for the authorities will help analyze all the service requests and effectively monitor the parameters of interest for the officials.
7.	It will provide a way for the users to"&amp;" submit their feedback to help improve the city services.
8.	The software project will be scalable and will be able to handle large volume of requests ensuring scalability.
9.	The Computer Vision model will ensure correct problem inference to minimize the"&amp;" misallocation of resources.
")</f>
        <v xml:space="preserve">Project Scope:
	The 311 system is used to facilitate the residents of a city for non-emergency services. The current process relies on the resident submitting a report detailing the type of problem and other relevant details. This has led to misallocation of the resources causing problems for the administration and the public. Vision311 aims to implement a Computer Vision based system that will allow the resident to simply snap a picture and the system will infer the problem and generate a report automatically.
	It will consist of a mobile app where the resident can register, launch a complaint via the Vision311 system and track his complaints status. The system will also contain an analytics portal for the administration where they can monitor and analyze all the service requests to make informed, data driven decisions.
The features of our Project are listed below.
1.	The mobile app will facilitate the user to login and launch complaints.
2.	The app will employ state of the art computer vision algorithms to predict correct problem from the submitted image.
3.	The app will automatically generate a report based on the identified problem.
4.	The app will provide efficient tracking for open service requests.
5.	This app will provide real-time service prediction improving response time by the city departments.
6.	The analytics dashboard for the authorities will help analyze all the service requests and effectively monitor the parameters of interest for the officials.
7.	It will provide a way for the users to submit their feedback to help improve the city services.
8.	The software project will be scalable and will be able to handle large volume of requests ensuring scalability.
9.	The Computer Vision model will ensure correct problem inference to minimize the misallocation of resources.
</v>
      </c>
      <c r="D228" s="1" t="str">
        <f ca="1">IFERROR(__xludf.DUMMYFUNCTION("""COMPUTED_VALUE"""),"Ms. Urooj Ghani")</f>
        <v>Ms. Urooj Ghani</v>
      </c>
    </row>
    <row r="229" spans="1:4">
      <c r="A229" s="1" t="str">
        <f ca="1">IFERROR(__xludf.DUMMYFUNCTION("""COMPUTED_VALUE"""),"F24-229-D-AutoWise")</f>
        <v>F24-229-D-AutoWise</v>
      </c>
      <c r="B229" s="1" t="str">
        <f ca="1">IFERROR(__xludf.DUMMYFUNCTION("""COMPUTED_VALUE"""),"AutoWise")</f>
        <v>AutoWise</v>
      </c>
      <c r="C229" s="2" t="str">
        <f ca="1">IFERROR(__xludf.DUMMYFUNCTION("""COMPUTED_VALUE"""),"An AI-powered solution designed to assist car owners in managing vehicle maintenance and monitoring fuel efficiency &amp; consumption. The app will intergrate machine learning and data analytics to provide personalized maintenance reminders, diagnose potentia"&amp;"l issues, offer insights on fuel consumption and provide optimized routes to user in order to avoid traffic congestions to help user optimize their driving pattern for better fuel efficiency.
Key Features
*Optimized Routes for drivers
*Predictive Diagnos"&amp;"is 
*Fuel Efficiency Monitoring 
*AI-Based Reminders
*Cost Tracking and Optimization 
*Integration with smart devices
*Driving Behavior Analysis 
*Sharing information with people on same route through messages 
*User-friendly Dashboard 
")</f>
        <v xml:space="preserve">An AI-powered solution designed to assist car owners in managing vehicle maintenance and monitoring fuel efficiency &amp; consumption. The app will intergrate machine learning and data analytics to provide personalized maintenance reminders, diagnose potential issues, offer insights on fuel consumption and provide optimized routes to user in order to avoid traffic congestions to help user optimize their driving pattern for better fuel efficiency.
Key Features
*Optimized Routes for drivers
*Predictive Diagnosis 
*Fuel Efficiency Monitoring 
*AI-Based Reminders
*Cost Tracking and Optimization 
*Integration with smart devices
*Driving Behavior Analysis 
*Sharing information with people on same route through messages 
*User-friendly Dashboard 
</v>
      </c>
      <c r="D229" s="1" t="str">
        <f ca="1">IFERROR(__xludf.DUMMYFUNCTION("""COMPUTED_VALUE"""),"Mr. Irfan Ullah")</f>
        <v>Mr. Irfan Ullah</v>
      </c>
    </row>
    <row r="230" spans="1:4">
      <c r="A230" s="1" t="str">
        <f ca="1">IFERROR(__xludf.DUMMYFUNCTION("""COMPUTED_VALUE"""),"F24-230-D-Q-Sec")</f>
        <v>F24-230-D-Q-Sec</v>
      </c>
      <c r="B230" s="1" t="str">
        <f ca="1">IFERROR(__xludf.DUMMYFUNCTION("""COMPUTED_VALUE"""),"Quantum Secure Chat: Leveraging Quantum Key Distribution with AES")</f>
        <v>Quantum Secure Chat: Leveraging Quantum Key Distribution with AES</v>
      </c>
      <c r="C230" s="2" t="str">
        <f ca="1">IFERROR(__xludf.DUMMYFUNCTION("""COMPUTED_VALUE"""),"The scope of this project is to develop a web-based chat application that integrates quantum cryptography to secure communications. The project will employ the BB84 protocol for quantum key distribution combined with AES encryption to safeguard messages a"&amp;"gainst both classical and post quantum threats. This dual approach ensures that the encryption keys are exchanged in an unconditionally secure manner, while the robustness of AES secures the transmission against contemporary attacks.
Key Features:
1.	Qua"&amp;"ntum Key Distribution Module: Implements the BB84 protocol to generate and distribute encryption keys securely between parties.
2.	Encryption Module: Utilizes AES to encrypt and decrypt messages using the keys generated by the QKD module.
3.	User Interfac"&amp;"e Module: A responsive web interface that allows users to send and receive encrypted messages.
4.	Network Communication Module: Manages secure socket connections for real-time message exchange.
5.	Authentication Module: Ensures that only authorized users "&amp;"can access the chat application.
6.	Key Renewal and Rotation Mechanism: Automatically renews and rotates encryption keys after a set period or upon detecting potential threats, minimizing the risk of key compromise.
7.	Key Management and Storage Module: S"&amp;"ecurely stores and manages cryptographic keys, ensuring that they are protected from unauthorized access and potential breaches.")</f>
        <v>The scope of this project is to develop a web-based chat application that integrates quantum cryptography to secure communications. The project will employ the BB84 protocol for quantum key distribution combined with AES encryption to safeguard messages against both classical and post quantum threats. This dual approach ensures that the encryption keys are exchanged in an unconditionally secure manner, while the robustness of AES secures the transmission against contemporary attacks.
Key Features:
1.	Quantum Key Distribution Module: Implements the BB84 protocol to generate and distribute encryption keys securely between parties.
2.	Encryption Module: Utilizes AES to encrypt and decrypt messages using the keys generated by the QKD module.
3.	User Interface Module: A responsive web interface that allows users to send and receive encrypted messages.
4.	Network Communication Module: Manages secure socket connections for real-time message exchange.
5.	Authentication Module: Ensures that only authorized users can access the chat application.
6.	Key Renewal and Rotation Mechanism: Automatically renews and rotates encryption keys after a set period or upon detecting potential threats, minimizing the risk of key compromise.
7.	Key Management and Storage Module: Securely stores and manages cryptographic keys, ensuring that they are protected from unauthorized access and potential breaches.</v>
      </c>
      <c r="D230" s="1" t="str">
        <f ca="1">IFERROR(__xludf.DUMMYFUNCTION("""COMPUTED_VALUE"""),"Mr. Jawad Hassan")</f>
        <v>Mr. Jawad Hassan</v>
      </c>
    </row>
    <row r="231" spans="1:4">
      <c r="A231" s="1"/>
      <c r="B231" s="1"/>
      <c r="C231" s="2"/>
      <c r="D231" s="1"/>
    </row>
    <row r="232" spans="1:4">
      <c r="A232" s="1"/>
      <c r="B232" s="1"/>
      <c r="C232" s="2"/>
      <c r="D232" s="1"/>
    </row>
    <row r="233" spans="1:4">
      <c r="A233" s="1"/>
      <c r="B233" s="1"/>
      <c r="C233" s="2"/>
      <c r="D233" s="1"/>
    </row>
    <row r="234" spans="1:4">
      <c r="A234" s="1"/>
      <c r="B234" s="1"/>
      <c r="C234" s="2"/>
      <c r="D234" s="1"/>
    </row>
    <row r="235" spans="1:4">
      <c r="A235" s="1"/>
      <c r="B235" s="1"/>
      <c r="C235" s="2"/>
      <c r="D235" s="1"/>
    </row>
    <row r="236" spans="1:4">
      <c r="A236" s="1"/>
      <c r="B236" s="1"/>
      <c r="C236" s="2"/>
      <c r="D236" s="1"/>
    </row>
    <row r="237" spans="1:4">
      <c r="A237" s="1"/>
      <c r="B237" s="1"/>
      <c r="C237" s="2"/>
      <c r="D237" s="1"/>
    </row>
    <row r="238" spans="1:4">
      <c r="A238" s="1"/>
      <c r="B238" s="1"/>
      <c r="C238" s="2"/>
      <c r="D238" s="1"/>
    </row>
    <row r="239" spans="1:4">
      <c r="A239" s="1"/>
      <c r="B239" s="1"/>
      <c r="C239" s="2"/>
      <c r="D239" s="1"/>
    </row>
    <row r="240" spans="1:4">
      <c r="A240" s="1"/>
      <c r="B240" s="1"/>
      <c r="C240" s="2"/>
      <c r="D240" s="1"/>
    </row>
    <row r="241" spans="1:4">
      <c r="A241" s="1"/>
      <c r="B241" s="1"/>
      <c r="C241" s="2"/>
      <c r="D241" s="1"/>
    </row>
    <row r="242" spans="1:4">
      <c r="A242" s="1"/>
      <c r="B242" s="1"/>
      <c r="C242" s="2"/>
      <c r="D242" s="1"/>
    </row>
    <row r="243" spans="1:4">
      <c r="A243" s="1"/>
      <c r="B243" s="1"/>
      <c r="C243" s="2"/>
      <c r="D243" s="1"/>
    </row>
    <row r="244" spans="1:4">
      <c r="A244" s="1"/>
      <c r="B244" s="1"/>
      <c r="C244" s="2"/>
      <c r="D244" s="1"/>
    </row>
    <row r="245" spans="1:4">
      <c r="A245" s="1"/>
      <c r="B245" s="1"/>
      <c r="C245" s="2"/>
      <c r="D245" s="1"/>
    </row>
    <row r="246" spans="1:4">
      <c r="A246" s="1"/>
      <c r="B246" s="1"/>
      <c r="C246" s="2"/>
      <c r="D246" s="1"/>
    </row>
    <row r="247" spans="1:4">
      <c r="A247" s="1"/>
      <c r="B247" s="1"/>
      <c r="C247" s="2"/>
      <c r="D247" s="1"/>
    </row>
    <row r="248" spans="1:4">
      <c r="A248" s="1"/>
      <c r="B248" s="1"/>
      <c r="C248" s="2"/>
      <c r="D248" s="1"/>
    </row>
    <row r="249" spans="1:4">
      <c r="A249" s="1"/>
      <c r="B249" s="1"/>
      <c r="C249" s="2"/>
      <c r="D249" s="1"/>
    </row>
    <row r="250" spans="1:4">
      <c r="A250" s="1"/>
      <c r="B250" s="1"/>
      <c r="C250" s="2"/>
      <c r="D250" s="1"/>
    </row>
    <row r="251" spans="1:4">
      <c r="A251" s="1"/>
      <c r="B251" s="1"/>
      <c r="C251" s="2"/>
      <c r="D251" s="1"/>
    </row>
    <row r="252" spans="1:4">
      <c r="A252" s="1"/>
      <c r="B252" s="1"/>
      <c r="C252" s="2"/>
      <c r="D252" s="1"/>
    </row>
    <row r="253" spans="1:4">
      <c r="A253" s="1"/>
      <c r="B253" s="1"/>
      <c r="C253" s="2"/>
      <c r="D253" s="1"/>
    </row>
    <row r="254" spans="1:4">
      <c r="A254" s="1"/>
      <c r="B254" s="1"/>
      <c r="C254" s="2"/>
      <c r="D254" s="1"/>
    </row>
    <row r="255" spans="1:4">
      <c r="A255" s="1"/>
      <c r="B255" s="1"/>
      <c r="C255" s="2"/>
      <c r="D255" s="1"/>
    </row>
    <row r="256" spans="1:4">
      <c r="A256" s="1"/>
      <c r="B256" s="1"/>
      <c r="C256" s="2"/>
      <c r="D256" s="1"/>
    </row>
    <row r="257" spans="1:4">
      <c r="A257" s="1"/>
      <c r="B257" s="1"/>
      <c r="C257" s="2"/>
      <c r="D257" s="1"/>
    </row>
    <row r="258" spans="1:4">
      <c r="A258" s="1"/>
      <c r="B258" s="1"/>
      <c r="C258" s="2"/>
      <c r="D258" s="1"/>
    </row>
    <row r="259" spans="1:4">
      <c r="A259" s="1"/>
      <c r="B259" s="1"/>
      <c r="C259" s="2"/>
      <c r="D259" s="1"/>
    </row>
    <row r="260" spans="1:4">
      <c r="A260" s="1"/>
      <c r="B260" s="1"/>
      <c r="C260" s="2"/>
      <c r="D260" s="1"/>
    </row>
    <row r="261" spans="1:4">
      <c r="A261" s="1"/>
      <c r="B261" s="1"/>
      <c r="C261" s="2"/>
      <c r="D261" s="1"/>
    </row>
    <row r="262" spans="1:4">
      <c r="A262" s="1"/>
      <c r="B262" s="1"/>
      <c r="C262" s="2"/>
      <c r="D262" s="1"/>
    </row>
    <row r="263" spans="1:4">
      <c r="A263" s="1"/>
      <c r="B263" s="1"/>
      <c r="C263" s="2"/>
      <c r="D263" s="1"/>
    </row>
    <row r="264" spans="1:4">
      <c r="A264" s="1"/>
      <c r="B264" s="1"/>
      <c r="C264" s="2"/>
      <c r="D264" s="1"/>
    </row>
    <row r="265" spans="1:4">
      <c r="A265" s="1"/>
      <c r="B265" s="1"/>
      <c r="C265" s="2"/>
      <c r="D265" s="1"/>
    </row>
    <row r="266" spans="1:4">
      <c r="A266" s="1"/>
      <c r="B266" s="1"/>
      <c r="C266" s="2"/>
      <c r="D266" s="1"/>
    </row>
    <row r="267" spans="1:4">
      <c r="A267" s="1"/>
      <c r="B267" s="1"/>
      <c r="C267" s="2"/>
      <c r="D267" s="1"/>
    </row>
    <row r="268" spans="1:4">
      <c r="A268" s="1"/>
      <c r="B268" s="1"/>
      <c r="C268" s="2"/>
      <c r="D268" s="1"/>
    </row>
    <row r="269" spans="1:4">
      <c r="A269" s="1"/>
      <c r="B269" s="1"/>
      <c r="C269" s="2"/>
      <c r="D269" s="1"/>
    </row>
    <row r="270" spans="1:4">
      <c r="A270" s="1"/>
      <c r="B270" s="1"/>
      <c r="C270" s="2"/>
      <c r="D270" s="1"/>
    </row>
    <row r="271" spans="1:4">
      <c r="A271" s="1"/>
      <c r="B271" s="1"/>
      <c r="C271" s="2"/>
      <c r="D271" s="1"/>
    </row>
    <row r="272" spans="1:4">
      <c r="A272" s="1"/>
      <c r="B272" s="1"/>
      <c r="C272" s="2"/>
      <c r="D272" s="1"/>
    </row>
    <row r="273" spans="1:4">
      <c r="A273" s="1"/>
      <c r="B273" s="1"/>
      <c r="C273" s="2"/>
      <c r="D273" s="1"/>
    </row>
    <row r="274" spans="1:4">
      <c r="A274" s="1"/>
      <c r="B274" s="1"/>
      <c r="C274" s="2"/>
      <c r="D274" s="1"/>
    </row>
    <row r="275" spans="1:4">
      <c r="A275" s="1"/>
      <c r="B275" s="1"/>
      <c r="C275" s="2"/>
      <c r="D275" s="1"/>
    </row>
    <row r="276" spans="1:4">
      <c r="A276" s="1"/>
      <c r="B276" s="1"/>
      <c r="C276" s="2"/>
      <c r="D276" s="1"/>
    </row>
    <row r="277" spans="1:4">
      <c r="A277" s="1"/>
      <c r="B277" s="1"/>
      <c r="C277" s="2"/>
      <c r="D277" s="1"/>
    </row>
    <row r="278" spans="1:4">
      <c r="A278" s="1"/>
      <c r="B278" s="1"/>
      <c r="C278" s="2"/>
      <c r="D278" s="1"/>
    </row>
    <row r="279" spans="1:4">
      <c r="A279" s="1"/>
      <c r="B279" s="1"/>
      <c r="C279" s="2"/>
      <c r="D279" s="1"/>
    </row>
    <row r="280" spans="1:4">
      <c r="A280" s="1"/>
      <c r="B280" s="1"/>
      <c r="C280" s="2"/>
      <c r="D280" s="1"/>
    </row>
    <row r="281" spans="1:4">
      <c r="A281" s="1"/>
      <c r="B281" s="1"/>
      <c r="C281" s="2"/>
      <c r="D281" s="1"/>
    </row>
    <row r="282" spans="1:4">
      <c r="A282" s="1"/>
      <c r="B282" s="1"/>
      <c r="C282" s="2"/>
      <c r="D282" s="1"/>
    </row>
    <row r="283" spans="1:4">
      <c r="A283" s="1"/>
      <c r="B283" s="1"/>
      <c r="C283" s="2"/>
      <c r="D283" s="1"/>
    </row>
    <row r="284" spans="1:4">
      <c r="A284" s="1"/>
      <c r="B284" s="1"/>
      <c r="C284" s="2"/>
      <c r="D284" s="1"/>
    </row>
    <row r="285" spans="1:4">
      <c r="A285" s="1"/>
      <c r="B285" s="1"/>
      <c r="C285" s="2"/>
      <c r="D285" s="1"/>
    </row>
    <row r="286" spans="1:4">
      <c r="A286" s="1"/>
      <c r="B286" s="1"/>
      <c r="C286" s="2"/>
      <c r="D286" s="1"/>
    </row>
    <row r="287" spans="1:4">
      <c r="A287" s="1"/>
      <c r="B287" s="1"/>
      <c r="C287" s="2"/>
      <c r="D287" s="1"/>
    </row>
    <row r="288" spans="1:4">
      <c r="A288" s="1"/>
      <c r="B288" s="1"/>
      <c r="C288" s="2"/>
      <c r="D288" s="1"/>
    </row>
    <row r="289" spans="1:4">
      <c r="A289" s="1"/>
      <c r="B289" s="1"/>
      <c r="C289" s="2"/>
      <c r="D289" s="1"/>
    </row>
    <row r="290" spans="1:4">
      <c r="A290" s="1"/>
      <c r="B290" s="1"/>
      <c r="C290" s="2"/>
      <c r="D290" s="1"/>
    </row>
    <row r="291" spans="1:4">
      <c r="A291" s="1"/>
      <c r="B291" s="1"/>
      <c r="C291" s="2"/>
      <c r="D291" s="1"/>
    </row>
    <row r="292" spans="1:4">
      <c r="A292" s="1"/>
      <c r="B292" s="1"/>
      <c r="C292" s="2"/>
      <c r="D292" s="1"/>
    </row>
    <row r="293" spans="1:4">
      <c r="A293" s="1"/>
      <c r="B293" s="1"/>
      <c r="C293" s="2"/>
      <c r="D293" s="1"/>
    </row>
    <row r="294" spans="1:4">
      <c r="A294" s="1"/>
      <c r="B294" s="1"/>
      <c r="C294" s="2"/>
      <c r="D294" s="1"/>
    </row>
    <row r="295" spans="1:4">
      <c r="A295" s="1"/>
      <c r="B295" s="1"/>
      <c r="C295" s="2"/>
      <c r="D295" s="1"/>
    </row>
    <row r="296" spans="1:4">
      <c r="A296" s="1"/>
      <c r="B296" s="1"/>
      <c r="C296" s="2"/>
      <c r="D296" s="1"/>
    </row>
    <row r="297" spans="1:4">
      <c r="A297" s="1"/>
      <c r="B297" s="1"/>
      <c r="C297" s="2"/>
      <c r="D297" s="1"/>
    </row>
    <row r="298" spans="1:4">
      <c r="A298" s="1"/>
      <c r="B298" s="1"/>
      <c r="C298" s="2"/>
      <c r="D298" s="1"/>
    </row>
    <row r="299" spans="1:4">
      <c r="A299" s="1"/>
      <c r="B299" s="1"/>
      <c r="C299" s="2"/>
      <c r="D299" s="1"/>
    </row>
    <row r="300" spans="1:4">
      <c r="A300" s="1"/>
      <c r="B300" s="1"/>
      <c r="C300" s="2"/>
      <c r="D300" s="1"/>
    </row>
    <row r="301" spans="1:4">
      <c r="A301" s="1"/>
      <c r="B301" s="1"/>
      <c r="C301" s="2"/>
      <c r="D301" s="1"/>
    </row>
    <row r="302" spans="1:4">
      <c r="A302" s="1"/>
      <c r="B302" s="1"/>
      <c r="C302" s="2"/>
      <c r="D302" s="1"/>
    </row>
    <row r="303" spans="1:4">
      <c r="A303" s="1"/>
      <c r="B303" s="1"/>
      <c r="C303" s="2"/>
      <c r="D303" s="1"/>
    </row>
    <row r="304" spans="1:4">
      <c r="A304" s="1"/>
      <c r="B304" s="1"/>
      <c r="C304" s="2"/>
      <c r="D304" s="1"/>
    </row>
    <row r="305" spans="1:4">
      <c r="A305" s="1"/>
      <c r="B305" s="1"/>
      <c r="C305" s="2"/>
      <c r="D305" s="1"/>
    </row>
    <row r="306" spans="1:4">
      <c r="A306" s="1"/>
      <c r="B306" s="1"/>
      <c r="C306" s="2"/>
      <c r="D306" s="1"/>
    </row>
    <row r="307" spans="1:4">
      <c r="A307" s="1"/>
      <c r="B307" s="1"/>
      <c r="C307" s="2"/>
      <c r="D307" s="1"/>
    </row>
    <row r="308" spans="1:4">
      <c r="A308" s="1"/>
      <c r="B308" s="1"/>
      <c r="C308" s="2"/>
      <c r="D308" s="1"/>
    </row>
    <row r="309" spans="1:4">
      <c r="A309" s="1"/>
      <c r="B309" s="1"/>
      <c r="C309" s="2"/>
      <c r="D309" s="1"/>
    </row>
    <row r="310" spans="1:4">
      <c r="A310" s="1"/>
      <c r="B310" s="1"/>
      <c r="C310" s="2"/>
      <c r="D310" s="1"/>
    </row>
    <row r="311" spans="1:4">
      <c r="A311" s="1"/>
      <c r="B311" s="1"/>
      <c r="C311" s="2"/>
      <c r="D311" s="1"/>
    </row>
    <row r="312" spans="1:4">
      <c r="A312" s="1"/>
      <c r="B312" s="1"/>
      <c r="C312" s="2"/>
      <c r="D312" s="1"/>
    </row>
    <row r="313" spans="1:4">
      <c r="A313" s="1"/>
      <c r="B313" s="1"/>
      <c r="C313" s="2"/>
      <c r="D313" s="1"/>
    </row>
    <row r="314" spans="1:4">
      <c r="A314" s="1"/>
      <c r="B314" s="1"/>
      <c r="C314" s="2"/>
      <c r="D314" s="1"/>
    </row>
    <row r="315" spans="1:4">
      <c r="A315" s="1"/>
      <c r="B315" s="1"/>
      <c r="C315" s="2"/>
      <c r="D315" s="1"/>
    </row>
    <row r="316" spans="1:4">
      <c r="A316" s="1"/>
      <c r="B316" s="1"/>
      <c r="C316" s="2"/>
      <c r="D316" s="1"/>
    </row>
    <row r="317" spans="1:4">
      <c r="A317" s="1"/>
      <c r="B317" s="1"/>
      <c r="C317" s="2"/>
      <c r="D317" s="1"/>
    </row>
    <row r="318" spans="1:4">
      <c r="A318" s="1"/>
      <c r="B318" s="1"/>
      <c r="C318" s="2"/>
      <c r="D318" s="1"/>
    </row>
    <row r="319" spans="1:4">
      <c r="A319" s="1"/>
      <c r="B319" s="1"/>
      <c r="C319" s="2"/>
      <c r="D319" s="1"/>
    </row>
    <row r="320" spans="1:4">
      <c r="A320" s="1"/>
      <c r="B320" s="1"/>
      <c r="C320" s="2"/>
      <c r="D320" s="1"/>
    </row>
    <row r="321" spans="1:4">
      <c r="A321" s="1"/>
      <c r="B321" s="1"/>
      <c r="C321" s="2"/>
      <c r="D321" s="1"/>
    </row>
    <row r="322" spans="1:4">
      <c r="A322" s="1"/>
      <c r="B322" s="1"/>
      <c r="C322" s="2"/>
      <c r="D322" s="1"/>
    </row>
    <row r="323" spans="1:4">
      <c r="A323" s="1"/>
      <c r="B323" s="1"/>
      <c r="C323" s="2"/>
      <c r="D323" s="1"/>
    </row>
    <row r="324" spans="1:4">
      <c r="A324" s="1"/>
      <c r="B324" s="1"/>
      <c r="C324" s="2"/>
      <c r="D324" s="1"/>
    </row>
    <row r="325" spans="1:4">
      <c r="A325" s="1"/>
      <c r="B325" s="1"/>
      <c r="C325" s="2"/>
      <c r="D325" s="1"/>
    </row>
    <row r="326" spans="1:4">
      <c r="A326" s="1"/>
      <c r="B326" s="1"/>
      <c r="C326" s="2"/>
      <c r="D326" s="1"/>
    </row>
    <row r="327" spans="1:4">
      <c r="A327" s="1"/>
      <c r="B327" s="1"/>
      <c r="C327" s="2"/>
      <c r="D327" s="1"/>
    </row>
    <row r="328" spans="1:4">
      <c r="A328" s="1"/>
      <c r="B328" s="1"/>
      <c r="C328" s="2"/>
      <c r="D328" s="1"/>
    </row>
    <row r="329" spans="1:4">
      <c r="A329" s="1"/>
      <c r="B329" s="1"/>
      <c r="C329" s="2"/>
      <c r="D329" s="1"/>
    </row>
    <row r="330" spans="1:4">
      <c r="A330" s="1"/>
      <c r="B330" s="1"/>
      <c r="C330" s="2"/>
      <c r="D330" s="1"/>
    </row>
    <row r="331" spans="1:4">
      <c r="A331" s="1"/>
      <c r="B331" s="1"/>
      <c r="C331" s="2"/>
      <c r="D331" s="1"/>
    </row>
    <row r="332" spans="1:4">
      <c r="A332" s="1"/>
      <c r="B332" s="1"/>
      <c r="C332" s="2"/>
      <c r="D332" s="1"/>
    </row>
    <row r="333" spans="1:4">
      <c r="A333" s="1"/>
      <c r="B333" s="1"/>
      <c r="C333" s="2"/>
      <c r="D333" s="1"/>
    </row>
    <row r="334" spans="1:4">
      <c r="A334" s="1"/>
      <c r="B334" s="1"/>
      <c r="C334" s="2"/>
      <c r="D334" s="1"/>
    </row>
    <row r="335" spans="1:4">
      <c r="A335" s="1"/>
      <c r="B335" s="1"/>
      <c r="C335" s="2"/>
      <c r="D335" s="1"/>
    </row>
    <row r="336" spans="1:4">
      <c r="A336" s="1"/>
      <c r="B336" s="1"/>
      <c r="C336" s="2"/>
      <c r="D336" s="1"/>
    </row>
    <row r="337" spans="1:4">
      <c r="A337" s="1"/>
      <c r="B337" s="1"/>
      <c r="C337" s="2"/>
      <c r="D337" s="1"/>
    </row>
    <row r="338" spans="1:4">
      <c r="A338" s="1"/>
      <c r="B338" s="1"/>
      <c r="C338" s="2"/>
      <c r="D338" s="1"/>
    </row>
    <row r="339" spans="1:4">
      <c r="A339" s="1"/>
      <c r="B339" s="1"/>
      <c r="C339" s="2"/>
      <c r="D339" s="1"/>
    </row>
    <row r="340" spans="1:4">
      <c r="A340" s="1"/>
      <c r="B340" s="1"/>
      <c r="C340" s="2"/>
      <c r="D340" s="1"/>
    </row>
    <row r="341" spans="1:4">
      <c r="A341" s="1"/>
      <c r="B341" s="1"/>
      <c r="C341" s="2"/>
      <c r="D341" s="1"/>
    </row>
    <row r="342" spans="1:4">
      <c r="A342" s="1"/>
      <c r="B342" s="1"/>
      <c r="C342" s="2"/>
      <c r="D342" s="1"/>
    </row>
    <row r="343" spans="1:4">
      <c r="A343" s="1"/>
      <c r="B343" s="1"/>
      <c r="C343" s="2"/>
      <c r="D343" s="1"/>
    </row>
    <row r="344" spans="1:4">
      <c r="A344" s="1"/>
      <c r="B344" s="1"/>
      <c r="C344" s="2"/>
      <c r="D344" s="1"/>
    </row>
    <row r="345" spans="1:4">
      <c r="A345" s="1"/>
      <c r="B345" s="1"/>
      <c r="C345" s="2"/>
      <c r="D345" s="1"/>
    </row>
    <row r="346" spans="1:4">
      <c r="A346" s="1"/>
      <c r="B346" s="1"/>
      <c r="C346" s="2"/>
      <c r="D346" s="1"/>
    </row>
    <row r="347" spans="1:4">
      <c r="A347" s="1"/>
      <c r="B347" s="1"/>
      <c r="C347" s="2"/>
      <c r="D347" s="1"/>
    </row>
    <row r="348" spans="1:4">
      <c r="A348" s="1"/>
      <c r="B348" s="1"/>
      <c r="C348" s="2"/>
      <c r="D348" s="1"/>
    </row>
    <row r="349" spans="1:4">
      <c r="A349" s="1"/>
      <c r="B349" s="1"/>
      <c r="C349" s="2"/>
      <c r="D349" s="1"/>
    </row>
    <row r="350" spans="1:4">
      <c r="A350" s="1"/>
      <c r="B350" s="1"/>
      <c r="C350" s="2"/>
      <c r="D350" s="1"/>
    </row>
    <row r="351" spans="1:4">
      <c r="A351" s="1"/>
      <c r="B351" s="1"/>
      <c r="C351" s="2"/>
      <c r="D351" s="1"/>
    </row>
    <row r="352" spans="1:4">
      <c r="A352" s="1"/>
      <c r="B352" s="1"/>
      <c r="C352" s="2"/>
      <c r="D352" s="1"/>
    </row>
    <row r="353" spans="1:4">
      <c r="A353" s="1"/>
      <c r="B353" s="1"/>
      <c r="C353" s="2"/>
      <c r="D353" s="1"/>
    </row>
    <row r="354" spans="1:4">
      <c r="A354" s="1"/>
      <c r="B354" s="1"/>
      <c r="C354" s="2"/>
      <c r="D354" s="1"/>
    </row>
    <row r="355" spans="1:4">
      <c r="A355" s="1"/>
      <c r="B355" s="1"/>
      <c r="C355" s="2"/>
      <c r="D355" s="1"/>
    </row>
    <row r="356" spans="1:4">
      <c r="A356" s="1"/>
      <c r="B356" s="1"/>
      <c r="C356" s="2"/>
      <c r="D356" s="1"/>
    </row>
    <row r="357" spans="1:4">
      <c r="A357" s="1"/>
      <c r="B357" s="1"/>
      <c r="C357" s="2"/>
      <c r="D357" s="1"/>
    </row>
    <row r="358" spans="1:4">
      <c r="A358" s="1"/>
      <c r="B358" s="1"/>
      <c r="C358" s="2"/>
      <c r="D358" s="1"/>
    </row>
    <row r="359" spans="1:4">
      <c r="A359" s="1"/>
      <c r="B359" s="1"/>
      <c r="C359" s="2"/>
      <c r="D359" s="1"/>
    </row>
    <row r="360" spans="1:4">
      <c r="A360" s="1"/>
      <c r="B360" s="1"/>
      <c r="C360" s="2"/>
      <c r="D360" s="1"/>
    </row>
    <row r="361" spans="1:4">
      <c r="A361" s="1"/>
      <c r="B361" s="1"/>
      <c r="C361" s="2"/>
      <c r="D361" s="1"/>
    </row>
    <row r="362" spans="1:4">
      <c r="A362" s="1"/>
      <c r="B362" s="1"/>
      <c r="C362" s="2"/>
      <c r="D362" s="1"/>
    </row>
    <row r="363" spans="1:4">
      <c r="A363" s="1"/>
      <c r="B363" s="1"/>
      <c r="C363" s="2"/>
      <c r="D363" s="1"/>
    </row>
    <row r="364" spans="1:4">
      <c r="A364" s="1"/>
      <c r="B364" s="1"/>
      <c r="C364" s="2"/>
      <c r="D364" s="1"/>
    </row>
    <row r="365" spans="1:4">
      <c r="A365" s="1"/>
      <c r="B365" s="1"/>
      <c r="C365" s="2"/>
      <c r="D365" s="1"/>
    </row>
    <row r="366" spans="1:4">
      <c r="A366" s="1"/>
      <c r="B366" s="1"/>
      <c r="C366" s="2"/>
      <c r="D366" s="1"/>
    </row>
    <row r="367" spans="1:4">
      <c r="A367" s="1"/>
      <c r="B367" s="1"/>
      <c r="C367" s="2"/>
      <c r="D367" s="1"/>
    </row>
    <row r="368" spans="1:4">
      <c r="A368" s="1"/>
      <c r="B368" s="1"/>
      <c r="C368" s="2"/>
      <c r="D368" s="1"/>
    </row>
    <row r="369" spans="1:4">
      <c r="A369" s="1"/>
      <c r="B369" s="1"/>
      <c r="C369" s="2"/>
      <c r="D369" s="1"/>
    </row>
    <row r="370" spans="1:4">
      <c r="A370" s="1"/>
      <c r="B370" s="1"/>
      <c r="C370" s="2"/>
      <c r="D370" s="1"/>
    </row>
    <row r="371" spans="1:4">
      <c r="A371" s="1"/>
      <c r="B371" s="1"/>
      <c r="C371" s="2"/>
      <c r="D371" s="1"/>
    </row>
    <row r="372" spans="1:4">
      <c r="A372" s="1"/>
      <c r="B372" s="1"/>
      <c r="C372" s="2"/>
      <c r="D372" s="1"/>
    </row>
    <row r="373" spans="1:4">
      <c r="A373" s="1"/>
      <c r="B373" s="1"/>
      <c r="C373" s="2"/>
      <c r="D373" s="1"/>
    </row>
    <row r="374" spans="1:4">
      <c r="A374" s="1"/>
      <c r="B374" s="1"/>
      <c r="C374" s="2"/>
      <c r="D374" s="1"/>
    </row>
    <row r="375" spans="1:4">
      <c r="A375" s="1"/>
      <c r="B375" s="1"/>
      <c r="C375" s="2"/>
      <c r="D375" s="1"/>
    </row>
    <row r="376" spans="1:4">
      <c r="A376" s="1"/>
      <c r="B376" s="1"/>
      <c r="C376" s="2"/>
      <c r="D376" s="1"/>
    </row>
    <row r="377" spans="1:4">
      <c r="A377" s="1"/>
      <c r="B377" s="1"/>
      <c r="C377" s="2"/>
      <c r="D377" s="1"/>
    </row>
    <row r="378" spans="1:4">
      <c r="A378" s="1"/>
      <c r="B378" s="1"/>
      <c r="C378" s="2"/>
      <c r="D378" s="1"/>
    </row>
    <row r="379" spans="1:4">
      <c r="A379" s="1"/>
      <c r="B379" s="1"/>
      <c r="C379" s="2"/>
      <c r="D379" s="1"/>
    </row>
    <row r="380" spans="1:4">
      <c r="A380" s="1"/>
      <c r="B380" s="1"/>
      <c r="C380" s="2"/>
      <c r="D380" s="1"/>
    </row>
    <row r="381" spans="1:4">
      <c r="A381" s="1"/>
      <c r="B381" s="1"/>
      <c r="C381" s="2"/>
      <c r="D381" s="1"/>
    </row>
    <row r="382" spans="1:4">
      <c r="A382" s="1"/>
      <c r="B382" s="1"/>
      <c r="C382" s="2"/>
      <c r="D382" s="1"/>
    </row>
    <row r="383" spans="1:4">
      <c r="A383" s="1"/>
      <c r="B383" s="1"/>
      <c r="C383" s="2"/>
      <c r="D383" s="1"/>
    </row>
    <row r="384" spans="1:4">
      <c r="A384" s="1"/>
      <c r="B384" s="1"/>
      <c r="C384" s="2"/>
      <c r="D384" s="1"/>
    </row>
    <row r="385" spans="1:4">
      <c r="A385" s="1"/>
      <c r="B385" s="1"/>
      <c r="C385" s="2"/>
      <c r="D385" s="1"/>
    </row>
    <row r="386" spans="1:4">
      <c r="A386" s="1"/>
      <c r="B386" s="1"/>
      <c r="C386" s="2"/>
      <c r="D386" s="1"/>
    </row>
    <row r="387" spans="1:4">
      <c r="A387" s="1"/>
      <c r="B387" s="1"/>
      <c r="C387" s="2"/>
      <c r="D387" s="1"/>
    </row>
    <row r="388" spans="1:4">
      <c r="A388" s="1"/>
      <c r="B388" s="1"/>
      <c r="C388" s="2"/>
      <c r="D388" s="1"/>
    </row>
    <row r="389" spans="1:4">
      <c r="A389" s="1"/>
      <c r="B389" s="1"/>
      <c r="C389" s="2"/>
      <c r="D389" s="1"/>
    </row>
    <row r="390" spans="1:4">
      <c r="A390" s="1"/>
      <c r="B390" s="1"/>
      <c r="C390" s="2"/>
      <c r="D390" s="1"/>
    </row>
    <row r="391" spans="1:4">
      <c r="A391" s="1"/>
      <c r="B391" s="1"/>
      <c r="C391" s="2"/>
      <c r="D391" s="1"/>
    </row>
    <row r="392" spans="1:4">
      <c r="A392" s="1"/>
      <c r="B392" s="1"/>
      <c r="C392" s="2"/>
      <c r="D392" s="1"/>
    </row>
    <row r="393" spans="1:4">
      <c r="A393" s="1"/>
      <c r="B393" s="1"/>
      <c r="C393" s="2"/>
      <c r="D393" s="1"/>
    </row>
    <row r="394" spans="1:4">
      <c r="A394" s="1"/>
      <c r="B394" s="1"/>
      <c r="C394" s="2"/>
      <c r="D394" s="1"/>
    </row>
    <row r="395" spans="1:4">
      <c r="A395" s="1"/>
      <c r="B395" s="1"/>
      <c r="C395" s="2"/>
      <c r="D395" s="1"/>
    </row>
    <row r="396" spans="1:4">
      <c r="A396" s="1"/>
      <c r="B396" s="1"/>
      <c r="C396" s="2"/>
      <c r="D396" s="1"/>
    </row>
    <row r="397" spans="1:4">
      <c r="A397" s="1"/>
      <c r="B397" s="1"/>
      <c r="C397" s="2"/>
      <c r="D397" s="1"/>
    </row>
    <row r="398" spans="1:4">
      <c r="A398" s="1"/>
      <c r="B398" s="1"/>
      <c r="C398" s="2"/>
      <c r="D398" s="1"/>
    </row>
    <row r="399" spans="1:4">
      <c r="A399" s="1"/>
      <c r="B399" s="1"/>
      <c r="C399" s="2"/>
      <c r="D399" s="1"/>
    </row>
    <row r="400" spans="1:4">
      <c r="A400" s="1"/>
      <c r="B400" s="1"/>
      <c r="C400" s="2"/>
      <c r="D400" s="1"/>
    </row>
    <row r="401" spans="1:4">
      <c r="A401" s="1"/>
      <c r="B401" s="1"/>
      <c r="C401" s="2"/>
      <c r="D401" s="1"/>
    </row>
    <row r="402" spans="1:4">
      <c r="A402" s="1"/>
      <c r="B402" s="1"/>
      <c r="C402" s="2"/>
      <c r="D402" s="1"/>
    </row>
    <row r="403" spans="1:4">
      <c r="A403" s="1"/>
      <c r="B403" s="1"/>
      <c r="C403" s="2"/>
      <c r="D403" s="1"/>
    </row>
    <row r="404" spans="1:4">
      <c r="A404" s="1"/>
      <c r="B404" s="1"/>
      <c r="C404" s="2"/>
      <c r="D404" s="1"/>
    </row>
    <row r="405" spans="1:4">
      <c r="A405" s="1"/>
      <c r="B405" s="1"/>
      <c r="C405" s="2"/>
      <c r="D405" s="1"/>
    </row>
    <row r="406" spans="1:4">
      <c r="A406" s="1"/>
      <c r="B406" s="1"/>
      <c r="C406" s="2"/>
      <c r="D406" s="1"/>
    </row>
    <row r="407" spans="1:4">
      <c r="A407" s="1"/>
      <c r="B407" s="1"/>
      <c r="C407" s="2"/>
      <c r="D407" s="1"/>
    </row>
    <row r="408" spans="1:4">
      <c r="A408" s="1"/>
      <c r="B408" s="1"/>
      <c r="C408" s="2"/>
      <c r="D408" s="1"/>
    </row>
    <row r="409" spans="1:4">
      <c r="A409" s="1"/>
      <c r="B409" s="1"/>
      <c r="C409" s="2"/>
      <c r="D409" s="1"/>
    </row>
    <row r="410" spans="1:4">
      <c r="A410" s="1"/>
      <c r="B410" s="1"/>
      <c r="C410" s="2"/>
      <c r="D410" s="1"/>
    </row>
    <row r="411" spans="1:4">
      <c r="A411" s="1"/>
      <c r="B411" s="1"/>
      <c r="C411" s="2"/>
      <c r="D411" s="1"/>
    </row>
    <row r="412" spans="1:4">
      <c r="A412" s="1"/>
      <c r="B412" s="1"/>
      <c r="C412" s="2"/>
      <c r="D412" s="1"/>
    </row>
    <row r="413" spans="1:4">
      <c r="A413" s="1"/>
      <c r="B413" s="1"/>
      <c r="C413" s="2"/>
      <c r="D413" s="1"/>
    </row>
    <row r="414" spans="1:4">
      <c r="A414" s="1"/>
      <c r="B414" s="1"/>
      <c r="C414" s="2"/>
      <c r="D414" s="1"/>
    </row>
    <row r="415" spans="1:4">
      <c r="A415" s="1"/>
      <c r="B415" s="1"/>
      <c r="C415" s="2"/>
      <c r="D415" s="1"/>
    </row>
    <row r="416" spans="1:4">
      <c r="A416" s="1"/>
      <c r="B416" s="1"/>
      <c r="C416" s="2"/>
      <c r="D416" s="1"/>
    </row>
    <row r="417" spans="1:4">
      <c r="A417" s="1"/>
      <c r="B417" s="1"/>
      <c r="C417" s="2"/>
      <c r="D417" s="1"/>
    </row>
    <row r="418" spans="1:4">
      <c r="A418" s="1"/>
      <c r="B418" s="1"/>
      <c r="C418" s="2"/>
      <c r="D418" s="1"/>
    </row>
    <row r="419" spans="1:4">
      <c r="A419" s="1"/>
      <c r="B419" s="1"/>
      <c r="C419" s="2"/>
      <c r="D419" s="1"/>
    </row>
    <row r="420" spans="1:4">
      <c r="A420" s="1"/>
      <c r="B420" s="1"/>
      <c r="C420" s="2"/>
      <c r="D420" s="1"/>
    </row>
    <row r="421" spans="1:4">
      <c r="A421" s="1"/>
      <c r="B421" s="1"/>
      <c r="C421" s="2"/>
      <c r="D421" s="1"/>
    </row>
    <row r="422" spans="1:4">
      <c r="A422" s="1"/>
      <c r="B422" s="1"/>
      <c r="C422" s="2"/>
      <c r="D422" s="1"/>
    </row>
    <row r="423" spans="1:4">
      <c r="A423" s="1"/>
      <c r="B423" s="1"/>
      <c r="C423" s="2"/>
      <c r="D423" s="1"/>
    </row>
    <row r="424" spans="1:4">
      <c r="A424" s="1"/>
      <c r="B424" s="1"/>
      <c r="C424" s="2"/>
      <c r="D424" s="1"/>
    </row>
    <row r="425" spans="1:4">
      <c r="A425" s="1"/>
      <c r="B425" s="1"/>
      <c r="C425" s="2"/>
      <c r="D425" s="1"/>
    </row>
    <row r="426" spans="1:4">
      <c r="A426" s="1"/>
      <c r="B426" s="1"/>
      <c r="C426" s="2"/>
      <c r="D426" s="1"/>
    </row>
    <row r="427" spans="1:4">
      <c r="A427" s="1"/>
      <c r="B427" s="1"/>
      <c r="C427" s="2"/>
      <c r="D427" s="1"/>
    </row>
    <row r="428" spans="1:4">
      <c r="A428" s="1"/>
      <c r="B428" s="1"/>
      <c r="C428" s="2"/>
      <c r="D428" s="1"/>
    </row>
    <row r="429" spans="1:4">
      <c r="A429" s="1"/>
      <c r="B429" s="1"/>
      <c r="C429" s="2"/>
      <c r="D429" s="1"/>
    </row>
    <row r="430" spans="1:4">
      <c r="A430" s="1"/>
      <c r="B430" s="1"/>
      <c r="C430" s="2"/>
      <c r="D430" s="1"/>
    </row>
    <row r="431" spans="1:4">
      <c r="A431" s="1"/>
      <c r="B431" s="1"/>
      <c r="C431" s="2"/>
      <c r="D431" s="1"/>
    </row>
    <row r="432" spans="1:4">
      <c r="A432" s="1"/>
      <c r="B432" s="1"/>
      <c r="C432" s="2"/>
      <c r="D432" s="1"/>
    </row>
    <row r="433" spans="1:4">
      <c r="A433" s="1"/>
      <c r="B433" s="1"/>
      <c r="C433" s="2"/>
      <c r="D433" s="1"/>
    </row>
    <row r="434" spans="1:4">
      <c r="A434" s="1"/>
      <c r="B434" s="1"/>
      <c r="C434" s="2"/>
      <c r="D434" s="1"/>
    </row>
    <row r="435" spans="1:4">
      <c r="A435" s="1"/>
      <c r="B435" s="1"/>
      <c r="C435" s="2"/>
      <c r="D435" s="1"/>
    </row>
    <row r="436" spans="1:4">
      <c r="A436" s="1"/>
      <c r="B436" s="1"/>
      <c r="C436" s="2"/>
      <c r="D436" s="1"/>
    </row>
    <row r="437" spans="1:4">
      <c r="A437" s="1"/>
      <c r="B437" s="1"/>
      <c r="C437" s="2"/>
      <c r="D437" s="1"/>
    </row>
    <row r="438" spans="1:4">
      <c r="A438" s="1"/>
      <c r="B438" s="1"/>
      <c r="C438" s="2"/>
      <c r="D438" s="1"/>
    </row>
    <row r="439" spans="1:4">
      <c r="A439" s="1"/>
      <c r="B439" s="1"/>
      <c r="C439" s="2"/>
      <c r="D439" s="1"/>
    </row>
    <row r="440" spans="1:4">
      <c r="A440" s="1"/>
      <c r="B440" s="1"/>
      <c r="C440" s="2"/>
      <c r="D440" s="1"/>
    </row>
    <row r="441" spans="1:4">
      <c r="A441" s="1"/>
      <c r="B441" s="1"/>
      <c r="C441" s="2"/>
      <c r="D441" s="1"/>
    </row>
    <row r="442" spans="1:4">
      <c r="A442" s="1"/>
      <c r="B442" s="1"/>
      <c r="C442" s="2"/>
      <c r="D442" s="1"/>
    </row>
    <row r="443" spans="1:4">
      <c r="A443" s="1"/>
      <c r="B443" s="1"/>
      <c r="C443" s="2"/>
      <c r="D443" s="1"/>
    </row>
    <row r="444" spans="1:4">
      <c r="A444" s="1"/>
      <c r="B444" s="1"/>
      <c r="C444" s="2"/>
      <c r="D444" s="1"/>
    </row>
    <row r="445" spans="1:4">
      <c r="A445" s="1"/>
      <c r="B445" s="1"/>
      <c r="C445" s="2"/>
      <c r="D445" s="1"/>
    </row>
    <row r="446" spans="1:4">
      <c r="A446" s="1"/>
      <c r="B446" s="1"/>
      <c r="C446" s="2"/>
      <c r="D446" s="1"/>
    </row>
    <row r="447" spans="1:4">
      <c r="A447" s="1"/>
      <c r="B447" s="1"/>
      <c r="C447" s="2"/>
      <c r="D447" s="1"/>
    </row>
    <row r="448" spans="1:4">
      <c r="A448" s="1"/>
      <c r="B448" s="1"/>
      <c r="C448" s="2"/>
      <c r="D448" s="1"/>
    </row>
    <row r="449" spans="1:4">
      <c r="A449" s="1"/>
      <c r="B449" s="1"/>
      <c r="C449" s="2"/>
      <c r="D449" s="1"/>
    </row>
    <row r="450" spans="1:4">
      <c r="A450" s="1"/>
      <c r="B450" s="1"/>
      <c r="C450" s="2"/>
      <c r="D450" s="1"/>
    </row>
    <row r="451" spans="1:4">
      <c r="A451" s="1"/>
      <c r="B451" s="1"/>
      <c r="C451" s="2"/>
      <c r="D451" s="1"/>
    </row>
    <row r="452" spans="1:4">
      <c r="A452" s="1"/>
      <c r="B452" s="1"/>
      <c r="C452" s="2"/>
      <c r="D452" s="1"/>
    </row>
    <row r="453" spans="1:4">
      <c r="A453" s="1"/>
      <c r="B453" s="1"/>
      <c r="C453" s="2"/>
      <c r="D453" s="1"/>
    </row>
    <row r="454" spans="1:4">
      <c r="A454" s="1"/>
      <c r="B454" s="1"/>
      <c r="C454" s="2"/>
      <c r="D454" s="1"/>
    </row>
    <row r="455" spans="1:4">
      <c r="A455" s="1"/>
      <c r="B455" s="1"/>
      <c r="C455" s="2"/>
      <c r="D455" s="1"/>
    </row>
    <row r="456" spans="1:4">
      <c r="A456" s="1"/>
      <c r="B456" s="1"/>
      <c r="C456" s="2"/>
      <c r="D456" s="1"/>
    </row>
    <row r="457" spans="1:4">
      <c r="A457" s="1"/>
      <c r="B457" s="1"/>
      <c r="C457" s="2"/>
      <c r="D457" s="1"/>
    </row>
    <row r="458" spans="1:4">
      <c r="A458" s="1"/>
      <c r="B458" s="1"/>
      <c r="C458" s="2"/>
      <c r="D458" s="1"/>
    </row>
    <row r="459" spans="1:4">
      <c r="A459" s="1"/>
      <c r="B459" s="1"/>
      <c r="C459" s="2"/>
      <c r="D459" s="1"/>
    </row>
    <row r="460" spans="1:4">
      <c r="A460" s="1"/>
      <c r="B460" s="1"/>
      <c r="C460" s="2"/>
      <c r="D460" s="1"/>
    </row>
    <row r="461" spans="1:4">
      <c r="A461" s="1"/>
      <c r="B461" s="1"/>
      <c r="C461" s="2"/>
      <c r="D461" s="1"/>
    </row>
    <row r="462" spans="1:4">
      <c r="A462" s="1"/>
      <c r="B462" s="1"/>
      <c r="C462" s="2"/>
      <c r="D462" s="1"/>
    </row>
    <row r="463" spans="1:4">
      <c r="A463" s="1"/>
      <c r="B463" s="1"/>
      <c r="C463" s="2"/>
      <c r="D463" s="1"/>
    </row>
    <row r="464" spans="1:4">
      <c r="A464" s="1"/>
      <c r="B464" s="1"/>
      <c r="C464" s="2"/>
      <c r="D464" s="1"/>
    </row>
    <row r="465" spans="1:4">
      <c r="A465" s="1"/>
      <c r="B465" s="1"/>
      <c r="C465" s="2"/>
      <c r="D465" s="1"/>
    </row>
    <row r="466" spans="1:4">
      <c r="A466" s="1"/>
      <c r="B466" s="1"/>
      <c r="C466" s="2"/>
      <c r="D466" s="1"/>
    </row>
    <row r="467" spans="1:4">
      <c r="A467" s="1"/>
      <c r="B467" s="1"/>
      <c r="C467" s="2"/>
      <c r="D467" s="1"/>
    </row>
    <row r="468" spans="1:4">
      <c r="A468" s="1"/>
      <c r="B468" s="1"/>
      <c r="C468" s="2"/>
      <c r="D468" s="1"/>
    </row>
    <row r="469" spans="1:4">
      <c r="A469" s="1"/>
      <c r="B469" s="1"/>
      <c r="C469" s="2"/>
      <c r="D469" s="1"/>
    </row>
    <row r="470" spans="1:4">
      <c r="A470" s="1"/>
      <c r="B470" s="1"/>
      <c r="C470" s="2"/>
      <c r="D470" s="1"/>
    </row>
    <row r="471" spans="1:4">
      <c r="A471" s="1"/>
      <c r="B471" s="1"/>
      <c r="C471" s="2"/>
      <c r="D471" s="1"/>
    </row>
    <row r="472" spans="1:4">
      <c r="A472" s="1"/>
      <c r="B472" s="1"/>
      <c r="C472" s="2"/>
      <c r="D472" s="1"/>
    </row>
    <row r="473" spans="1:4">
      <c r="A473" s="1"/>
      <c r="B473" s="1"/>
      <c r="C473" s="2"/>
      <c r="D473" s="1"/>
    </row>
    <row r="474" spans="1:4">
      <c r="A474" s="1"/>
      <c r="B474" s="1"/>
      <c r="C474" s="2"/>
      <c r="D474" s="1"/>
    </row>
    <row r="475" spans="1:4">
      <c r="A475" s="1"/>
      <c r="B475" s="1"/>
      <c r="C475" s="2"/>
      <c r="D475" s="1"/>
    </row>
    <row r="476" spans="1:4">
      <c r="A476" s="1"/>
      <c r="B476" s="1"/>
      <c r="C476" s="2"/>
      <c r="D476" s="1"/>
    </row>
    <row r="477" spans="1:4">
      <c r="A477" s="1"/>
      <c r="B477" s="1"/>
      <c r="C477" s="2"/>
      <c r="D477" s="1"/>
    </row>
    <row r="478" spans="1:4">
      <c r="A478" s="1"/>
      <c r="B478" s="1"/>
      <c r="C478" s="2"/>
      <c r="D478" s="1"/>
    </row>
    <row r="479" spans="1:4">
      <c r="A479" s="1"/>
      <c r="B479" s="1"/>
      <c r="C479" s="2"/>
      <c r="D479" s="1"/>
    </row>
    <row r="480" spans="1:4">
      <c r="A480" s="1"/>
      <c r="B480" s="1"/>
      <c r="C480" s="2"/>
      <c r="D480" s="1"/>
    </row>
    <row r="481" spans="1:4">
      <c r="A481" s="1"/>
      <c r="B481" s="1"/>
      <c r="C481" s="2"/>
      <c r="D481" s="1"/>
    </row>
    <row r="482" spans="1:4">
      <c r="A482" s="1"/>
      <c r="B482" s="1"/>
      <c r="C482" s="2"/>
      <c r="D482" s="1"/>
    </row>
    <row r="483" spans="1:4">
      <c r="A483" s="1"/>
      <c r="B483" s="1"/>
      <c r="C483" s="2"/>
      <c r="D483" s="1"/>
    </row>
    <row r="484" spans="1:4">
      <c r="A484" s="1"/>
      <c r="B484" s="1"/>
      <c r="C484" s="2"/>
      <c r="D484" s="1"/>
    </row>
    <row r="485" spans="1:4">
      <c r="A485" s="1"/>
      <c r="B485" s="1"/>
      <c r="C485" s="2"/>
      <c r="D485" s="1"/>
    </row>
    <row r="486" spans="1:4">
      <c r="A486" s="1"/>
      <c r="B486" s="1"/>
      <c r="C486" s="2"/>
      <c r="D486" s="1"/>
    </row>
    <row r="487" spans="1:4">
      <c r="A487" s="1"/>
      <c r="B487" s="1"/>
      <c r="C487" s="2"/>
      <c r="D487" s="1"/>
    </row>
    <row r="488" spans="1:4">
      <c r="A488" s="1"/>
      <c r="B488" s="1"/>
      <c r="C488" s="2"/>
      <c r="D488" s="1"/>
    </row>
    <row r="489" spans="1:4">
      <c r="A489" s="1"/>
      <c r="B489" s="1"/>
      <c r="C489" s="2"/>
      <c r="D489" s="1"/>
    </row>
    <row r="490" spans="1:4">
      <c r="A490" s="1"/>
      <c r="B490" s="1"/>
      <c r="C490" s="2"/>
      <c r="D490" s="1"/>
    </row>
    <row r="491" spans="1:4">
      <c r="A491" s="1"/>
      <c r="B491" s="1"/>
      <c r="C491" s="2"/>
      <c r="D491" s="1"/>
    </row>
    <row r="492" spans="1:4">
      <c r="A492" s="1"/>
      <c r="B492" s="1"/>
      <c r="C492" s="2"/>
      <c r="D492" s="1"/>
    </row>
    <row r="493" spans="1:4">
      <c r="A493" s="1"/>
      <c r="B493" s="1"/>
      <c r="C493" s="2"/>
      <c r="D493" s="1"/>
    </row>
    <row r="494" spans="1:4">
      <c r="A494" s="1"/>
      <c r="B494" s="1"/>
      <c r="C494" s="2"/>
      <c r="D494" s="1"/>
    </row>
    <row r="495" spans="1:4">
      <c r="A495" s="1"/>
      <c r="B495" s="1"/>
      <c r="C495" s="2"/>
      <c r="D495" s="1"/>
    </row>
    <row r="496" spans="1:4">
      <c r="A496" s="1"/>
      <c r="B496" s="1"/>
      <c r="C496" s="2"/>
      <c r="D496" s="1"/>
    </row>
    <row r="497" spans="1:4">
      <c r="A497" s="1"/>
      <c r="B497" s="1"/>
      <c r="C497" s="2"/>
      <c r="D497" s="1"/>
    </row>
    <row r="498" spans="1:4">
      <c r="A498" s="1"/>
      <c r="B498" s="1"/>
      <c r="C498" s="2"/>
      <c r="D498" s="1"/>
    </row>
    <row r="499" spans="1:4">
      <c r="A499" s="1"/>
      <c r="B499" s="1"/>
      <c r="C499" s="2"/>
      <c r="D499" s="1"/>
    </row>
    <row r="500" spans="1:4">
      <c r="A500" s="1"/>
      <c r="B500" s="1"/>
      <c r="C500" s="2"/>
      <c r="D500" s="1"/>
    </row>
    <row r="501" spans="1:4">
      <c r="A501" s="1"/>
      <c r="B501" s="1"/>
      <c r="C501" s="2"/>
      <c r="D501" s="1"/>
    </row>
    <row r="502" spans="1:4">
      <c r="A502" s="1"/>
      <c r="B502" s="1"/>
      <c r="C502" s="2"/>
      <c r="D502" s="1"/>
    </row>
    <row r="503" spans="1:4">
      <c r="A503" s="1"/>
      <c r="B503" s="1"/>
      <c r="C503" s="2"/>
      <c r="D503" s="1"/>
    </row>
    <row r="504" spans="1:4">
      <c r="A504" s="1"/>
      <c r="B504" s="1"/>
      <c r="C504" s="2"/>
      <c r="D504" s="1"/>
    </row>
    <row r="505" spans="1:4">
      <c r="A505" s="1"/>
      <c r="B505" s="1"/>
      <c r="C505" s="2"/>
      <c r="D505" s="1"/>
    </row>
    <row r="506" spans="1:4">
      <c r="A506" s="1"/>
      <c r="B506" s="1"/>
      <c r="C506" s="2"/>
      <c r="D506" s="1"/>
    </row>
    <row r="507" spans="1:4">
      <c r="A507" s="1"/>
      <c r="B507" s="1"/>
      <c r="C507" s="2"/>
      <c r="D507" s="1"/>
    </row>
    <row r="508" spans="1:4">
      <c r="A508" s="1"/>
      <c r="B508" s="1"/>
      <c r="C508" s="2"/>
      <c r="D508" s="1"/>
    </row>
    <row r="509" spans="1:4">
      <c r="A509" s="1"/>
      <c r="B509" s="1"/>
      <c r="C509" s="2"/>
      <c r="D509" s="1"/>
    </row>
    <row r="510" spans="1:4">
      <c r="A510" s="1"/>
      <c r="B510" s="1"/>
      <c r="C510" s="2"/>
      <c r="D510" s="1"/>
    </row>
    <row r="511" spans="1:4">
      <c r="A511" s="1"/>
      <c r="B511" s="1"/>
      <c r="C511" s="2"/>
      <c r="D511" s="1"/>
    </row>
    <row r="512" spans="1:4">
      <c r="A512" s="1"/>
      <c r="B512" s="1"/>
      <c r="C512" s="2"/>
      <c r="D512" s="1"/>
    </row>
    <row r="513" spans="1:4">
      <c r="A513" s="1"/>
      <c r="B513" s="1"/>
      <c r="C513" s="2"/>
      <c r="D513" s="1"/>
    </row>
    <row r="514" spans="1:4">
      <c r="A514" s="1"/>
      <c r="B514" s="1"/>
      <c r="C514" s="2"/>
      <c r="D514" s="1"/>
    </row>
    <row r="515" spans="1:4">
      <c r="A515" s="1"/>
      <c r="B515" s="1"/>
      <c r="C515" s="2"/>
      <c r="D515" s="1"/>
    </row>
    <row r="516" spans="1:4">
      <c r="A516" s="1"/>
      <c r="B516" s="1"/>
      <c r="C516" s="2"/>
      <c r="D516" s="1"/>
    </row>
    <row r="517" spans="1:4">
      <c r="A517" s="1"/>
      <c r="B517" s="1"/>
      <c r="C517" s="2"/>
      <c r="D517" s="1"/>
    </row>
    <row r="518" spans="1:4">
      <c r="A518" s="1"/>
      <c r="B518" s="1"/>
      <c r="C518" s="2"/>
      <c r="D518" s="1"/>
    </row>
    <row r="519" spans="1:4">
      <c r="A519" s="1"/>
      <c r="B519" s="1"/>
      <c r="C519" s="2"/>
      <c r="D519" s="1"/>
    </row>
    <row r="520" spans="1:4">
      <c r="A520" s="1"/>
      <c r="B520" s="1"/>
      <c r="C520" s="2"/>
      <c r="D520" s="1"/>
    </row>
    <row r="521" spans="1:4">
      <c r="A521" s="1"/>
      <c r="B521" s="1"/>
      <c r="C521" s="2"/>
      <c r="D521" s="1"/>
    </row>
    <row r="522" spans="1:4">
      <c r="A522" s="1"/>
      <c r="B522" s="1"/>
      <c r="C522" s="2"/>
      <c r="D522" s="1"/>
    </row>
    <row r="523" spans="1:4">
      <c r="A523" s="1"/>
      <c r="B523" s="1"/>
      <c r="C523" s="2"/>
      <c r="D523" s="1"/>
    </row>
    <row r="524" spans="1:4">
      <c r="A524" s="1"/>
      <c r="B524" s="1"/>
      <c r="C524" s="2"/>
      <c r="D524" s="1"/>
    </row>
    <row r="525" spans="1:4">
      <c r="A525" s="1"/>
      <c r="B525" s="1"/>
      <c r="C525" s="2"/>
      <c r="D525" s="1"/>
    </row>
    <row r="526" spans="1:4">
      <c r="A526" s="1"/>
      <c r="B526" s="1"/>
      <c r="C526" s="2"/>
      <c r="D526" s="1"/>
    </row>
    <row r="527" spans="1:4">
      <c r="A527" s="1"/>
      <c r="B527" s="1"/>
      <c r="C527" s="2"/>
      <c r="D527" s="1"/>
    </row>
    <row r="528" spans="1:4">
      <c r="A528" s="1"/>
      <c r="B528" s="1"/>
      <c r="C528" s="2"/>
      <c r="D528" s="1"/>
    </row>
    <row r="529" spans="1:4">
      <c r="A529" s="1"/>
      <c r="B529" s="1"/>
      <c r="C529" s="2"/>
      <c r="D529" s="1"/>
    </row>
    <row r="530" spans="1:4">
      <c r="A530" s="1"/>
      <c r="B530" s="1"/>
      <c r="C530" s="2"/>
      <c r="D530" s="1"/>
    </row>
    <row r="531" spans="1:4">
      <c r="A531" s="1"/>
      <c r="B531" s="1"/>
      <c r="C531" s="2"/>
      <c r="D531" s="1"/>
    </row>
    <row r="532" spans="1:4">
      <c r="A532" s="1"/>
      <c r="B532" s="1"/>
      <c r="C532" s="2"/>
      <c r="D532" s="1"/>
    </row>
    <row r="533" spans="1:4">
      <c r="A533" s="1"/>
      <c r="B533" s="1"/>
      <c r="C533" s="2"/>
      <c r="D533" s="1"/>
    </row>
    <row r="534" spans="1:4">
      <c r="A534" s="1"/>
      <c r="B534" s="1"/>
      <c r="C534" s="2"/>
      <c r="D534" s="1"/>
    </row>
    <row r="535" spans="1:4">
      <c r="A535" s="1"/>
      <c r="B535" s="1"/>
      <c r="C535" s="2"/>
      <c r="D535" s="1"/>
    </row>
    <row r="536" spans="1:4">
      <c r="A536" s="1"/>
      <c r="B536" s="1"/>
      <c r="C536" s="2"/>
      <c r="D536" s="1"/>
    </row>
    <row r="537" spans="1:4">
      <c r="A537" s="1"/>
      <c r="B537" s="1"/>
      <c r="C537" s="2"/>
      <c r="D537" s="1"/>
    </row>
    <row r="538" spans="1:4">
      <c r="A538" s="1"/>
      <c r="B538" s="1"/>
      <c r="C538" s="2"/>
      <c r="D538" s="1"/>
    </row>
    <row r="539" spans="1:4">
      <c r="A539" s="1"/>
      <c r="B539" s="1"/>
      <c r="C539" s="2"/>
      <c r="D539" s="1"/>
    </row>
    <row r="540" spans="1:4">
      <c r="A540" s="1"/>
      <c r="B540" s="1"/>
      <c r="C540" s="2"/>
      <c r="D540" s="1"/>
    </row>
    <row r="541" spans="1:4">
      <c r="A541" s="1"/>
      <c r="B541" s="1"/>
      <c r="C541" s="2"/>
      <c r="D541" s="1"/>
    </row>
    <row r="542" spans="1:4">
      <c r="A542" s="1"/>
      <c r="B542" s="1"/>
      <c r="C542" s="2"/>
      <c r="D542" s="1"/>
    </row>
    <row r="543" spans="1:4">
      <c r="A543" s="1"/>
      <c r="B543" s="1"/>
      <c r="C543" s="2"/>
      <c r="D543" s="1"/>
    </row>
    <row r="544" spans="1:4">
      <c r="A544" s="1"/>
      <c r="B544" s="1"/>
      <c r="C544" s="2"/>
      <c r="D544" s="1"/>
    </row>
    <row r="545" spans="1:4">
      <c r="A545" s="1"/>
      <c r="B545" s="1"/>
      <c r="C545" s="2"/>
      <c r="D545" s="1"/>
    </row>
    <row r="546" spans="1:4">
      <c r="A546" s="1"/>
      <c r="B546" s="1"/>
      <c r="C546" s="2"/>
      <c r="D546" s="1"/>
    </row>
    <row r="547" spans="1:4">
      <c r="A547" s="1"/>
      <c r="B547" s="1"/>
      <c r="C547" s="2"/>
      <c r="D547" s="1"/>
    </row>
    <row r="548" spans="1:4">
      <c r="A548" s="1"/>
      <c r="B548" s="1"/>
      <c r="C548" s="2"/>
      <c r="D548" s="1"/>
    </row>
    <row r="549" spans="1:4">
      <c r="A549" s="1"/>
      <c r="B549" s="1"/>
      <c r="C549" s="2"/>
      <c r="D549" s="1"/>
    </row>
    <row r="550" spans="1:4">
      <c r="A550" s="1"/>
      <c r="B550" s="1"/>
      <c r="C550" s="2"/>
      <c r="D550" s="1"/>
    </row>
    <row r="551" spans="1:4">
      <c r="A551" s="1"/>
      <c r="B551" s="1"/>
      <c r="C551" s="2"/>
      <c r="D551" s="1"/>
    </row>
    <row r="552" spans="1:4">
      <c r="A552" s="1"/>
      <c r="B552" s="1"/>
      <c r="C552" s="2"/>
      <c r="D552" s="1"/>
    </row>
    <row r="553" spans="1:4">
      <c r="A553" s="1"/>
      <c r="B553" s="1"/>
      <c r="C553" s="2"/>
      <c r="D553" s="1"/>
    </row>
    <row r="554" spans="1:4">
      <c r="A554" s="1"/>
      <c r="B554" s="1"/>
      <c r="C554" s="2"/>
      <c r="D554" s="1"/>
    </row>
    <row r="555" spans="1:4">
      <c r="A555" s="1"/>
      <c r="B555" s="1"/>
      <c r="C555" s="2"/>
      <c r="D555" s="1"/>
    </row>
    <row r="556" spans="1:4">
      <c r="A556" s="1"/>
      <c r="B556" s="1"/>
      <c r="C556" s="2"/>
      <c r="D556" s="1"/>
    </row>
    <row r="557" spans="1:4">
      <c r="A557" s="1"/>
      <c r="B557" s="1"/>
      <c r="C557" s="2"/>
      <c r="D557" s="1"/>
    </row>
    <row r="558" spans="1:4">
      <c r="A558" s="1"/>
      <c r="B558" s="1"/>
      <c r="C558" s="2"/>
      <c r="D558" s="1"/>
    </row>
    <row r="559" spans="1:4">
      <c r="A559" s="1"/>
      <c r="B559" s="1"/>
      <c r="C559" s="2"/>
      <c r="D559" s="1"/>
    </row>
    <row r="560" spans="1:4">
      <c r="A560" s="1"/>
      <c r="B560" s="1"/>
      <c r="C560" s="2"/>
      <c r="D560" s="1"/>
    </row>
    <row r="561" spans="1:4">
      <c r="A561" s="1"/>
      <c r="B561" s="1"/>
      <c r="C561" s="2"/>
      <c r="D561" s="1"/>
    </row>
    <row r="562" spans="1:4">
      <c r="A562" s="1"/>
      <c r="B562" s="1"/>
      <c r="C562" s="2"/>
      <c r="D562" s="1"/>
    </row>
    <row r="563" spans="1:4">
      <c r="A563" s="1"/>
      <c r="B563" s="1"/>
      <c r="C563" s="2"/>
      <c r="D563" s="1"/>
    </row>
    <row r="564" spans="1:4">
      <c r="A564" s="1"/>
      <c r="B564" s="1"/>
      <c r="C564" s="2"/>
      <c r="D564" s="1"/>
    </row>
    <row r="565" spans="1:4">
      <c r="A565" s="1"/>
      <c r="B565" s="1"/>
      <c r="C565" s="2"/>
      <c r="D565" s="1"/>
    </row>
    <row r="566" spans="1:4">
      <c r="A566" s="1"/>
      <c r="B566" s="1"/>
      <c r="C566" s="2"/>
      <c r="D566" s="1"/>
    </row>
    <row r="567" spans="1:4">
      <c r="A567" s="1"/>
      <c r="B567" s="1"/>
      <c r="C567" s="2"/>
      <c r="D567" s="1"/>
    </row>
    <row r="568" spans="1:4">
      <c r="A568" s="1"/>
      <c r="B568" s="1"/>
      <c r="C568" s="2"/>
      <c r="D568" s="1"/>
    </row>
    <row r="569" spans="1:4">
      <c r="A569" s="1"/>
      <c r="B569" s="1"/>
      <c r="C569" s="2"/>
      <c r="D569" s="1"/>
    </row>
    <row r="570" spans="1:4">
      <c r="A570" s="1"/>
      <c r="B570" s="1"/>
      <c r="C570" s="2"/>
      <c r="D570" s="1"/>
    </row>
    <row r="571" spans="1:4">
      <c r="A571" s="1"/>
      <c r="B571" s="1"/>
      <c r="C571" s="2"/>
      <c r="D571" s="1"/>
    </row>
    <row r="572" spans="1:4">
      <c r="A572" s="1"/>
      <c r="B572" s="1"/>
      <c r="C572" s="2"/>
      <c r="D572" s="1"/>
    </row>
    <row r="573" spans="1:4">
      <c r="A573" s="1"/>
      <c r="B573" s="1"/>
      <c r="C573" s="2"/>
      <c r="D573" s="1"/>
    </row>
    <row r="574" spans="1:4">
      <c r="A574" s="1"/>
      <c r="B574" s="1"/>
      <c r="C574" s="2"/>
      <c r="D574" s="1"/>
    </row>
    <row r="575" spans="1:4">
      <c r="A575" s="1"/>
      <c r="B575" s="1"/>
      <c r="C575" s="2"/>
      <c r="D575" s="1"/>
    </row>
    <row r="576" spans="1:4">
      <c r="A576" s="1"/>
      <c r="B576" s="1"/>
      <c r="C576" s="2"/>
      <c r="D576" s="1"/>
    </row>
    <row r="577" spans="1:4">
      <c r="A577" s="1"/>
      <c r="B577" s="1"/>
      <c r="C577" s="2"/>
      <c r="D577" s="1"/>
    </row>
    <row r="578" spans="1:4">
      <c r="A578" s="1"/>
      <c r="B578" s="1"/>
      <c r="C578" s="2"/>
      <c r="D578" s="1"/>
    </row>
    <row r="579" spans="1:4">
      <c r="A579" s="1"/>
      <c r="B579" s="1"/>
      <c r="C579" s="2"/>
      <c r="D579" s="1"/>
    </row>
    <row r="580" spans="1:4">
      <c r="A580" s="1"/>
      <c r="B580" s="1"/>
      <c r="C580" s="2"/>
      <c r="D580" s="1"/>
    </row>
    <row r="581" spans="1:4">
      <c r="A581" s="1"/>
      <c r="B581" s="1"/>
      <c r="C581" s="2"/>
      <c r="D581" s="1"/>
    </row>
    <row r="582" spans="1:4">
      <c r="A582" s="1"/>
      <c r="B582" s="1"/>
      <c r="C582" s="2"/>
      <c r="D582" s="1"/>
    </row>
    <row r="583" spans="1:4">
      <c r="A583" s="1"/>
      <c r="B583" s="1"/>
      <c r="C583" s="2"/>
      <c r="D583" s="1"/>
    </row>
    <row r="584" spans="1:4">
      <c r="A584" s="1"/>
      <c r="B584" s="1"/>
      <c r="C584" s="2"/>
      <c r="D584" s="1"/>
    </row>
    <row r="585" spans="1:4">
      <c r="A585" s="1"/>
      <c r="B585" s="1"/>
      <c r="C585" s="2"/>
      <c r="D585" s="1"/>
    </row>
    <row r="586" spans="1:4">
      <c r="A586" s="1"/>
      <c r="B586" s="1"/>
      <c r="C586" s="2"/>
      <c r="D586" s="1"/>
    </row>
    <row r="587" spans="1:4">
      <c r="A587" s="1"/>
      <c r="B587" s="1"/>
      <c r="C587" s="2"/>
      <c r="D587" s="1"/>
    </row>
    <row r="588" spans="1:4">
      <c r="A588" s="1"/>
      <c r="B588" s="1"/>
      <c r="C588" s="2"/>
      <c r="D588" s="1"/>
    </row>
    <row r="589" spans="1:4">
      <c r="A589" s="1"/>
      <c r="B589" s="1"/>
      <c r="C589" s="2"/>
      <c r="D589" s="1"/>
    </row>
    <row r="590" spans="1:4">
      <c r="A590" s="1"/>
      <c r="B590" s="1"/>
      <c r="C590" s="2"/>
      <c r="D590" s="1"/>
    </row>
    <row r="591" spans="1:4">
      <c r="A591" s="1"/>
      <c r="B591" s="1"/>
      <c r="C591" s="2"/>
      <c r="D591" s="1"/>
    </row>
    <row r="592" spans="1:4">
      <c r="A592" s="1"/>
      <c r="B592" s="1"/>
      <c r="C592" s="2"/>
      <c r="D592" s="1"/>
    </row>
    <row r="593" spans="1:4">
      <c r="A593" s="1"/>
      <c r="B593" s="1"/>
      <c r="C593" s="2"/>
      <c r="D593" s="1"/>
    </row>
    <row r="594" spans="1:4">
      <c r="A594" s="1"/>
      <c r="B594" s="1"/>
      <c r="C594" s="2"/>
      <c r="D594" s="1"/>
    </row>
    <row r="595" spans="1:4">
      <c r="A595" s="1"/>
      <c r="B595" s="1"/>
      <c r="C595" s="2"/>
      <c r="D595" s="1"/>
    </row>
    <row r="596" spans="1:4">
      <c r="A596" s="1"/>
      <c r="B596" s="1"/>
      <c r="C596" s="2"/>
      <c r="D596" s="1"/>
    </row>
    <row r="597" spans="1:4">
      <c r="A597" s="1"/>
      <c r="B597" s="1"/>
      <c r="C597" s="2"/>
      <c r="D597" s="1"/>
    </row>
    <row r="598" spans="1:4">
      <c r="A598" s="1"/>
      <c r="B598" s="1"/>
      <c r="C598" s="2"/>
      <c r="D598" s="1"/>
    </row>
    <row r="599" spans="1:4">
      <c r="A599" s="1"/>
      <c r="B599" s="1"/>
      <c r="C599" s="2"/>
      <c r="D599" s="1"/>
    </row>
    <row r="600" spans="1:4">
      <c r="A600" s="1"/>
      <c r="B600" s="1"/>
      <c r="C600" s="2"/>
      <c r="D600" s="1"/>
    </row>
    <row r="601" spans="1:4">
      <c r="A601" s="1"/>
      <c r="B601" s="1"/>
      <c r="C601" s="2"/>
      <c r="D601" s="1"/>
    </row>
    <row r="602" spans="1:4">
      <c r="A602" s="1"/>
      <c r="B602" s="1"/>
      <c r="C602" s="2"/>
      <c r="D602" s="1"/>
    </row>
    <row r="603" spans="1:4">
      <c r="A603" s="1"/>
      <c r="B603" s="1"/>
      <c r="C603" s="2"/>
      <c r="D603" s="1"/>
    </row>
    <row r="604" spans="1:4">
      <c r="A604" s="1"/>
      <c r="B604" s="1"/>
      <c r="C604" s="2"/>
      <c r="D604" s="1"/>
    </row>
    <row r="605" spans="1:4">
      <c r="A605" s="1"/>
      <c r="B605" s="1"/>
      <c r="C605" s="2"/>
      <c r="D605" s="1"/>
    </row>
    <row r="606" spans="1:4">
      <c r="A606" s="1"/>
      <c r="B606" s="1"/>
      <c r="C606" s="2"/>
      <c r="D606" s="1"/>
    </row>
    <row r="607" spans="1:4">
      <c r="A607" s="1"/>
      <c r="B607" s="1"/>
      <c r="C607" s="2"/>
      <c r="D607" s="1"/>
    </row>
    <row r="608" spans="1:4">
      <c r="A608" s="1"/>
      <c r="B608" s="1"/>
      <c r="C608" s="2"/>
      <c r="D608" s="1"/>
    </row>
    <row r="609" spans="1:4">
      <c r="A609" s="1"/>
      <c r="B609" s="1"/>
      <c r="C609" s="2"/>
      <c r="D609" s="1"/>
    </row>
    <row r="610" spans="1:4">
      <c r="A610" s="1"/>
      <c r="B610" s="1"/>
      <c r="C610" s="2"/>
      <c r="D610" s="1"/>
    </row>
    <row r="611" spans="1:4">
      <c r="A611" s="1"/>
      <c r="B611" s="1"/>
      <c r="C611" s="2"/>
      <c r="D611" s="1"/>
    </row>
    <row r="612" spans="1:4">
      <c r="A612" s="1"/>
      <c r="B612" s="1"/>
      <c r="C612" s="2"/>
      <c r="D612" s="1"/>
    </row>
    <row r="613" spans="1:4">
      <c r="A613" s="1"/>
      <c r="B613" s="1"/>
      <c r="C613" s="2"/>
      <c r="D613" s="1"/>
    </row>
    <row r="614" spans="1:4">
      <c r="A614" s="1"/>
      <c r="B614" s="1"/>
      <c r="C614" s="2"/>
      <c r="D614" s="1"/>
    </row>
    <row r="615" spans="1:4">
      <c r="A615" s="1"/>
      <c r="B615" s="1"/>
      <c r="C615" s="2"/>
      <c r="D615" s="1"/>
    </row>
    <row r="616" spans="1:4">
      <c r="A616" s="1"/>
      <c r="B616" s="1"/>
      <c r="C616" s="2"/>
      <c r="D616" s="1"/>
    </row>
    <row r="617" spans="1:4">
      <c r="A617" s="1"/>
      <c r="B617" s="1"/>
      <c r="C617" s="2"/>
      <c r="D617" s="1"/>
    </row>
    <row r="618" spans="1:4">
      <c r="A618" s="1"/>
      <c r="B618" s="1"/>
      <c r="C618" s="2"/>
      <c r="D618" s="1"/>
    </row>
    <row r="619" spans="1:4">
      <c r="A619" s="1"/>
      <c r="B619" s="1"/>
      <c r="C619" s="2"/>
      <c r="D619" s="1"/>
    </row>
    <row r="620" spans="1:4">
      <c r="A620" s="1"/>
      <c r="B620" s="1"/>
      <c r="C620" s="2"/>
      <c r="D620" s="1"/>
    </row>
    <row r="621" spans="1:4">
      <c r="A621" s="1"/>
      <c r="B621" s="1"/>
      <c r="C621" s="2"/>
      <c r="D621" s="1"/>
    </row>
    <row r="622" spans="1:4">
      <c r="A622" s="1"/>
      <c r="B622" s="1"/>
      <c r="C622" s="2"/>
      <c r="D622" s="1"/>
    </row>
    <row r="623" spans="1:4">
      <c r="A623" s="1"/>
      <c r="B623" s="1"/>
      <c r="C623" s="2"/>
      <c r="D623" s="1"/>
    </row>
    <row r="624" spans="1:4">
      <c r="A624" s="1"/>
      <c r="B624" s="1"/>
      <c r="C624" s="2"/>
      <c r="D624" s="1"/>
    </row>
    <row r="625" spans="1:4">
      <c r="A625" s="1"/>
      <c r="B625" s="1"/>
      <c r="C625" s="2"/>
      <c r="D625" s="1"/>
    </row>
    <row r="626" spans="1:4">
      <c r="A626" s="1"/>
      <c r="B626" s="1"/>
      <c r="C626" s="2"/>
      <c r="D626" s="1"/>
    </row>
    <row r="627" spans="1:4">
      <c r="A627" s="1"/>
      <c r="B627" s="1"/>
      <c r="C627" s="2"/>
      <c r="D627" s="1"/>
    </row>
    <row r="628" spans="1:4">
      <c r="A628" s="1"/>
      <c r="B628" s="1"/>
      <c r="C628" s="2"/>
      <c r="D628" s="1"/>
    </row>
    <row r="629" spans="1:4">
      <c r="A629" s="1"/>
      <c r="B629" s="1"/>
      <c r="C629" s="2"/>
      <c r="D629" s="1"/>
    </row>
    <row r="630" spans="1:4">
      <c r="A630" s="1"/>
      <c r="B630" s="1"/>
      <c r="C630" s="2"/>
      <c r="D630" s="1"/>
    </row>
    <row r="631" spans="1:4">
      <c r="A631" s="1"/>
      <c r="B631" s="1"/>
      <c r="C631" s="2"/>
      <c r="D631" s="1"/>
    </row>
    <row r="632" spans="1:4">
      <c r="A632" s="1"/>
      <c r="B632" s="1"/>
      <c r="C632" s="2"/>
      <c r="D632" s="1"/>
    </row>
    <row r="633" spans="1:4">
      <c r="A633" s="1"/>
      <c r="B633" s="1"/>
      <c r="C633" s="2"/>
      <c r="D633" s="1"/>
    </row>
    <row r="634" spans="1:4">
      <c r="A634" s="1"/>
      <c r="B634" s="1"/>
      <c r="C634" s="2"/>
      <c r="D634" s="1"/>
    </row>
    <row r="635" spans="1:4">
      <c r="A635" s="1"/>
      <c r="B635" s="1"/>
      <c r="C635" s="2"/>
      <c r="D635" s="1"/>
    </row>
    <row r="636" spans="1:4">
      <c r="A636" s="1"/>
      <c r="B636" s="1"/>
      <c r="C636" s="2"/>
      <c r="D636" s="1"/>
    </row>
    <row r="637" spans="1:4">
      <c r="A637" s="1"/>
      <c r="B637" s="1"/>
      <c r="C637" s="2"/>
      <c r="D637" s="1"/>
    </row>
    <row r="638" spans="1:4">
      <c r="A638" s="1"/>
      <c r="B638" s="1"/>
      <c r="C638" s="2"/>
      <c r="D638" s="1"/>
    </row>
    <row r="639" spans="1:4">
      <c r="A639" s="1"/>
      <c r="B639" s="1"/>
      <c r="C639" s="2"/>
      <c r="D639" s="1"/>
    </row>
    <row r="640" spans="1:4">
      <c r="A640" s="1"/>
      <c r="B640" s="1"/>
      <c r="C640" s="2"/>
      <c r="D640" s="1"/>
    </row>
    <row r="641" spans="1:4">
      <c r="A641" s="1"/>
      <c r="B641" s="1"/>
      <c r="C641" s="2"/>
      <c r="D641" s="1"/>
    </row>
    <row r="642" spans="1:4">
      <c r="A642" s="1"/>
      <c r="B642" s="1"/>
      <c r="C642" s="2"/>
      <c r="D642" s="1"/>
    </row>
    <row r="643" spans="1:4">
      <c r="A643" s="1"/>
      <c r="B643" s="1"/>
      <c r="C643" s="2"/>
      <c r="D643" s="1"/>
    </row>
    <row r="644" spans="1:4">
      <c r="A644" s="1"/>
      <c r="B644" s="1"/>
      <c r="C644" s="2"/>
      <c r="D644" s="1"/>
    </row>
    <row r="645" spans="1:4">
      <c r="A645" s="1"/>
      <c r="B645" s="1"/>
      <c r="C645" s="2"/>
      <c r="D645" s="1"/>
    </row>
    <row r="646" spans="1:4">
      <c r="A646" s="1"/>
      <c r="B646" s="1"/>
      <c r="C646" s="2"/>
      <c r="D646" s="1"/>
    </row>
    <row r="647" spans="1:4">
      <c r="A647" s="1"/>
      <c r="B647" s="1"/>
      <c r="C647" s="2"/>
      <c r="D647" s="1"/>
    </row>
    <row r="648" spans="1:4">
      <c r="A648" s="1"/>
      <c r="B648" s="1"/>
      <c r="C648" s="2"/>
      <c r="D648" s="1"/>
    </row>
    <row r="649" spans="1:4">
      <c r="A649" s="1"/>
      <c r="B649" s="1"/>
      <c r="C649" s="2"/>
      <c r="D649" s="1"/>
    </row>
    <row r="650" spans="1:4">
      <c r="A650" s="1"/>
      <c r="B650" s="1"/>
      <c r="C650" s="2"/>
      <c r="D650" s="1"/>
    </row>
    <row r="651" spans="1:4">
      <c r="A651" s="1"/>
      <c r="B651" s="1"/>
      <c r="C651" s="2"/>
      <c r="D651" s="1"/>
    </row>
    <row r="652" spans="1:4">
      <c r="A652" s="1"/>
      <c r="B652" s="1"/>
      <c r="C652" s="2"/>
      <c r="D652" s="1"/>
    </row>
    <row r="653" spans="1:4">
      <c r="A653" s="1"/>
      <c r="B653" s="1"/>
      <c r="C653" s="2"/>
      <c r="D653" s="1"/>
    </row>
    <row r="654" spans="1:4">
      <c r="A654" s="1"/>
      <c r="B654" s="1"/>
      <c r="C654" s="2"/>
      <c r="D654" s="1"/>
    </row>
    <row r="655" spans="1:4">
      <c r="A655" s="1"/>
      <c r="B655" s="1"/>
      <c r="C655" s="2"/>
      <c r="D655" s="1"/>
    </row>
    <row r="656" spans="1:4">
      <c r="A656" s="1"/>
      <c r="B656" s="1"/>
      <c r="C656" s="2"/>
      <c r="D656" s="1"/>
    </row>
    <row r="657" spans="1:4">
      <c r="A657" s="1"/>
      <c r="B657" s="1"/>
      <c r="C657" s="2"/>
      <c r="D657" s="1"/>
    </row>
    <row r="658" spans="1:4">
      <c r="A658" s="1"/>
      <c r="B658" s="1"/>
      <c r="C658" s="2"/>
      <c r="D658" s="1"/>
    </row>
    <row r="659" spans="1:4">
      <c r="A659" s="1"/>
      <c r="B659" s="1"/>
      <c r="C659" s="2"/>
      <c r="D659" s="1"/>
    </row>
    <row r="660" spans="1:4">
      <c r="A660" s="1"/>
      <c r="B660" s="1"/>
      <c r="C660" s="2"/>
      <c r="D660" s="1"/>
    </row>
    <row r="661" spans="1:4">
      <c r="A661" s="1"/>
      <c r="B661" s="1"/>
      <c r="C661" s="2"/>
      <c r="D661" s="1"/>
    </row>
    <row r="662" spans="1:4">
      <c r="A662" s="1"/>
      <c r="B662" s="1"/>
      <c r="C662" s="2"/>
      <c r="D662" s="1"/>
    </row>
    <row r="663" spans="1:4">
      <c r="A663" s="1"/>
      <c r="B663" s="1"/>
      <c r="C663" s="2"/>
      <c r="D663" s="1"/>
    </row>
    <row r="664" spans="1:4">
      <c r="A664" s="1"/>
      <c r="B664" s="1"/>
      <c r="C664" s="2"/>
      <c r="D664" s="1"/>
    </row>
    <row r="665" spans="1:4">
      <c r="A665" s="1"/>
      <c r="B665" s="1"/>
      <c r="C665" s="2"/>
      <c r="D665" s="1"/>
    </row>
    <row r="666" spans="1:4">
      <c r="A666" s="1"/>
      <c r="B666" s="1"/>
      <c r="C666" s="2"/>
      <c r="D666" s="1"/>
    </row>
    <row r="667" spans="1:4">
      <c r="A667" s="1"/>
      <c r="B667" s="1"/>
      <c r="C667" s="2"/>
      <c r="D667" s="1"/>
    </row>
    <row r="668" spans="1:4">
      <c r="A668" s="1"/>
      <c r="B668" s="1"/>
      <c r="C668" s="2"/>
      <c r="D668" s="1"/>
    </row>
    <row r="669" spans="1:4">
      <c r="A669" s="1"/>
      <c r="B669" s="1"/>
      <c r="C669" s="2"/>
      <c r="D669" s="1"/>
    </row>
    <row r="670" spans="1:4">
      <c r="A670" s="1"/>
      <c r="B670" s="1"/>
      <c r="C670" s="2"/>
      <c r="D670" s="1"/>
    </row>
    <row r="671" spans="1:4">
      <c r="A671" s="1"/>
      <c r="B671" s="1"/>
      <c r="C671" s="2"/>
      <c r="D671" s="1"/>
    </row>
    <row r="672" spans="1:4">
      <c r="A672" s="1"/>
      <c r="B672" s="1"/>
      <c r="C672" s="2"/>
      <c r="D672" s="1"/>
    </row>
    <row r="673" spans="1:4">
      <c r="A673" s="1"/>
      <c r="B673" s="1"/>
      <c r="C673" s="2"/>
      <c r="D673" s="1"/>
    </row>
    <row r="674" spans="1:4">
      <c r="A674" s="1"/>
      <c r="B674" s="1"/>
      <c r="C674" s="2"/>
      <c r="D674" s="1"/>
    </row>
    <row r="675" spans="1:4">
      <c r="A675" s="1"/>
      <c r="B675" s="1"/>
      <c r="C675" s="2"/>
      <c r="D675" s="1"/>
    </row>
    <row r="676" spans="1:4">
      <c r="A676" s="1"/>
      <c r="B676" s="1"/>
      <c r="C676" s="2"/>
      <c r="D676" s="1"/>
    </row>
    <row r="677" spans="1:4">
      <c r="A677" s="1"/>
      <c r="B677" s="1"/>
      <c r="C677" s="2"/>
      <c r="D677" s="1"/>
    </row>
    <row r="678" spans="1:4">
      <c r="A678" s="1"/>
      <c r="B678" s="1"/>
      <c r="C678" s="2"/>
      <c r="D678" s="1"/>
    </row>
    <row r="679" spans="1:4">
      <c r="A679" s="1"/>
      <c r="B679" s="1"/>
      <c r="C679" s="2"/>
      <c r="D679" s="1"/>
    </row>
    <row r="680" spans="1:4">
      <c r="A680" s="1"/>
      <c r="B680" s="1"/>
      <c r="C680" s="2"/>
      <c r="D680" s="1"/>
    </row>
    <row r="681" spans="1:4">
      <c r="A681" s="1"/>
      <c r="B681" s="1"/>
      <c r="C681" s="2"/>
      <c r="D681" s="1"/>
    </row>
    <row r="682" spans="1:4">
      <c r="A682" s="1"/>
      <c r="B682" s="1"/>
      <c r="C682" s="2"/>
      <c r="D682" s="1"/>
    </row>
    <row r="683" spans="1:4">
      <c r="A683" s="1"/>
      <c r="B683" s="1"/>
      <c r="C683" s="2"/>
      <c r="D683" s="1"/>
    </row>
    <row r="684" spans="1:4">
      <c r="A684" s="1"/>
      <c r="B684" s="1"/>
      <c r="C684" s="2"/>
      <c r="D684" s="1"/>
    </row>
    <row r="685" spans="1:4">
      <c r="A685" s="1"/>
      <c r="B685" s="1"/>
      <c r="C685" s="2"/>
      <c r="D685" s="1"/>
    </row>
    <row r="686" spans="1:4">
      <c r="A686" s="1"/>
      <c r="B686" s="1"/>
      <c r="C686" s="2"/>
      <c r="D686" s="1"/>
    </row>
    <row r="687" spans="1:4">
      <c r="A687" s="1"/>
      <c r="B687" s="1"/>
      <c r="C687" s="2"/>
      <c r="D687" s="1"/>
    </row>
    <row r="688" spans="1:4">
      <c r="A688" s="1"/>
      <c r="B688" s="1"/>
      <c r="C688" s="2"/>
      <c r="D688" s="1"/>
    </row>
    <row r="689" spans="1:4">
      <c r="A689" s="1"/>
      <c r="B689" s="1"/>
      <c r="C689" s="2"/>
      <c r="D689" s="1"/>
    </row>
    <row r="690" spans="1:4">
      <c r="A690" s="1"/>
      <c r="B690" s="1"/>
      <c r="C690" s="2"/>
      <c r="D690" s="1"/>
    </row>
    <row r="691" spans="1:4">
      <c r="A691" s="1"/>
      <c r="B691" s="1"/>
      <c r="C691" s="2"/>
      <c r="D691" s="1"/>
    </row>
    <row r="692" spans="1:4">
      <c r="A692" s="1"/>
      <c r="B692" s="1"/>
      <c r="C692" s="2"/>
      <c r="D692" s="1"/>
    </row>
    <row r="693" spans="1:4">
      <c r="A693" s="1"/>
      <c r="B693" s="1"/>
      <c r="C693" s="2"/>
      <c r="D693" s="1"/>
    </row>
    <row r="694" spans="1:4">
      <c r="A694" s="1"/>
      <c r="B694" s="1"/>
      <c r="C694" s="2"/>
      <c r="D694" s="1"/>
    </row>
    <row r="695" spans="1:4">
      <c r="A695" s="1"/>
      <c r="B695" s="1"/>
      <c r="C695" s="2"/>
      <c r="D695" s="1"/>
    </row>
    <row r="696" spans="1:4">
      <c r="A696" s="1"/>
      <c r="B696" s="1"/>
      <c r="C696" s="2"/>
      <c r="D696" s="1"/>
    </row>
    <row r="697" spans="1:4">
      <c r="A697" s="1"/>
      <c r="B697" s="1"/>
      <c r="C697" s="2"/>
      <c r="D697" s="1"/>
    </row>
    <row r="698" spans="1:4">
      <c r="A698" s="1"/>
      <c r="B698" s="1"/>
      <c r="C698" s="2"/>
      <c r="D698" s="1"/>
    </row>
    <row r="699" spans="1:4">
      <c r="A699" s="1"/>
      <c r="B699" s="1"/>
      <c r="C699" s="2"/>
      <c r="D699" s="1"/>
    </row>
    <row r="700" spans="1:4">
      <c r="A700" s="1"/>
      <c r="B700" s="1"/>
      <c r="C700" s="2"/>
      <c r="D700" s="1"/>
    </row>
    <row r="701" spans="1:4">
      <c r="A701" s="1"/>
      <c r="B701" s="1"/>
      <c r="C701" s="2"/>
      <c r="D701" s="1"/>
    </row>
    <row r="702" spans="1:4">
      <c r="A702" s="1"/>
      <c r="B702" s="1"/>
      <c r="C702" s="2"/>
      <c r="D702" s="1"/>
    </row>
    <row r="703" spans="1:4">
      <c r="A703" s="1"/>
      <c r="B703" s="1"/>
      <c r="C703" s="2"/>
      <c r="D703" s="1"/>
    </row>
    <row r="704" spans="1:4">
      <c r="A704" s="1"/>
      <c r="B704" s="1"/>
      <c r="C704" s="2"/>
      <c r="D704" s="1"/>
    </row>
    <row r="705" spans="1:4">
      <c r="A705" s="1"/>
      <c r="B705" s="1"/>
      <c r="C705" s="2"/>
      <c r="D705" s="1"/>
    </row>
    <row r="706" spans="1:4">
      <c r="A706" s="1"/>
      <c r="B706" s="1"/>
      <c r="C706" s="2"/>
      <c r="D706" s="1"/>
    </row>
    <row r="707" spans="1:4">
      <c r="A707" s="1"/>
      <c r="B707" s="1"/>
      <c r="C707" s="2"/>
      <c r="D707" s="1"/>
    </row>
    <row r="708" spans="1:4">
      <c r="A708" s="1"/>
      <c r="B708" s="1"/>
      <c r="C708" s="2"/>
      <c r="D708" s="1"/>
    </row>
    <row r="709" spans="1:4">
      <c r="A709" s="1"/>
      <c r="B709" s="1"/>
      <c r="C709" s="2"/>
      <c r="D709" s="1"/>
    </row>
    <row r="710" spans="1:4">
      <c r="A710" s="1"/>
      <c r="B710" s="1"/>
      <c r="C710" s="2"/>
      <c r="D710" s="1"/>
    </row>
    <row r="711" spans="1:4">
      <c r="A711" s="1"/>
      <c r="B711" s="1"/>
      <c r="C711" s="2"/>
      <c r="D711" s="1"/>
    </row>
    <row r="712" spans="1:4">
      <c r="A712" s="1"/>
      <c r="B712" s="1"/>
      <c r="C712" s="2"/>
      <c r="D712" s="1"/>
    </row>
    <row r="713" spans="1:4">
      <c r="A713" s="1"/>
      <c r="B713" s="1"/>
      <c r="C713" s="2"/>
      <c r="D713" s="1"/>
    </row>
    <row r="714" spans="1:4">
      <c r="A714" s="1"/>
      <c r="B714" s="1"/>
      <c r="C714" s="2"/>
      <c r="D714" s="1"/>
    </row>
    <row r="715" spans="1:4">
      <c r="A715" s="1"/>
      <c r="B715" s="1"/>
      <c r="C715" s="2"/>
      <c r="D715" s="1"/>
    </row>
    <row r="716" spans="1:4">
      <c r="A716" s="1"/>
      <c r="B716" s="1"/>
      <c r="C716" s="2"/>
      <c r="D716" s="1"/>
    </row>
    <row r="717" spans="1:4">
      <c r="A717" s="1"/>
      <c r="B717" s="1"/>
      <c r="C717" s="2"/>
      <c r="D717" s="1"/>
    </row>
    <row r="718" spans="1:4">
      <c r="A718" s="1"/>
      <c r="B718" s="1"/>
      <c r="C718" s="2"/>
      <c r="D718" s="1"/>
    </row>
    <row r="719" spans="1:4">
      <c r="A719" s="1"/>
      <c r="B719" s="1"/>
      <c r="C719" s="2"/>
      <c r="D719" s="1"/>
    </row>
    <row r="720" spans="1:4">
      <c r="A720" s="1"/>
      <c r="B720" s="1"/>
      <c r="C720" s="2"/>
      <c r="D720" s="1"/>
    </row>
    <row r="721" spans="1:4">
      <c r="A721" s="1"/>
      <c r="B721" s="1"/>
      <c r="C721" s="2"/>
      <c r="D721" s="1"/>
    </row>
    <row r="722" spans="1:4">
      <c r="A722" s="1"/>
      <c r="B722" s="1"/>
      <c r="C722" s="2"/>
      <c r="D722" s="1"/>
    </row>
    <row r="723" spans="1:4">
      <c r="A723" s="1"/>
      <c r="B723" s="1"/>
      <c r="C723" s="2"/>
      <c r="D723" s="1"/>
    </row>
    <row r="724" spans="1:4">
      <c r="A724" s="1"/>
      <c r="B724" s="1"/>
      <c r="C724" s="2"/>
      <c r="D724" s="1"/>
    </row>
    <row r="725" spans="1:4">
      <c r="A725" s="1"/>
      <c r="B725" s="1"/>
      <c r="C725" s="2"/>
      <c r="D725" s="1"/>
    </row>
    <row r="726" spans="1:4">
      <c r="A726" s="1"/>
      <c r="B726" s="1"/>
      <c r="C726" s="2"/>
      <c r="D726" s="1"/>
    </row>
    <row r="727" spans="1:4">
      <c r="A727" s="1"/>
      <c r="B727" s="1"/>
      <c r="C727" s="2"/>
      <c r="D727" s="1"/>
    </row>
    <row r="728" spans="1:4">
      <c r="A728" s="1"/>
      <c r="B728" s="1"/>
      <c r="C728" s="2"/>
      <c r="D728" s="1"/>
    </row>
    <row r="729" spans="1:4">
      <c r="A729" s="1"/>
      <c r="B729" s="1"/>
      <c r="C729" s="2"/>
      <c r="D729" s="1"/>
    </row>
    <row r="730" spans="1:4">
      <c r="A730" s="1"/>
      <c r="B730" s="1"/>
      <c r="C730" s="2"/>
      <c r="D730" s="1"/>
    </row>
    <row r="731" spans="1:4">
      <c r="A731" s="1"/>
      <c r="B731" s="1"/>
      <c r="C731" s="2"/>
      <c r="D731" s="1"/>
    </row>
    <row r="732" spans="1:4">
      <c r="A732" s="1"/>
      <c r="B732" s="1"/>
      <c r="C732" s="2"/>
      <c r="D732" s="1"/>
    </row>
    <row r="733" spans="1:4">
      <c r="A733" s="1"/>
      <c r="B733" s="1"/>
      <c r="C733" s="2"/>
      <c r="D733" s="1"/>
    </row>
    <row r="734" spans="1:4">
      <c r="A734" s="1"/>
      <c r="B734" s="1"/>
      <c r="C734" s="2"/>
      <c r="D734" s="1"/>
    </row>
    <row r="735" spans="1:4">
      <c r="A735" s="1"/>
      <c r="B735" s="1"/>
      <c r="C735" s="2"/>
      <c r="D735" s="1"/>
    </row>
    <row r="736" spans="1:4">
      <c r="A736" s="1"/>
      <c r="B736" s="1"/>
      <c r="C736" s="2"/>
      <c r="D736" s="1"/>
    </row>
    <row r="737" spans="1:4">
      <c r="A737" s="1"/>
      <c r="B737" s="1"/>
      <c r="C737" s="2"/>
      <c r="D737" s="1"/>
    </row>
    <row r="738" spans="1:4">
      <c r="A738" s="1"/>
      <c r="B738" s="1"/>
      <c r="C738" s="2"/>
      <c r="D738" s="1"/>
    </row>
    <row r="739" spans="1:4">
      <c r="A739" s="1"/>
      <c r="B739" s="1"/>
      <c r="C739" s="2"/>
      <c r="D739" s="1"/>
    </row>
    <row r="740" spans="1:4">
      <c r="A740" s="1"/>
      <c r="B740" s="1"/>
      <c r="C740" s="2"/>
      <c r="D740" s="1"/>
    </row>
    <row r="741" spans="1:4">
      <c r="A741" s="1"/>
      <c r="B741" s="1"/>
      <c r="C741" s="2"/>
      <c r="D741" s="1"/>
    </row>
    <row r="742" spans="1:4">
      <c r="A742" s="1"/>
      <c r="B742" s="1"/>
      <c r="C742" s="2"/>
      <c r="D742" s="1"/>
    </row>
    <row r="743" spans="1:4">
      <c r="A743" s="1"/>
      <c r="B743" s="1"/>
      <c r="C743" s="2"/>
      <c r="D743" s="1"/>
    </row>
    <row r="744" spans="1:4">
      <c r="A744" s="1"/>
      <c r="B744" s="1"/>
      <c r="C744" s="2"/>
      <c r="D744" s="1"/>
    </row>
    <row r="745" spans="1:4">
      <c r="A745" s="1"/>
      <c r="B745" s="1"/>
      <c r="C745" s="2"/>
      <c r="D745" s="1"/>
    </row>
    <row r="746" spans="1:4">
      <c r="A746" s="1"/>
      <c r="B746" s="1"/>
      <c r="C746" s="2"/>
      <c r="D746" s="1"/>
    </row>
    <row r="747" spans="1:4">
      <c r="A747" s="1"/>
      <c r="B747" s="1"/>
      <c r="C747" s="2"/>
      <c r="D747" s="1"/>
    </row>
    <row r="748" spans="1:4">
      <c r="A748" s="1"/>
      <c r="B748" s="1"/>
      <c r="C748" s="2"/>
      <c r="D748" s="1"/>
    </row>
    <row r="749" spans="1:4">
      <c r="A749" s="1"/>
      <c r="B749" s="1"/>
      <c r="C749" s="2"/>
      <c r="D749" s="1"/>
    </row>
    <row r="750" spans="1:4">
      <c r="A750" s="1"/>
      <c r="B750" s="1"/>
      <c r="C750" s="2"/>
      <c r="D750" s="1"/>
    </row>
    <row r="751" spans="1:4">
      <c r="A751" s="1"/>
      <c r="B751" s="1"/>
      <c r="C751" s="2"/>
      <c r="D751" s="1"/>
    </row>
    <row r="752" spans="1:4">
      <c r="A752" s="1"/>
      <c r="B752" s="1"/>
      <c r="C752" s="2"/>
      <c r="D752" s="1"/>
    </row>
    <row r="753" spans="1:4">
      <c r="A753" s="1"/>
      <c r="B753" s="1"/>
      <c r="C753" s="2"/>
      <c r="D753" s="1"/>
    </row>
    <row r="754" spans="1:4">
      <c r="A754" s="1"/>
      <c r="B754" s="1"/>
      <c r="C754" s="2"/>
      <c r="D754" s="1"/>
    </row>
    <row r="755" spans="1:4">
      <c r="A755" s="1"/>
      <c r="B755" s="1"/>
      <c r="C755" s="2"/>
      <c r="D755" s="1"/>
    </row>
    <row r="756" spans="1:4">
      <c r="A756" s="1"/>
      <c r="B756" s="1"/>
      <c r="C756" s="2"/>
      <c r="D756" s="1"/>
    </row>
    <row r="757" spans="1:4">
      <c r="A757" s="1"/>
      <c r="B757" s="1"/>
      <c r="C757" s="2"/>
      <c r="D757" s="1"/>
    </row>
    <row r="758" spans="1:4">
      <c r="A758" s="1"/>
      <c r="B758" s="1"/>
      <c r="C758" s="2"/>
      <c r="D758" s="1"/>
    </row>
    <row r="759" spans="1:4">
      <c r="A759" s="1"/>
      <c r="B759" s="1"/>
      <c r="C759" s="2"/>
      <c r="D759" s="1"/>
    </row>
    <row r="760" spans="1:4">
      <c r="A760" s="1"/>
      <c r="B760" s="1"/>
      <c r="C760" s="2"/>
      <c r="D760" s="1"/>
    </row>
    <row r="761" spans="1:4">
      <c r="A761" s="1"/>
      <c r="B761" s="1"/>
      <c r="C761" s="2"/>
      <c r="D761" s="1"/>
    </row>
    <row r="762" spans="1:4">
      <c r="A762" s="1"/>
      <c r="B762" s="1"/>
      <c r="C762" s="2"/>
      <c r="D762" s="1"/>
    </row>
    <row r="763" spans="1:4">
      <c r="A763" s="1"/>
      <c r="B763" s="1"/>
      <c r="C763" s="2"/>
      <c r="D763" s="1"/>
    </row>
    <row r="764" spans="1:4">
      <c r="A764" s="1"/>
      <c r="B764" s="1"/>
      <c r="C764" s="2"/>
      <c r="D764" s="1"/>
    </row>
    <row r="765" spans="1:4">
      <c r="A765" s="1"/>
      <c r="B765" s="1"/>
      <c r="C765" s="2"/>
      <c r="D765" s="1"/>
    </row>
    <row r="766" spans="1:4">
      <c r="A766" s="1"/>
      <c r="B766" s="1"/>
      <c r="C766" s="2"/>
      <c r="D766" s="1"/>
    </row>
    <row r="767" spans="1:4">
      <c r="A767" s="1"/>
      <c r="B767" s="1"/>
      <c r="C767" s="2"/>
      <c r="D767" s="1"/>
    </row>
    <row r="768" spans="1:4">
      <c r="A768" s="1"/>
      <c r="B768" s="1"/>
      <c r="C768" s="2"/>
      <c r="D768" s="1"/>
    </row>
    <row r="769" spans="1:4">
      <c r="A769" s="1"/>
      <c r="B769" s="1"/>
      <c r="C769" s="2"/>
      <c r="D769" s="1"/>
    </row>
    <row r="770" spans="1:4">
      <c r="A770" s="1"/>
      <c r="B770" s="1"/>
      <c r="C770" s="2"/>
      <c r="D770" s="1"/>
    </row>
    <row r="771" spans="1:4">
      <c r="A771" s="1"/>
      <c r="B771" s="1"/>
      <c r="C771" s="2"/>
      <c r="D771" s="1"/>
    </row>
    <row r="772" spans="1:4">
      <c r="A772" s="1"/>
      <c r="B772" s="1"/>
      <c r="C772" s="2"/>
      <c r="D772" s="1"/>
    </row>
    <row r="773" spans="1:4">
      <c r="A773" s="1"/>
      <c r="B773" s="1"/>
      <c r="C773" s="2"/>
      <c r="D773" s="1"/>
    </row>
    <row r="774" spans="1:4">
      <c r="A774" s="1"/>
      <c r="B774" s="1"/>
      <c r="C774" s="2"/>
      <c r="D774" s="1"/>
    </row>
    <row r="775" spans="1:4">
      <c r="A775" s="1"/>
      <c r="B775" s="1"/>
      <c r="C775" s="2"/>
      <c r="D775" s="1"/>
    </row>
    <row r="776" spans="1:4">
      <c r="A776" s="1"/>
      <c r="B776" s="1"/>
      <c r="C776" s="2"/>
      <c r="D776" s="1"/>
    </row>
    <row r="777" spans="1:4">
      <c r="A777" s="1"/>
      <c r="B777" s="1"/>
      <c r="C777" s="2"/>
      <c r="D777" s="1"/>
    </row>
    <row r="778" spans="1:4">
      <c r="A778" s="1"/>
      <c r="B778" s="1"/>
      <c r="C778" s="2"/>
      <c r="D778" s="1"/>
    </row>
    <row r="779" spans="1:4">
      <c r="A779" s="1"/>
      <c r="B779" s="1"/>
      <c r="C779" s="2"/>
      <c r="D779" s="1"/>
    </row>
    <row r="780" spans="1:4">
      <c r="A780" s="1"/>
      <c r="B780" s="1"/>
      <c r="C780" s="2"/>
      <c r="D780" s="1"/>
    </row>
    <row r="781" spans="1:4">
      <c r="A781" s="1"/>
      <c r="B781" s="1"/>
      <c r="C781" s="2"/>
      <c r="D781" s="1"/>
    </row>
    <row r="782" spans="1:4">
      <c r="A782" s="1"/>
      <c r="B782" s="1"/>
      <c r="C782" s="2"/>
      <c r="D782" s="1"/>
    </row>
    <row r="783" spans="1:4">
      <c r="A783" s="1"/>
      <c r="B783" s="1"/>
      <c r="C783" s="2"/>
      <c r="D783" s="1"/>
    </row>
    <row r="784" spans="1:4">
      <c r="A784" s="1"/>
      <c r="B784" s="1"/>
      <c r="C784" s="2"/>
      <c r="D784" s="1"/>
    </row>
    <row r="785" spans="1:4">
      <c r="A785" s="1"/>
      <c r="B785" s="1"/>
      <c r="C785" s="2"/>
      <c r="D785" s="1"/>
    </row>
    <row r="786" spans="1:4">
      <c r="A786" s="1"/>
      <c r="B786" s="1"/>
      <c r="C786" s="2"/>
      <c r="D786" s="1"/>
    </row>
    <row r="787" spans="1:4">
      <c r="A787" s="1"/>
      <c r="B787" s="1"/>
      <c r="C787" s="2"/>
      <c r="D787" s="1"/>
    </row>
    <row r="788" spans="1:4">
      <c r="A788" s="1"/>
      <c r="B788" s="1"/>
      <c r="C788" s="2"/>
      <c r="D788" s="1"/>
    </row>
    <row r="789" spans="1:4">
      <c r="A789" s="1"/>
      <c r="B789" s="1"/>
      <c r="C789" s="2"/>
      <c r="D789" s="1"/>
    </row>
    <row r="790" spans="1:4">
      <c r="A790" s="1"/>
      <c r="B790" s="1"/>
      <c r="C790" s="2"/>
      <c r="D790" s="1"/>
    </row>
    <row r="791" spans="1:4">
      <c r="A791" s="1"/>
      <c r="B791" s="1"/>
      <c r="C791" s="2"/>
      <c r="D791" s="1"/>
    </row>
    <row r="792" spans="1:4">
      <c r="A792" s="1"/>
      <c r="B792" s="1"/>
      <c r="C792" s="2"/>
      <c r="D792" s="1"/>
    </row>
    <row r="793" spans="1:4">
      <c r="A793" s="1"/>
      <c r="B793" s="1"/>
      <c r="C793" s="2"/>
      <c r="D793" s="1"/>
    </row>
    <row r="794" spans="1:4">
      <c r="A794" s="1"/>
      <c r="B794" s="1"/>
      <c r="C794" s="2"/>
      <c r="D794" s="1"/>
    </row>
    <row r="795" spans="1:4">
      <c r="A795" s="1"/>
      <c r="B795" s="1"/>
      <c r="C795" s="2"/>
      <c r="D795" s="1"/>
    </row>
    <row r="796" spans="1:4">
      <c r="A796" s="1"/>
      <c r="B796" s="1"/>
      <c r="C796" s="2"/>
      <c r="D796" s="1"/>
    </row>
    <row r="797" spans="1:4">
      <c r="A797" s="1"/>
      <c r="B797" s="1"/>
      <c r="C797" s="2"/>
      <c r="D797" s="1"/>
    </row>
    <row r="798" spans="1:4">
      <c r="A798" s="1"/>
      <c r="B798" s="1"/>
      <c r="C798" s="2"/>
      <c r="D798" s="1"/>
    </row>
    <row r="799" spans="1:4">
      <c r="A799" s="1"/>
      <c r="B799" s="1"/>
      <c r="C799" s="2"/>
      <c r="D799" s="1"/>
    </row>
    <row r="800" spans="1:4">
      <c r="A800" s="1"/>
      <c r="B800" s="1"/>
      <c r="C800" s="2"/>
      <c r="D800" s="1"/>
    </row>
    <row r="801" spans="1:4">
      <c r="A801" s="1"/>
      <c r="B801" s="1"/>
      <c r="C801" s="2"/>
      <c r="D801" s="1"/>
    </row>
    <row r="802" spans="1:4">
      <c r="A802" s="1"/>
      <c r="B802" s="1"/>
      <c r="C802" s="2"/>
      <c r="D802" s="1"/>
    </row>
    <row r="803" spans="1:4">
      <c r="A803" s="1"/>
      <c r="B803" s="1"/>
      <c r="C803" s="2"/>
      <c r="D803" s="1"/>
    </row>
    <row r="804" spans="1:4">
      <c r="A804" s="1"/>
      <c r="B804" s="1"/>
      <c r="C804" s="2"/>
      <c r="D804" s="1"/>
    </row>
    <row r="805" spans="1:4">
      <c r="A805" s="1"/>
      <c r="B805" s="1"/>
      <c r="C805" s="2"/>
      <c r="D805" s="1"/>
    </row>
    <row r="806" spans="1:4">
      <c r="A806" s="1"/>
      <c r="B806" s="1"/>
      <c r="C806" s="2"/>
      <c r="D806" s="1"/>
    </row>
    <row r="807" spans="1:4">
      <c r="A807" s="1"/>
      <c r="B807" s="1"/>
      <c r="C807" s="2"/>
      <c r="D807" s="1"/>
    </row>
    <row r="808" spans="1:4">
      <c r="A808" s="1"/>
      <c r="B808" s="1"/>
      <c r="C808" s="2"/>
      <c r="D808" s="1"/>
    </row>
    <row r="809" spans="1:4">
      <c r="A809" s="1"/>
      <c r="B809" s="1"/>
      <c r="C809" s="2"/>
      <c r="D809" s="1"/>
    </row>
    <row r="810" spans="1:4">
      <c r="A810" s="1"/>
      <c r="B810" s="1"/>
      <c r="C810" s="2"/>
      <c r="D810" s="1"/>
    </row>
    <row r="811" spans="1:4">
      <c r="A811" s="1"/>
      <c r="B811" s="1"/>
      <c r="C811" s="2"/>
      <c r="D811" s="1"/>
    </row>
    <row r="812" spans="1:4">
      <c r="A812" s="1"/>
      <c r="B812" s="1"/>
      <c r="C812" s="2"/>
      <c r="D812" s="1"/>
    </row>
    <row r="813" spans="1:4">
      <c r="A813" s="1"/>
      <c r="B813" s="1"/>
      <c r="C813" s="2"/>
      <c r="D813" s="1"/>
    </row>
    <row r="814" spans="1:4">
      <c r="A814" s="1"/>
      <c r="B814" s="1"/>
      <c r="C814" s="2"/>
      <c r="D814" s="1"/>
    </row>
    <row r="815" spans="1:4">
      <c r="A815" s="1"/>
      <c r="B815" s="1"/>
      <c r="C815" s="2"/>
      <c r="D815" s="1"/>
    </row>
    <row r="816" spans="1:4">
      <c r="A816" s="1"/>
      <c r="B816" s="1"/>
      <c r="C816" s="2"/>
      <c r="D816" s="1"/>
    </row>
    <row r="817" spans="1:4">
      <c r="A817" s="1"/>
      <c r="B817" s="1"/>
      <c r="C817" s="2"/>
      <c r="D817" s="1"/>
    </row>
    <row r="818" spans="1:4">
      <c r="A818" s="1"/>
      <c r="B818" s="1"/>
      <c r="C818" s="2"/>
      <c r="D818" s="1"/>
    </row>
    <row r="819" spans="1:4">
      <c r="A819" s="1"/>
      <c r="B819" s="1"/>
      <c r="C819" s="2"/>
      <c r="D819" s="1"/>
    </row>
    <row r="820" spans="1:4">
      <c r="A820" s="1"/>
      <c r="B820" s="1"/>
      <c r="C820" s="2"/>
      <c r="D820" s="1"/>
    </row>
    <row r="821" spans="1:4">
      <c r="A821" s="1"/>
      <c r="B821" s="1"/>
      <c r="C821" s="2"/>
      <c r="D821" s="1"/>
    </row>
    <row r="822" spans="1:4">
      <c r="A822" s="1"/>
      <c r="B822" s="1"/>
      <c r="C822" s="2"/>
      <c r="D822" s="1"/>
    </row>
    <row r="823" spans="1:4">
      <c r="A823" s="1"/>
      <c r="B823" s="1"/>
      <c r="C823" s="2"/>
      <c r="D823" s="1"/>
    </row>
    <row r="824" spans="1:4">
      <c r="A824" s="1"/>
      <c r="B824" s="1"/>
      <c r="C824" s="2"/>
      <c r="D824" s="1"/>
    </row>
    <row r="825" spans="1:4">
      <c r="A825" s="1"/>
      <c r="B825" s="1"/>
      <c r="C825" s="2"/>
      <c r="D825" s="1"/>
    </row>
    <row r="826" spans="1:4">
      <c r="A826" s="1"/>
      <c r="B826" s="1"/>
      <c r="C826" s="2"/>
      <c r="D826" s="1"/>
    </row>
    <row r="827" spans="1:4">
      <c r="A827" s="1"/>
      <c r="B827" s="1"/>
      <c r="C827" s="2"/>
      <c r="D827" s="1"/>
    </row>
    <row r="828" spans="1:4">
      <c r="A828" s="1"/>
      <c r="B828" s="1"/>
      <c r="C828" s="2"/>
      <c r="D828" s="1"/>
    </row>
    <row r="829" spans="1:4">
      <c r="A829" s="1"/>
      <c r="B829" s="1"/>
      <c r="C829" s="2"/>
      <c r="D829" s="1"/>
    </row>
    <row r="830" spans="1:4">
      <c r="A830" s="1"/>
      <c r="B830" s="1"/>
      <c r="C830" s="2"/>
      <c r="D830" s="1"/>
    </row>
    <row r="831" spans="1:4">
      <c r="A831" s="1"/>
      <c r="B831" s="1"/>
      <c r="C831" s="2"/>
      <c r="D831" s="1"/>
    </row>
    <row r="832" spans="1:4">
      <c r="A832" s="1"/>
      <c r="B832" s="1"/>
      <c r="C832" s="2"/>
      <c r="D832" s="1"/>
    </row>
    <row r="833" spans="1:4">
      <c r="A833" s="1"/>
      <c r="B833" s="1"/>
      <c r="C833" s="2"/>
      <c r="D833" s="1"/>
    </row>
    <row r="834" spans="1:4">
      <c r="A834" s="1"/>
      <c r="B834" s="1"/>
      <c r="C834" s="2"/>
      <c r="D834" s="1"/>
    </row>
    <row r="835" spans="1:4">
      <c r="A835" s="1"/>
      <c r="B835" s="1"/>
      <c r="C835" s="2"/>
      <c r="D835" s="1"/>
    </row>
    <row r="836" spans="1:4">
      <c r="A836" s="1"/>
      <c r="B836" s="1"/>
      <c r="C836" s="2"/>
      <c r="D836" s="1"/>
    </row>
    <row r="837" spans="1:4">
      <c r="A837" s="1"/>
      <c r="B837" s="1"/>
      <c r="C837" s="2"/>
      <c r="D837" s="1"/>
    </row>
    <row r="838" spans="1:4">
      <c r="A838" s="1"/>
      <c r="B838" s="1"/>
      <c r="C838" s="2"/>
      <c r="D838" s="1"/>
    </row>
    <row r="839" spans="1:4">
      <c r="A839" s="1"/>
      <c r="B839" s="1"/>
      <c r="C839" s="2"/>
      <c r="D839" s="1"/>
    </row>
    <row r="840" spans="1:4">
      <c r="A840" s="1"/>
      <c r="B840" s="1"/>
      <c r="C840" s="2"/>
      <c r="D840" s="1"/>
    </row>
    <row r="841" spans="1:4">
      <c r="A841" s="1"/>
      <c r="B841" s="1"/>
      <c r="C841" s="2"/>
      <c r="D841" s="1"/>
    </row>
    <row r="842" spans="1:4">
      <c r="A842" s="1"/>
      <c r="B842" s="1"/>
      <c r="C842" s="2"/>
      <c r="D842" s="1"/>
    </row>
    <row r="843" spans="1:4">
      <c r="A843" s="1"/>
      <c r="B843" s="1"/>
      <c r="C843" s="2"/>
      <c r="D843" s="1"/>
    </row>
    <row r="844" spans="1:4">
      <c r="A844" s="1"/>
      <c r="B844" s="1"/>
      <c r="C844" s="2"/>
      <c r="D844" s="1"/>
    </row>
    <row r="845" spans="1:4">
      <c r="A845" s="1"/>
      <c r="B845" s="1"/>
      <c r="C845" s="2"/>
      <c r="D845" s="1"/>
    </row>
    <row r="846" spans="1:4">
      <c r="A846" s="1"/>
      <c r="B846" s="1"/>
      <c r="C846" s="2"/>
      <c r="D846" s="1"/>
    </row>
    <row r="847" spans="1:4">
      <c r="A847" s="1"/>
      <c r="B847" s="1"/>
      <c r="C847" s="2"/>
      <c r="D847" s="1"/>
    </row>
    <row r="848" spans="1:4">
      <c r="A848" s="1"/>
      <c r="B848" s="1"/>
      <c r="C848" s="2"/>
      <c r="D848" s="1"/>
    </row>
    <row r="849" spans="1:4">
      <c r="A849" s="1"/>
      <c r="B849" s="1"/>
      <c r="C849" s="2"/>
      <c r="D849" s="1"/>
    </row>
    <row r="850" spans="1:4">
      <c r="A850" s="1"/>
      <c r="B850" s="1"/>
      <c r="C850" s="2"/>
      <c r="D850" s="1"/>
    </row>
    <row r="851" spans="1:4">
      <c r="A851" s="1"/>
      <c r="B851" s="1"/>
      <c r="C851" s="2"/>
      <c r="D851" s="1"/>
    </row>
    <row r="852" spans="1:4">
      <c r="A852" s="1"/>
      <c r="B852" s="1"/>
      <c r="C852" s="2"/>
      <c r="D852" s="1"/>
    </row>
    <row r="853" spans="1:4">
      <c r="A853" s="1"/>
      <c r="B853" s="1"/>
      <c r="C853" s="2"/>
      <c r="D853" s="1"/>
    </row>
    <row r="854" spans="1:4">
      <c r="A854" s="1"/>
      <c r="B854" s="1"/>
      <c r="C854" s="2"/>
      <c r="D854" s="1"/>
    </row>
    <row r="855" spans="1:4">
      <c r="A855" s="1"/>
      <c r="B855" s="1"/>
      <c r="C855" s="2"/>
      <c r="D855" s="1"/>
    </row>
    <row r="856" spans="1:4">
      <c r="A856" s="1"/>
      <c r="B856" s="1"/>
      <c r="C856" s="2"/>
      <c r="D856" s="1"/>
    </row>
    <row r="857" spans="1:4">
      <c r="A857" s="1"/>
      <c r="B857" s="1"/>
      <c r="C857" s="2"/>
      <c r="D857" s="1"/>
    </row>
    <row r="858" spans="1:4">
      <c r="A858" s="1"/>
      <c r="B858" s="1"/>
      <c r="C858" s="2"/>
      <c r="D858" s="1"/>
    </row>
    <row r="859" spans="1:4">
      <c r="A859" s="1"/>
      <c r="B859" s="1"/>
      <c r="C859" s="2"/>
      <c r="D859" s="1"/>
    </row>
    <row r="860" spans="1:4">
      <c r="A860" s="1"/>
      <c r="B860" s="1"/>
      <c r="C860" s="2"/>
      <c r="D860" s="1"/>
    </row>
    <row r="861" spans="1:4">
      <c r="A861" s="1"/>
      <c r="B861" s="1"/>
      <c r="C861" s="2"/>
      <c r="D861" s="1"/>
    </row>
    <row r="862" spans="1:4">
      <c r="A862" s="1"/>
      <c r="B862" s="1"/>
      <c r="C862" s="2"/>
      <c r="D862" s="1"/>
    </row>
    <row r="863" spans="1:4">
      <c r="A863" s="1"/>
      <c r="B863" s="1"/>
      <c r="C863" s="2"/>
      <c r="D863" s="1"/>
    </row>
    <row r="864" spans="1:4">
      <c r="A864" s="1"/>
      <c r="B864" s="1"/>
      <c r="C864" s="2"/>
      <c r="D864" s="1"/>
    </row>
    <row r="865" spans="1:4">
      <c r="A865" s="1"/>
      <c r="B865" s="1"/>
      <c r="C865" s="2"/>
      <c r="D865" s="1"/>
    </row>
    <row r="866" spans="1:4">
      <c r="A866" s="1"/>
      <c r="B866" s="1"/>
      <c r="C866" s="2"/>
      <c r="D866" s="1"/>
    </row>
    <row r="867" spans="1:4">
      <c r="A867" s="1"/>
      <c r="B867" s="1"/>
      <c r="C867" s="2"/>
      <c r="D867" s="1"/>
    </row>
    <row r="868" spans="1:4">
      <c r="A868" s="1"/>
      <c r="B868" s="1"/>
      <c r="C868" s="2"/>
      <c r="D868" s="1"/>
    </row>
    <row r="869" spans="1:4">
      <c r="A869" s="1"/>
      <c r="B869" s="1"/>
      <c r="C869" s="2"/>
      <c r="D869" s="1"/>
    </row>
    <row r="870" spans="1:4">
      <c r="A870" s="1"/>
      <c r="B870" s="1"/>
      <c r="C870" s="2"/>
      <c r="D870" s="1"/>
    </row>
    <row r="871" spans="1:4">
      <c r="A871" s="1"/>
      <c r="B871" s="1"/>
      <c r="C871" s="2"/>
      <c r="D871" s="1"/>
    </row>
    <row r="872" spans="1:4">
      <c r="A872" s="1"/>
      <c r="B872" s="1"/>
      <c r="C872" s="2"/>
      <c r="D872" s="1"/>
    </row>
    <row r="873" spans="1:4">
      <c r="A873" s="1"/>
      <c r="B873" s="1"/>
      <c r="C873" s="2"/>
      <c r="D873" s="1"/>
    </row>
    <row r="874" spans="1:4">
      <c r="A874" s="1"/>
      <c r="B874" s="1"/>
      <c r="C874" s="2"/>
      <c r="D874" s="1"/>
    </row>
    <row r="875" spans="1:4">
      <c r="A875" s="1"/>
      <c r="B875" s="1"/>
      <c r="C875" s="2"/>
      <c r="D875" s="1"/>
    </row>
    <row r="876" spans="1:4">
      <c r="A876" s="1"/>
      <c r="B876" s="1"/>
      <c r="C876" s="2"/>
      <c r="D876" s="1"/>
    </row>
    <row r="877" spans="1:4">
      <c r="A877" s="1"/>
      <c r="B877" s="1"/>
      <c r="C877" s="2"/>
      <c r="D877" s="1"/>
    </row>
    <row r="878" spans="1:4">
      <c r="A878" s="1"/>
      <c r="B878" s="1"/>
      <c r="C878" s="2"/>
      <c r="D878" s="1"/>
    </row>
    <row r="879" spans="1:4">
      <c r="A879" s="1"/>
      <c r="B879" s="1"/>
      <c r="C879" s="2"/>
      <c r="D879" s="1"/>
    </row>
    <row r="880" spans="1:4">
      <c r="A880" s="1"/>
      <c r="B880" s="1"/>
      <c r="C880" s="2"/>
      <c r="D880" s="1"/>
    </row>
    <row r="881" spans="1:4">
      <c r="A881" s="1"/>
      <c r="B881" s="1"/>
      <c r="C881" s="2"/>
      <c r="D881" s="1"/>
    </row>
    <row r="882" spans="1:4">
      <c r="A882" s="1"/>
      <c r="B882" s="1"/>
      <c r="C882" s="2"/>
      <c r="D882" s="1"/>
    </row>
    <row r="883" spans="1:4">
      <c r="A883" s="1"/>
      <c r="B883" s="1"/>
      <c r="C883" s="2"/>
      <c r="D883" s="1"/>
    </row>
    <row r="884" spans="1:4">
      <c r="A884" s="1"/>
      <c r="B884" s="1"/>
      <c r="C884" s="2"/>
      <c r="D884" s="1"/>
    </row>
    <row r="885" spans="1:4">
      <c r="A885" s="1"/>
      <c r="B885" s="1"/>
      <c r="C885" s="2"/>
      <c r="D885" s="1"/>
    </row>
    <row r="886" spans="1:4">
      <c r="A886" s="1"/>
      <c r="B886" s="1"/>
      <c r="C886" s="2"/>
      <c r="D886" s="1"/>
    </row>
    <row r="887" spans="1:4">
      <c r="A887" s="1"/>
      <c r="B887" s="1"/>
      <c r="C887" s="2"/>
      <c r="D887" s="1"/>
    </row>
    <row r="888" spans="1:4">
      <c r="A888" s="1"/>
      <c r="B888" s="1"/>
      <c r="C888" s="2"/>
      <c r="D888" s="1"/>
    </row>
    <row r="889" spans="1:4">
      <c r="A889" s="1"/>
      <c r="B889" s="1"/>
      <c r="C889" s="2"/>
      <c r="D889" s="1"/>
    </row>
    <row r="890" spans="1:4">
      <c r="A890" s="1"/>
      <c r="B890" s="1"/>
      <c r="C890" s="2"/>
      <c r="D890" s="1"/>
    </row>
    <row r="891" spans="1:4">
      <c r="A891" s="1"/>
      <c r="B891" s="1"/>
      <c r="C891" s="2"/>
      <c r="D891" s="1"/>
    </row>
    <row r="892" spans="1:4">
      <c r="A892" s="1"/>
      <c r="B892" s="1"/>
      <c r="C892" s="2"/>
      <c r="D892" s="1"/>
    </row>
    <row r="893" spans="1:4">
      <c r="A893" s="1"/>
      <c r="B893" s="1"/>
      <c r="C893" s="2"/>
      <c r="D893" s="1"/>
    </row>
    <row r="894" spans="1:4">
      <c r="A894" s="1"/>
      <c r="B894" s="1"/>
      <c r="C894" s="2"/>
      <c r="D894" s="1"/>
    </row>
    <row r="895" spans="1:4">
      <c r="A895" s="1"/>
      <c r="B895" s="1"/>
      <c r="C895" s="2"/>
      <c r="D895" s="1"/>
    </row>
    <row r="896" spans="1:4">
      <c r="A896" s="1"/>
      <c r="B896" s="1"/>
      <c r="C896" s="2"/>
      <c r="D896" s="1"/>
    </row>
    <row r="897" spans="1:4">
      <c r="A897" s="1"/>
      <c r="B897" s="1"/>
      <c r="C897" s="2"/>
      <c r="D897" s="1"/>
    </row>
    <row r="898" spans="1:4">
      <c r="A898" s="1"/>
      <c r="B898" s="1"/>
      <c r="C898" s="2"/>
      <c r="D898" s="1"/>
    </row>
    <row r="899" spans="1:4">
      <c r="A899" s="1"/>
      <c r="B899" s="1"/>
      <c r="C899" s="2"/>
      <c r="D899" s="1"/>
    </row>
    <row r="900" spans="1:4">
      <c r="A900" s="1"/>
      <c r="B900" s="1"/>
      <c r="C900" s="2"/>
      <c r="D900" s="1"/>
    </row>
    <row r="901" spans="1:4">
      <c r="A901" s="1"/>
      <c r="B901" s="1"/>
      <c r="C901" s="2"/>
      <c r="D901" s="1"/>
    </row>
    <row r="902" spans="1:4">
      <c r="A902" s="1"/>
      <c r="B902" s="1"/>
      <c r="C902" s="2"/>
      <c r="D902" s="1"/>
    </row>
    <row r="903" spans="1:4">
      <c r="A903" s="1"/>
      <c r="B903" s="1"/>
      <c r="C903" s="2"/>
      <c r="D903" s="1"/>
    </row>
    <row r="904" spans="1:4">
      <c r="A904" s="1"/>
      <c r="B904" s="1"/>
      <c r="C904" s="2"/>
      <c r="D904" s="1"/>
    </row>
    <row r="905" spans="1:4">
      <c r="A905" s="1"/>
      <c r="B905" s="1"/>
      <c r="C905" s="2"/>
      <c r="D905" s="1"/>
    </row>
    <row r="906" spans="1:4">
      <c r="A906" s="1"/>
      <c r="B906" s="1"/>
      <c r="C906" s="2"/>
      <c r="D906" s="1"/>
    </row>
    <row r="907" spans="1:4">
      <c r="A907" s="1"/>
      <c r="B907" s="1"/>
      <c r="C907" s="2"/>
      <c r="D907" s="1"/>
    </row>
    <row r="908" spans="1:4">
      <c r="A908" s="1"/>
      <c r="B908" s="1"/>
      <c r="C908" s="2"/>
      <c r="D908" s="1"/>
    </row>
    <row r="909" spans="1:4">
      <c r="A909" s="1"/>
      <c r="B909" s="1"/>
      <c r="C909" s="2"/>
      <c r="D909" s="1"/>
    </row>
    <row r="910" spans="1:4">
      <c r="A910" s="1"/>
      <c r="B910" s="1"/>
      <c r="C910" s="2"/>
      <c r="D910" s="1"/>
    </row>
    <row r="911" spans="1:4">
      <c r="A911" s="1"/>
      <c r="B911" s="1"/>
      <c r="C911" s="2"/>
      <c r="D911" s="1"/>
    </row>
    <row r="912" spans="1:4">
      <c r="A912" s="1"/>
      <c r="B912" s="1"/>
      <c r="C912" s="2"/>
      <c r="D912" s="1"/>
    </row>
    <row r="913" spans="1:4">
      <c r="A913" s="1"/>
      <c r="B913" s="1"/>
      <c r="C913" s="2"/>
      <c r="D913" s="1"/>
    </row>
    <row r="914" spans="1:4">
      <c r="A914" s="1"/>
      <c r="B914" s="1"/>
      <c r="C914" s="2"/>
      <c r="D914" s="1"/>
    </row>
    <row r="915" spans="1:4">
      <c r="A915" s="1"/>
      <c r="B915" s="1"/>
      <c r="C915" s="2"/>
      <c r="D915" s="1"/>
    </row>
    <row r="916" spans="1:4">
      <c r="A916" s="1"/>
      <c r="B916" s="1"/>
      <c r="C916" s="2"/>
      <c r="D916" s="1"/>
    </row>
    <row r="917" spans="1:4">
      <c r="A917" s="1"/>
      <c r="B917" s="1"/>
      <c r="C917" s="2"/>
      <c r="D917" s="1"/>
    </row>
    <row r="918" spans="1:4">
      <c r="A918" s="1"/>
      <c r="B918" s="1"/>
      <c r="C918" s="2"/>
      <c r="D918" s="1"/>
    </row>
    <row r="919" spans="1:4">
      <c r="A919" s="1"/>
      <c r="B919" s="1"/>
      <c r="C919" s="2"/>
      <c r="D919" s="1"/>
    </row>
    <row r="920" spans="1:4">
      <c r="A920" s="1"/>
      <c r="B920" s="1"/>
      <c r="C920" s="2"/>
      <c r="D920" s="1"/>
    </row>
    <row r="921" spans="1:4">
      <c r="A921" s="1"/>
      <c r="B921" s="1"/>
      <c r="C921" s="2"/>
      <c r="D921" s="1"/>
    </row>
    <row r="922" spans="1:4">
      <c r="A922" s="1"/>
      <c r="B922" s="1"/>
      <c r="C922" s="2"/>
      <c r="D922" s="1"/>
    </row>
    <row r="923" spans="1:4">
      <c r="A923" s="1"/>
      <c r="B923" s="1"/>
      <c r="C923" s="2"/>
      <c r="D923" s="1"/>
    </row>
    <row r="924" spans="1:4">
      <c r="A924" s="1"/>
      <c r="B924" s="1"/>
      <c r="C924" s="2"/>
      <c r="D924" s="1"/>
    </row>
    <row r="925" spans="1:4">
      <c r="A925" s="1"/>
      <c r="B925" s="1"/>
      <c r="C925" s="2"/>
      <c r="D925" s="1"/>
    </row>
    <row r="926" spans="1:4">
      <c r="A926" s="1"/>
      <c r="B926" s="1"/>
      <c r="C926" s="2"/>
      <c r="D926" s="1"/>
    </row>
    <row r="927" spans="1:4">
      <c r="A927" s="1"/>
      <c r="B927" s="1"/>
      <c r="C927" s="2"/>
      <c r="D927" s="1"/>
    </row>
    <row r="928" spans="1:4">
      <c r="A928" s="1"/>
      <c r="B928" s="1"/>
      <c r="C928" s="2"/>
      <c r="D928" s="1"/>
    </row>
    <row r="929" spans="1:4">
      <c r="A929" s="1"/>
      <c r="B929" s="1"/>
      <c r="C929" s="2"/>
      <c r="D929" s="1"/>
    </row>
    <row r="930" spans="1:4">
      <c r="A930" s="1"/>
      <c r="B930" s="1"/>
      <c r="C930" s="2"/>
      <c r="D930" s="1"/>
    </row>
    <row r="931" spans="1:4">
      <c r="A931" s="1"/>
      <c r="B931" s="1"/>
      <c r="C931" s="2"/>
      <c r="D931" s="1"/>
    </row>
    <row r="932" spans="1:4">
      <c r="A932" s="1"/>
      <c r="B932" s="1"/>
      <c r="C932" s="2"/>
      <c r="D932" s="1"/>
    </row>
    <row r="933" spans="1:4">
      <c r="A933" s="1"/>
      <c r="B933" s="1"/>
      <c r="C933" s="2"/>
      <c r="D933" s="1"/>
    </row>
    <row r="934" spans="1:4">
      <c r="A934" s="1"/>
      <c r="B934" s="1"/>
      <c r="C934" s="2"/>
      <c r="D934" s="1"/>
    </row>
    <row r="935" spans="1:4">
      <c r="A935" s="1"/>
      <c r="B935" s="1"/>
      <c r="C935" s="2"/>
      <c r="D935" s="1"/>
    </row>
    <row r="936" spans="1:4">
      <c r="A936" s="1"/>
      <c r="B936" s="1"/>
      <c r="C936" s="2"/>
      <c r="D936" s="1"/>
    </row>
    <row r="937" spans="1:4">
      <c r="A937" s="1"/>
      <c r="B937" s="1"/>
      <c r="C937" s="2"/>
      <c r="D937" s="1"/>
    </row>
    <row r="938" spans="1:4">
      <c r="A938" s="1"/>
      <c r="B938" s="1"/>
      <c r="C938" s="2"/>
      <c r="D938" s="1"/>
    </row>
    <row r="939" spans="1:4">
      <c r="A939" s="1"/>
      <c r="B939" s="1"/>
      <c r="C939" s="2"/>
      <c r="D939" s="1"/>
    </row>
    <row r="940" spans="1:4">
      <c r="A940" s="1"/>
      <c r="B940" s="1"/>
      <c r="C940" s="2"/>
      <c r="D940" s="1"/>
    </row>
    <row r="941" spans="1:4">
      <c r="A941" s="1"/>
      <c r="B941" s="1"/>
      <c r="C941" s="2"/>
      <c r="D941" s="1"/>
    </row>
    <row r="942" spans="1:4">
      <c r="A942" s="1"/>
      <c r="B942" s="1"/>
      <c r="C942" s="2"/>
      <c r="D942" s="1"/>
    </row>
    <row r="943" spans="1:4">
      <c r="A943" s="1"/>
      <c r="B943" s="1"/>
      <c r="C943" s="2"/>
      <c r="D943" s="1"/>
    </row>
    <row r="944" spans="1:4">
      <c r="A944" s="1"/>
      <c r="B944" s="1"/>
      <c r="C944" s="2"/>
      <c r="D944" s="1"/>
    </row>
    <row r="945" spans="1:4">
      <c r="A945" s="1"/>
      <c r="B945" s="1"/>
      <c r="C945" s="2"/>
      <c r="D945" s="1"/>
    </row>
    <row r="946" spans="1:4">
      <c r="A946" s="1"/>
      <c r="B946" s="1"/>
      <c r="C946" s="2"/>
      <c r="D946" s="1"/>
    </row>
    <row r="947" spans="1:4">
      <c r="A947" s="1"/>
      <c r="B947" s="1"/>
      <c r="C947" s="2"/>
      <c r="D947" s="1"/>
    </row>
    <row r="948" spans="1:4">
      <c r="A948" s="1"/>
      <c r="B948" s="1"/>
      <c r="C948" s="2"/>
      <c r="D948" s="1"/>
    </row>
    <row r="949" spans="1:4">
      <c r="A949" s="1"/>
      <c r="B949" s="1"/>
      <c r="C949" s="2"/>
      <c r="D949" s="1"/>
    </row>
    <row r="950" spans="1:4">
      <c r="A950" s="1"/>
      <c r="B950" s="1"/>
      <c r="C950" s="2"/>
      <c r="D950" s="1"/>
    </row>
    <row r="951" spans="1:4">
      <c r="A951" s="1"/>
      <c r="B951" s="1"/>
      <c r="C951" s="2"/>
      <c r="D951" s="1"/>
    </row>
    <row r="952" spans="1:4">
      <c r="A952" s="1"/>
      <c r="B952" s="1"/>
      <c r="C952" s="2"/>
      <c r="D952" s="1"/>
    </row>
    <row r="953" spans="1:4">
      <c r="A953" s="1"/>
      <c r="B953" s="1"/>
      <c r="C953" s="2"/>
      <c r="D953" s="1"/>
    </row>
    <row r="954" spans="1:4">
      <c r="A954" s="1"/>
      <c r="B954" s="1"/>
      <c r="C954" s="2"/>
      <c r="D954" s="1"/>
    </row>
    <row r="955" spans="1:4">
      <c r="A955" s="1"/>
      <c r="B955" s="1"/>
      <c r="C955" s="2"/>
      <c r="D955" s="1"/>
    </row>
    <row r="956" spans="1:4">
      <c r="A956" s="1"/>
      <c r="B956" s="1"/>
      <c r="C956" s="2"/>
      <c r="D956" s="1"/>
    </row>
    <row r="957" spans="1:4">
      <c r="A957" s="1"/>
      <c r="B957" s="1"/>
      <c r="C957" s="2"/>
      <c r="D957" s="1"/>
    </row>
    <row r="958" spans="1:4">
      <c r="A958" s="1"/>
      <c r="B958" s="1"/>
      <c r="C958" s="2"/>
      <c r="D958" s="1"/>
    </row>
    <row r="959" spans="1:4">
      <c r="A959" s="1"/>
      <c r="B959" s="1"/>
      <c r="C959" s="2"/>
      <c r="D959" s="1"/>
    </row>
    <row r="960" spans="1:4">
      <c r="A960" s="1"/>
      <c r="B960" s="1"/>
      <c r="C960" s="2"/>
      <c r="D960" s="1"/>
    </row>
    <row r="961" spans="1:4">
      <c r="A961" s="1"/>
      <c r="B961" s="1"/>
      <c r="C961" s="2"/>
      <c r="D961" s="1"/>
    </row>
    <row r="962" spans="1:4">
      <c r="A962" s="1"/>
      <c r="B962" s="1"/>
      <c r="C962" s="2"/>
      <c r="D962" s="1"/>
    </row>
    <row r="963" spans="1:4">
      <c r="A963" s="1"/>
      <c r="B963" s="1"/>
      <c r="C963" s="2"/>
      <c r="D963" s="1"/>
    </row>
    <row r="964" spans="1:4">
      <c r="A964" s="1"/>
      <c r="B964" s="1"/>
      <c r="C964" s="2"/>
      <c r="D964" s="1"/>
    </row>
    <row r="965" spans="1:4">
      <c r="A965" s="1"/>
      <c r="B965" s="1"/>
      <c r="C965" s="2"/>
      <c r="D965" s="1"/>
    </row>
    <row r="966" spans="1:4">
      <c r="A966" s="1"/>
      <c r="B966" s="1"/>
      <c r="C966" s="2"/>
      <c r="D966" s="1"/>
    </row>
    <row r="967" spans="1:4">
      <c r="A967" s="1"/>
      <c r="B967" s="1"/>
      <c r="C967" s="2"/>
      <c r="D967" s="1"/>
    </row>
    <row r="968" spans="1:4">
      <c r="A968" s="1"/>
      <c r="B968" s="1"/>
      <c r="C968" s="2"/>
      <c r="D968" s="1"/>
    </row>
    <row r="969" spans="1:4">
      <c r="A969" s="1"/>
      <c r="B969" s="1"/>
      <c r="C969" s="2"/>
      <c r="D969" s="1"/>
    </row>
    <row r="970" spans="1:4">
      <c r="A970" s="1"/>
      <c r="B970" s="1"/>
      <c r="C970" s="2"/>
      <c r="D970" s="1"/>
    </row>
    <row r="971" spans="1:4">
      <c r="A971" s="1"/>
      <c r="B971" s="1"/>
      <c r="C971" s="2"/>
      <c r="D971" s="1"/>
    </row>
    <row r="972" spans="1:4">
      <c r="A972" s="1"/>
      <c r="B972" s="1"/>
      <c r="C972" s="2"/>
      <c r="D972" s="1"/>
    </row>
    <row r="973" spans="1:4">
      <c r="A973" s="1"/>
      <c r="B973" s="1"/>
      <c r="C973" s="2"/>
      <c r="D973" s="1"/>
    </row>
    <row r="974" spans="1:4">
      <c r="A974" s="1"/>
      <c r="B974" s="1"/>
      <c r="C974" s="2"/>
      <c r="D974" s="1"/>
    </row>
    <row r="975" spans="1:4">
      <c r="A975" s="1"/>
      <c r="B975" s="1"/>
      <c r="C975" s="2"/>
      <c r="D975" s="1"/>
    </row>
    <row r="976" spans="1:4">
      <c r="A976" s="1"/>
      <c r="B976" s="1"/>
      <c r="C976" s="2"/>
      <c r="D976" s="1"/>
    </row>
    <row r="977" spans="1:4">
      <c r="A977" s="1"/>
      <c r="B977" s="1"/>
      <c r="C977" s="2"/>
      <c r="D977" s="1"/>
    </row>
    <row r="978" spans="1:4">
      <c r="A978" s="1"/>
      <c r="B978" s="1"/>
      <c r="C978" s="2"/>
      <c r="D978" s="1"/>
    </row>
    <row r="979" spans="1:4">
      <c r="A979" s="1"/>
      <c r="B979" s="1"/>
      <c r="C979" s="2"/>
      <c r="D979" s="1"/>
    </row>
    <row r="980" spans="1:4">
      <c r="A980" s="1"/>
      <c r="B980" s="1"/>
      <c r="C980" s="2"/>
      <c r="D980" s="1"/>
    </row>
    <row r="981" spans="1:4">
      <c r="A981" s="1"/>
      <c r="B981" s="1"/>
      <c r="C981" s="2"/>
      <c r="D981" s="1"/>
    </row>
    <row r="982" spans="1:4">
      <c r="A982" s="1"/>
      <c r="B982" s="1"/>
      <c r="C982" s="2"/>
      <c r="D982" s="1"/>
    </row>
    <row r="983" spans="1:4">
      <c r="A983" s="1"/>
      <c r="B983" s="1"/>
      <c r="C983" s="2"/>
      <c r="D983" s="1"/>
    </row>
    <row r="984" spans="1:4">
      <c r="A984" s="1"/>
      <c r="B984" s="1"/>
      <c r="C984" s="2"/>
      <c r="D984" s="1"/>
    </row>
    <row r="985" spans="1:4">
      <c r="A985" s="1"/>
      <c r="B985" s="1"/>
      <c r="C985" s="2"/>
      <c r="D985" s="1"/>
    </row>
    <row r="986" spans="1:4">
      <c r="A986" s="1"/>
      <c r="B986" s="1"/>
      <c r="C986" s="2"/>
      <c r="D986" s="1"/>
    </row>
    <row r="987" spans="1:4">
      <c r="A987" s="1"/>
      <c r="B987" s="1"/>
      <c r="C987" s="2"/>
      <c r="D987" s="1"/>
    </row>
    <row r="988" spans="1:4">
      <c r="A988" s="1"/>
      <c r="B988" s="1"/>
      <c r="C988" s="2"/>
      <c r="D988" s="1"/>
    </row>
    <row r="989" spans="1:4">
      <c r="A989" s="1"/>
      <c r="B989" s="1"/>
      <c r="C989" s="2"/>
      <c r="D989" s="1"/>
    </row>
    <row r="990" spans="1:4">
      <c r="A990" s="1"/>
      <c r="B990" s="1"/>
      <c r="C990" s="2"/>
      <c r="D990" s="1"/>
    </row>
    <row r="991" spans="1:4">
      <c r="A991" s="1"/>
      <c r="B991" s="1"/>
      <c r="C991" s="2"/>
      <c r="D991" s="1"/>
    </row>
    <row r="992" spans="1:4">
      <c r="A992" s="1"/>
      <c r="B992" s="1"/>
      <c r="C992" s="2"/>
      <c r="D992" s="1"/>
    </row>
    <row r="993" spans="1:4">
      <c r="A993" s="1"/>
      <c r="B993" s="1"/>
      <c r="C993" s="2"/>
      <c r="D993" s="1"/>
    </row>
    <row r="994" spans="1:4">
      <c r="A994" s="1"/>
      <c r="B994" s="1"/>
      <c r="C994" s="2"/>
      <c r="D994" s="1"/>
    </row>
    <row r="995" spans="1:4">
      <c r="A995" s="1"/>
      <c r="B995" s="1"/>
      <c r="C995" s="2"/>
      <c r="D995" s="1"/>
    </row>
    <row r="996" spans="1:4">
      <c r="A996" s="1"/>
      <c r="B996" s="1"/>
      <c r="C996" s="2"/>
      <c r="D996" s="1"/>
    </row>
    <row r="997" spans="1:4">
      <c r="A997" s="1"/>
      <c r="B997" s="1"/>
      <c r="C997" s="2"/>
      <c r="D997" s="1"/>
    </row>
    <row r="998" spans="1:4">
      <c r="A998" s="1"/>
      <c r="B998" s="1"/>
      <c r="C998" s="2"/>
      <c r="D998" s="1"/>
    </row>
    <row r="999" spans="1:4">
      <c r="A999" s="1"/>
      <c r="B999" s="1"/>
      <c r="C999" s="2"/>
      <c r="D999" s="1"/>
    </row>
    <row r="1000" spans="1:4">
      <c r="A1000" s="1"/>
      <c r="B1000" s="1"/>
      <c r="C1000" s="2"/>
      <c r="D1000" s="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2:AV9"/>
  <sheetViews>
    <sheetView workbookViewId="0"/>
  </sheetViews>
  <sheetFormatPr defaultColWidth="12.5703125" defaultRowHeight="15.75" customHeight="1"/>
  <sheetData>
    <row r="2" spans="1:48">
      <c r="A2" s="1"/>
      <c r="B2" s="19"/>
      <c r="C2" s="20">
        <v>45517.853533148147</v>
      </c>
      <c r="D2" s="6" t="s">
        <v>93</v>
      </c>
      <c r="E2" s="6" t="s">
        <v>100</v>
      </c>
      <c r="F2" s="6" t="s">
        <v>101</v>
      </c>
      <c r="G2" s="6" t="s">
        <v>13</v>
      </c>
      <c r="H2" s="6"/>
      <c r="I2" s="6" t="s">
        <v>36</v>
      </c>
      <c r="J2" s="6" t="s">
        <v>91</v>
      </c>
      <c r="K2" s="6" t="s">
        <v>92</v>
      </c>
      <c r="L2" s="6">
        <v>2.27</v>
      </c>
      <c r="M2" s="6">
        <v>112</v>
      </c>
      <c r="N2" s="6" t="s">
        <v>93</v>
      </c>
      <c r="O2" s="6" t="s">
        <v>94</v>
      </c>
      <c r="P2" s="6" t="s">
        <v>6</v>
      </c>
      <c r="Q2" s="6"/>
      <c r="R2" s="6" t="s">
        <v>102</v>
      </c>
      <c r="S2" s="6" t="s">
        <v>103</v>
      </c>
      <c r="T2" s="6">
        <v>2.17</v>
      </c>
      <c r="U2" s="6">
        <v>98</v>
      </c>
      <c r="V2" s="6" t="s">
        <v>104</v>
      </c>
      <c r="W2" s="6" t="s">
        <v>105</v>
      </c>
      <c r="X2" s="6" t="s">
        <v>6</v>
      </c>
      <c r="Y2" s="6"/>
      <c r="Z2" s="6" t="s">
        <v>106</v>
      </c>
      <c r="AA2" s="6" t="s">
        <v>107</v>
      </c>
      <c r="AB2" s="6">
        <v>2.4300000000000002</v>
      </c>
      <c r="AC2" s="6">
        <v>94</v>
      </c>
      <c r="AD2" s="6" t="s">
        <v>108</v>
      </c>
      <c r="AE2" s="6" t="s">
        <v>109</v>
      </c>
      <c r="AF2" s="6" t="s">
        <v>6</v>
      </c>
      <c r="AG2" s="6"/>
      <c r="AH2" s="6" t="s">
        <v>2</v>
      </c>
      <c r="AI2" s="6" t="s">
        <v>110</v>
      </c>
      <c r="AJ2" s="6" t="s">
        <v>3</v>
      </c>
      <c r="AK2" s="6" t="s">
        <v>11</v>
      </c>
      <c r="AL2" s="6" t="s">
        <v>111</v>
      </c>
      <c r="AM2" s="6" t="s">
        <v>4</v>
      </c>
      <c r="AN2" s="6" t="s">
        <v>61</v>
      </c>
      <c r="AO2" s="6" t="s">
        <v>4</v>
      </c>
      <c r="AP2" s="6" t="s">
        <v>61</v>
      </c>
      <c r="AQ2" s="6"/>
      <c r="AR2" s="6"/>
      <c r="AS2" s="6"/>
      <c r="AT2" s="6"/>
      <c r="AU2" s="6"/>
      <c r="AV2" s="6"/>
    </row>
    <row r="6" spans="1:48">
      <c r="A6" s="21"/>
      <c r="B6" s="21"/>
      <c r="C6" s="21"/>
      <c r="D6" s="21"/>
      <c r="E6" s="21"/>
      <c r="F6" s="21"/>
      <c r="G6" s="21"/>
      <c r="H6" s="21"/>
      <c r="I6" s="21"/>
      <c r="J6" s="21"/>
      <c r="K6" s="21"/>
      <c r="L6" s="21"/>
      <c r="M6" s="21"/>
      <c r="N6" s="21"/>
      <c r="O6" s="21"/>
      <c r="P6" s="21"/>
      <c r="S6" s="21"/>
      <c r="V6" s="21"/>
    </row>
    <row r="7" spans="1:48">
      <c r="A7" s="21"/>
      <c r="B7" s="21"/>
      <c r="C7" s="21"/>
      <c r="D7" s="21"/>
      <c r="E7" s="21"/>
      <c r="F7" s="21"/>
      <c r="G7" s="21"/>
      <c r="H7" s="21"/>
      <c r="I7" s="21"/>
      <c r="J7" s="21"/>
      <c r="K7" s="21"/>
      <c r="L7" s="21"/>
      <c r="M7" s="21"/>
      <c r="N7" s="21"/>
      <c r="O7" s="21"/>
      <c r="P7" s="21"/>
      <c r="S7" s="21"/>
      <c r="V7" s="21"/>
    </row>
    <row r="8" spans="1:48">
      <c r="A8" s="21"/>
      <c r="B8" s="21"/>
      <c r="C8" s="21"/>
      <c r="D8" s="21"/>
      <c r="E8" s="21"/>
      <c r="F8" s="21"/>
      <c r="G8" s="21"/>
      <c r="H8" s="21"/>
      <c r="I8" s="21"/>
      <c r="J8" s="21"/>
      <c r="K8" s="21"/>
      <c r="L8" s="21"/>
      <c r="M8" s="21"/>
      <c r="N8" s="21"/>
      <c r="O8" s="21"/>
      <c r="P8" s="21"/>
      <c r="S8" s="21"/>
      <c r="V8" s="21"/>
    </row>
    <row r="9" spans="1:48">
      <c r="A9" s="21"/>
      <c r="B9" s="21"/>
      <c r="C9" s="21"/>
      <c r="D9" s="21"/>
      <c r="E9" s="21"/>
      <c r="F9" s="21"/>
      <c r="G9" s="21"/>
      <c r="H9" s="21"/>
      <c r="I9" s="21"/>
      <c r="J9" s="21"/>
      <c r="K9" s="21"/>
      <c r="L9" s="21"/>
      <c r="M9" s="21"/>
      <c r="N9" s="21"/>
      <c r="O9" s="21"/>
      <c r="P9" s="21"/>
      <c r="S9" s="21"/>
      <c r="V9" s="21"/>
    </row>
  </sheetData>
  <conditionalFormatting sqref="M2 U2 AC2">
    <cfRule type="cellIs" dxfId="6" priority="1" operator="lessThan">
      <formula>92</formula>
    </cfRule>
  </conditionalFormatting>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2:AT6"/>
  <sheetViews>
    <sheetView workbookViewId="0"/>
  </sheetViews>
  <sheetFormatPr defaultColWidth="12.5703125" defaultRowHeight="15.75" customHeight="1"/>
  <cols>
    <col min="1" max="1" width="33.42578125" customWidth="1"/>
  </cols>
  <sheetData>
    <row r="2" spans="1:46" ht="32.25" customHeight="1">
      <c r="A2" s="3">
        <v>45525.961409039352</v>
      </c>
      <c r="B2" s="1" t="s">
        <v>89</v>
      </c>
      <c r="C2" s="1" t="s">
        <v>112</v>
      </c>
      <c r="D2" s="1" t="s">
        <v>113</v>
      </c>
      <c r="E2" s="1" t="s">
        <v>18</v>
      </c>
      <c r="G2" s="1" t="s">
        <v>9</v>
      </c>
      <c r="H2" s="1" t="s">
        <v>114</v>
      </c>
      <c r="I2" s="1" t="s">
        <v>88</v>
      </c>
      <c r="J2" s="1">
        <v>2.0699999999999998</v>
      </c>
      <c r="K2" s="1">
        <v>94</v>
      </c>
      <c r="L2" s="1" t="s">
        <v>89</v>
      </c>
      <c r="M2" s="1" t="s">
        <v>90</v>
      </c>
      <c r="N2" s="1" t="s">
        <v>6</v>
      </c>
      <c r="P2" s="1" t="s">
        <v>115</v>
      </c>
      <c r="Q2" s="1" t="s">
        <v>88</v>
      </c>
      <c r="R2" s="1">
        <v>2.0699999999999998</v>
      </c>
      <c r="S2" s="1">
        <v>94</v>
      </c>
      <c r="T2" s="1" t="s">
        <v>89</v>
      </c>
      <c r="U2" s="1" t="s">
        <v>90</v>
      </c>
      <c r="V2" s="1" t="s">
        <v>6</v>
      </c>
      <c r="AF2" s="1" t="s">
        <v>2</v>
      </c>
      <c r="AG2" s="1" t="s">
        <v>116</v>
      </c>
      <c r="AH2" s="1" t="s">
        <v>7</v>
      </c>
      <c r="AI2" s="1" t="s">
        <v>45</v>
      </c>
      <c r="AJ2" s="1" t="s">
        <v>117</v>
      </c>
      <c r="AK2" s="1" t="s">
        <v>4</v>
      </c>
      <c r="AM2" s="1" t="s">
        <v>4</v>
      </c>
      <c r="AN2" s="1"/>
      <c r="AO2" s="1"/>
      <c r="AP2" s="1"/>
      <c r="AQ2" s="1"/>
      <c r="AR2" s="1"/>
      <c r="AS2" s="1"/>
      <c r="AT2" s="1"/>
    </row>
    <row r="4" spans="1:46" ht="27" customHeight="1">
      <c r="A4" s="3">
        <v>45529.968046215276</v>
      </c>
      <c r="B4" s="1" t="s">
        <v>79</v>
      </c>
      <c r="C4" s="1" t="s">
        <v>80</v>
      </c>
      <c r="D4" s="1" t="s">
        <v>81</v>
      </c>
      <c r="E4" s="1" t="s">
        <v>39</v>
      </c>
      <c r="F4" s="1" t="s">
        <v>5</v>
      </c>
      <c r="G4" s="1" t="s">
        <v>82</v>
      </c>
      <c r="H4" s="1" t="s">
        <v>83</v>
      </c>
      <c r="I4" s="1" t="s">
        <v>84</v>
      </c>
      <c r="J4" s="1">
        <v>2.2000000000000002</v>
      </c>
      <c r="K4" s="1">
        <v>99</v>
      </c>
      <c r="L4" s="1" t="s">
        <v>79</v>
      </c>
      <c r="M4" s="1" t="s">
        <v>85</v>
      </c>
      <c r="N4" s="1" t="s">
        <v>6</v>
      </c>
      <c r="O4" s="4" t="s">
        <v>86</v>
      </c>
      <c r="P4" s="1" t="s">
        <v>118</v>
      </c>
      <c r="Q4" s="1" t="s">
        <v>119</v>
      </c>
      <c r="R4" s="1">
        <v>2.1</v>
      </c>
      <c r="S4" s="1">
        <v>93</v>
      </c>
      <c r="T4" s="1" t="s">
        <v>120</v>
      </c>
      <c r="U4" s="1" t="s">
        <v>121</v>
      </c>
      <c r="V4" s="1" t="s">
        <v>6</v>
      </c>
      <c r="X4" s="1" t="s">
        <v>87</v>
      </c>
      <c r="Y4" s="1" t="s">
        <v>88</v>
      </c>
      <c r="Z4" s="1">
        <v>2.0699999999999998</v>
      </c>
      <c r="AA4" s="1">
        <v>94</v>
      </c>
      <c r="AB4" s="1" t="s">
        <v>89</v>
      </c>
      <c r="AC4" s="1" t="s">
        <v>90</v>
      </c>
      <c r="AD4" s="1" t="s">
        <v>6</v>
      </c>
      <c r="AF4" s="1" t="s">
        <v>2</v>
      </c>
      <c r="AG4" s="1" t="s">
        <v>95</v>
      </c>
      <c r="AH4" s="1" t="s">
        <v>7</v>
      </c>
      <c r="AI4" s="1" t="s">
        <v>65</v>
      </c>
      <c r="AJ4" s="1" t="s">
        <v>12</v>
      </c>
      <c r="AK4" s="1" t="s">
        <v>4</v>
      </c>
      <c r="AM4" s="1" t="s">
        <v>4</v>
      </c>
    </row>
    <row r="5" spans="1:46" ht="12.75">
      <c r="B5" s="22"/>
      <c r="C5" s="22"/>
      <c r="D5" s="22"/>
    </row>
    <row r="6" spans="1:46" ht="12.75">
      <c r="B6" s="22"/>
      <c r="C6" s="22"/>
      <c r="D6" s="22"/>
    </row>
  </sheetData>
  <conditionalFormatting sqref="K2 S2 AA2 K4 S4 AA4">
    <cfRule type="cellIs" dxfId="5" priority="1" operator="lessThan">
      <formula>92</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ummaryRight="0"/>
  </sheetPr>
  <dimension ref="A1:I127"/>
  <sheetViews>
    <sheetView workbookViewId="0"/>
  </sheetViews>
  <sheetFormatPr defaultColWidth="12.5703125" defaultRowHeight="15.75" customHeight="1"/>
  <cols>
    <col min="1" max="1" width="26.140625" customWidth="1"/>
    <col min="5" max="6" width="12.5703125" hidden="1"/>
  </cols>
  <sheetData>
    <row r="1" spans="1:9" ht="15.75" customHeight="1">
      <c r="A1" s="24" t="s">
        <v>186</v>
      </c>
      <c r="B1" s="24" t="s">
        <v>187</v>
      </c>
      <c r="E1" s="34" t="s">
        <v>188</v>
      </c>
      <c r="F1" s="35"/>
    </row>
    <row r="2" spans="1:9">
      <c r="A2" s="23" t="s">
        <v>15</v>
      </c>
      <c r="B2" s="23" t="e">
        <f>SUM(IF(ISNA(VLOOKUP(A2,#REF!,2,FALSE)),0,VLOOKUP(A2,#REF!,2,FALSE)),IF(ISNA(VLOOKUP(A2,#REF!,2,FALSE)),0,VLOOKUP(A2,#REF!,2,FALSE)))</f>
        <v>#REF!</v>
      </c>
      <c r="E2" s="25" t="s">
        <v>189</v>
      </c>
      <c r="F2" s="25" t="s">
        <v>190</v>
      </c>
      <c r="I2" s="19"/>
    </row>
    <row r="3" spans="1:9" ht="15.75" customHeight="1">
      <c r="A3" s="26" t="s">
        <v>191</v>
      </c>
      <c r="B3" s="23" t="e">
        <f>SUM(IF(ISNA(VLOOKUP(A3,#REF!,2,FALSE)),0,VLOOKUP(A3,#REF!,2,FALSE)),IF(ISNA(VLOOKUP(A3,#REF!,2,FALSE)),0,VLOOKUP(A3,#REF!,2,FALSE)))</f>
        <v>#REF!</v>
      </c>
      <c r="E3" s="25" t="s">
        <v>192</v>
      </c>
      <c r="F3" s="25" t="s">
        <v>193</v>
      </c>
      <c r="I3" s="19"/>
    </row>
    <row r="4" spans="1:9" ht="15.75" customHeight="1">
      <c r="A4" s="27" t="s">
        <v>22</v>
      </c>
      <c r="B4" s="23" t="e">
        <f>SUM(IF(ISNA(VLOOKUP(A4,#REF!,2,FALSE)),0,VLOOKUP(A4,#REF!,2,FALSE)),IF(ISNA(VLOOKUP(A4,#REF!,2,FALSE)),0,VLOOKUP(A4,#REF!,2,FALSE)))</f>
        <v>#REF!</v>
      </c>
      <c r="E4" s="25" t="s">
        <v>194</v>
      </c>
      <c r="F4" s="25" t="s">
        <v>195</v>
      </c>
      <c r="I4" s="19"/>
    </row>
    <row r="5" spans="1:9" ht="15.75" customHeight="1">
      <c r="A5" s="26" t="s">
        <v>55</v>
      </c>
      <c r="B5" s="23" t="e">
        <f>SUM(IF(ISNA(VLOOKUP(A5,#REF!,2,FALSE)),0,VLOOKUP(A5,#REF!,2,FALSE)),IF(ISNA(VLOOKUP(A5,#REF!,2,FALSE)),0,VLOOKUP(A5,#REF!,2,FALSE)))</f>
        <v>#REF!</v>
      </c>
      <c r="E5" s="25" t="s">
        <v>196</v>
      </c>
      <c r="F5" s="25" t="s">
        <v>197</v>
      </c>
      <c r="I5" s="19"/>
    </row>
    <row r="6" spans="1:9" ht="15.75" customHeight="1">
      <c r="A6" s="26" t="s">
        <v>198</v>
      </c>
      <c r="B6" s="23" t="e">
        <f>SUM(IF(ISNA(VLOOKUP(A6,#REF!,2,FALSE)),0,VLOOKUP(A6,#REF!,2,FALSE)),IF(ISNA(VLOOKUP(A6,#REF!,2,FALSE)),0,VLOOKUP(A6,#REF!,2,FALSE)))</f>
        <v>#REF!</v>
      </c>
      <c r="I6" s="19"/>
    </row>
    <row r="7" spans="1:9" ht="15.75" customHeight="1">
      <c r="A7" s="26" t="s">
        <v>50</v>
      </c>
      <c r="B7" s="23" t="e">
        <f>SUM(IF(ISNA(VLOOKUP(A7,#REF!,2,FALSE)),0,VLOOKUP(A7,#REF!,2,FALSE)),IF(ISNA(VLOOKUP(A7,#REF!,2,FALSE)),0,VLOOKUP(A7,#REF!,2,FALSE)))</f>
        <v>#REF!</v>
      </c>
      <c r="I7" s="19"/>
    </row>
    <row r="8" spans="1:9" ht="15.75" customHeight="1">
      <c r="A8" s="26" t="s">
        <v>63</v>
      </c>
      <c r="B8" s="23" t="e">
        <f>SUM(IF(ISNA(VLOOKUP(A8,#REF!,2,FALSE)),0,VLOOKUP(A8,#REF!,2,FALSE)),IF(ISNA(VLOOKUP(A8,#REF!,2,FALSE)),0,VLOOKUP(A8,#REF!,2,FALSE)))</f>
        <v>#REF!</v>
      </c>
      <c r="I8" s="19"/>
    </row>
    <row r="9" spans="1:9" ht="15.75" customHeight="1">
      <c r="A9" s="26" t="s">
        <v>31</v>
      </c>
      <c r="B9" s="23" t="e">
        <f>SUM(IF(ISNA(VLOOKUP(A9,#REF!,2,FALSE)),0,VLOOKUP(A9,#REF!,2,FALSE)),IF(ISNA(VLOOKUP(A9,#REF!,2,FALSE)),0,VLOOKUP(A9,#REF!,2,FALSE)))</f>
        <v>#REF!</v>
      </c>
      <c r="I9" s="19"/>
    </row>
    <row r="10" spans="1:9" ht="15.75" customHeight="1">
      <c r="A10" s="26" t="s">
        <v>66</v>
      </c>
      <c r="B10" s="23" t="e">
        <f>SUM(IF(ISNA(VLOOKUP(A10,#REF!,2,FALSE)),0,VLOOKUP(A10,#REF!,2,FALSE)),IF(ISNA(VLOOKUP(A10,#REF!,2,FALSE)),0,VLOOKUP(A10,#REF!,2,FALSE)))</f>
        <v>#REF!</v>
      </c>
      <c r="I10" s="19"/>
    </row>
    <row r="11" spans="1:9" ht="15.75" customHeight="1">
      <c r="A11" s="26" t="s">
        <v>46</v>
      </c>
      <c r="B11" s="23" t="e">
        <f>SUM(IF(ISNA(VLOOKUP(A11,#REF!,2,FALSE)),0,VLOOKUP(A11,#REF!,2,FALSE)),IF(ISNA(VLOOKUP(A11,#REF!,2,FALSE)),0,VLOOKUP(A11,#REF!,2,FALSE)))</f>
        <v>#REF!</v>
      </c>
      <c r="I11" s="19"/>
    </row>
    <row r="12" spans="1:9" ht="15.75" customHeight="1">
      <c r="A12" s="26" t="s">
        <v>60</v>
      </c>
      <c r="B12" s="23" t="e">
        <f>SUM(IF(ISNA(VLOOKUP(A12,#REF!,2,FALSE)),0,VLOOKUP(A12,#REF!,2,FALSE)),IF(ISNA(VLOOKUP(A12,#REF!,2,FALSE)),0,VLOOKUP(A12,#REF!,2,FALSE)))</f>
        <v>#REF!</v>
      </c>
      <c r="I12" s="19"/>
    </row>
    <row r="13" spans="1:9" ht="15.75" customHeight="1">
      <c r="A13" s="26" t="s">
        <v>41</v>
      </c>
      <c r="B13" s="23" t="e">
        <f>SUM(IF(ISNA(VLOOKUP(A13,#REF!,2,FALSE)),0,VLOOKUP(A13,#REF!,2,FALSE)),IF(ISNA(VLOOKUP(A13,#REF!,2,FALSE)),0,VLOOKUP(A13,#REF!,2,FALSE)))</f>
        <v>#REF!</v>
      </c>
      <c r="I13" s="19"/>
    </row>
    <row r="14" spans="1:9" ht="15.75" customHeight="1">
      <c r="A14" s="26" t="s">
        <v>75</v>
      </c>
      <c r="B14" s="23" t="e">
        <f>SUM(IF(ISNA(VLOOKUP(A14,#REF!,2,FALSE)),0,VLOOKUP(A14,#REF!,2,FALSE)),IF(ISNA(VLOOKUP(A14,#REF!,2,FALSE)),0,VLOOKUP(A14,#REF!,2,FALSE)))</f>
        <v>#REF!</v>
      </c>
      <c r="I14" s="19"/>
    </row>
    <row r="15" spans="1:9" ht="15.75" customHeight="1">
      <c r="A15" s="26" t="s">
        <v>52</v>
      </c>
      <c r="B15" s="23" t="e">
        <f>SUM(IF(ISNA(VLOOKUP(A15,#REF!,2,FALSE)),0,VLOOKUP(A15,#REF!,2,FALSE)),IF(ISNA(VLOOKUP(A15,#REF!,2,FALSE)),0,VLOOKUP(A15,#REF!,2,FALSE)))</f>
        <v>#REF!</v>
      </c>
      <c r="I15" s="19"/>
    </row>
    <row r="16" spans="1:9" ht="15.75" customHeight="1">
      <c r="A16" s="26" t="s">
        <v>34</v>
      </c>
      <c r="B16" s="23" t="e">
        <f>SUM(IF(ISNA(VLOOKUP(A16,#REF!,2,FALSE)),0,VLOOKUP(A16,#REF!,2,FALSE)),IF(ISNA(VLOOKUP(A16,#REF!,2,FALSE)),0,VLOOKUP(A16,#REF!,2,FALSE)))</f>
        <v>#REF!</v>
      </c>
      <c r="I16" s="19"/>
    </row>
    <row r="17" spans="1:9" ht="15.75" customHeight="1">
      <c r="A17" s="26" t="s">
        <v>49</v>
      </c>
      <c r="B17" s="23" t="e">
        <f>SUM(IF(ISNA(VLOOKUP(A17,#REF!,2,FALSE)),0,VLOOKUP(A17,#REF!,2,FALSE)),IF(ISNA(VLOOKUP(A17,#REF!,2,FALSE)),0,VLOOKUP(A17,#REF!,2,FALSE)))</f>
        <v>#REF!</v>
      </c>
      <c r="I17" s="19"/>
    </row>
    <row r="18" spans="1:9" ht="15.75" customHeight="1">
      <c r="A18" s="26" t="s">
        <v>64</v>
      </c>
      <c r="B18" s="23" t="e">
        <f>SUM(IF(ISNA(VLOOKUP(A18,#REF!,2,FALSE)),0,VLOOKUP(A18,#REF!,2,FALSE)),IF(ISNA(VLOOKUP(A18,#REF!,2,FALSE)),0,VLOOKUP(A18,#REF!,2,FALSE)))</f>
        <v>#REF!</v>
      </c>
      <c r="I18" s="19"/>
    </row>
    <row r="19" spans="1:9" ht="15.75" customHeight="1">
      <c r="A19" s="26" t="s">
        <v>199</v>
      </c>
      <c r="B19" s="23" t="e">
        <f>SUM(IF(ISNA(VLOOKUP(A19,#REF!,2,FALSE)),0,VLOOKUP(A19,#REF!,2,FALSE)),IF(ISNA(VLOOKUP(A19,#REF!,2,FALSE)),0,VLOOKUP(A19,#REF!,2,FALSE)))</f>
        <v>#REF!</v>
      </c>
      <c r="I19" s="19"/>
    </row>
    <row r="20" spans="1:9" ht="15.75" customHeight="1">
      <c r="A20" s="26" t="s">
        <v>40</v>
      </c>
      <c r="B20" s="23" t="e">
        <f>SUM(IF(ISNA(VLOOKUP(A20,#REF!,2,FALSE)),0,VLOOKUP(A20,#REF!,2,FALSE)),IF(ISNA(VLOOKUP(A20,#REF!,2,FALSE)),0,VLOOKUP(A20,#REF!,2,FALSE)))</f>
        <v>#REF!</v>
      </c>
      <c r="I20" s="19"/>
    </row>
    <row r="21" spans="1:9" ht="15.75" customHeight="1">
      <c r="A21" s="27" t="s">
        <v>27</v>
      </c>
      <c r="B21" s="23" t="e">
        <f>SUM(IF(ISNA(VLOOKUP(A21,#REF!,2,FALSE)),0,VLOOKUP(A21,#REF!,2,FALSE)),IF(ISNA(VLOOKUP(A21,#REF!,2,FALSE)),0,VLOOKUP(A21,#REF!,2,FALSE)))</f>
        <v>#REF!</v>
      </c>
      <c r="I21" s="19"/>
    </row>
    <row r="22" spans="1:9" ht="15.75" customHeight="1">
      <c r="A22" s="26" t="s">
        <v>200</v>
      </c>
      <c r="B22" s="23" t="e">
        <f>SUM(IF(ISNA(VLOOKUP(A22,#REF!,2,FALSE)),0,VLOOKUP(A22,#REF!,2,FALSE)),IF(ISNA(VLOOKUP(A22,#REF!,2,FALSE)),0,VLOOKUP(A22,#REF!,2,FALSE)))</f>
        <v>#REF!</v>
      </c>
      <c r="I22" s="19"/>
    </row>
    <row r="23" spans="1:9" ht="15.75" customHeight="1">
      <c r="A23" s="26" t="s">
        <v>35</v>
      </c>
      <c r="B23" s="23" t="e">
        <f>SUM(IF(ISNA(VLOOKUP(A23,#REF!,2,FALSE)),0,VLOOKUP(A23,#REF!,2,FALSE)),IF(ISNA(VLOOKUP(A23,#REF!,2,FALSE)),0,VLOOKUP(A23,#REF!,2,FALSE)))</f>
        <v>#REF!</v>
      </c>
      <c r="I23" s="19"/>
    </row>
    <row r="24" spans="1:9" ht="15.75" customHeight="1">
      <c r="A24" s="26" t="s">
        <v>42</v>
      </c>
      <c r="B24" s="23" t="e">
        <f>SUM(IF(ISNA(VLOOKUP(A24,#REF!,2,FALSE)),0,VLOOKUP(A24,#REF!,2,FALSE)),IF(ISNA(VLOOKUP(A24,#REF!,2,FALSE)),0,VLOOKUP(A24,#REF!,2,FALSE)))</f>
        <v>#REF!</v>
      </c>
      <c r="I24" s="19"/>
    </row>
    <row r="25" spans="1:9" ht="15.75" customHeight="1">
      <c r="A25" s="26" t="s">
        <v>26</v>
      </c>
      <c r="B25" s="23" t="e">
        <f>SUM(IF(ISNA(VLOOKUP(A25,#REF!,2,FALSE)),0,VLOOKUP(A25,#REF!,2,FALSE)),IF(ISNA(VLOOKUP(A25,#REF!,2,FALSE)),0,VLOOKUP(A25,#REF!,2,FALSE)))</f>
        <v>#REF!</v>
      </c>
      <c r="I25" s="19"/>
    </row>
    <row r="26" spans="1:9" ht="15.75" customHeight="1">
      <c r="A26" s="26" t="s">
        <v>37</v>
      </c>
      <c r="B26" s="23" t="e">
        <f>SUM(IF(ISNA(VLOOKUP(A26,#REF!,2,FALSE)),0,VLOOKUP(A26,#REF!,2,FALSE)),IF(ISNA(VLOOKUP(A26,#REF!,2,FALSE)),0,VLOOKUP(A26,#REF!,2,FALSE)))</f>
        <v>#REF!</v>
      </c>
      <c r="I26" s="19"/>
    </row>
    <row r="27" spans="1:9" ht="15.75" customHeight="1">
      <c r="A27" s="26" t="s">
        <v>201</v>
      </c>
      <c r="B27" s="23" t="e">
        <f>SUM(IF(ISNA(VLOOKUP(A27,#REF!,2,FALSE)),0,VLOOKUP(A27,#REF!,2,FALSE)),IF(ISNA(VLOOKUP(A27,#REF!,2,FALSE)),0,VLOOKUP(A27,#REF!,2,FALSE)))</f>
        <v>#REF!</v>
      </c>
      <c r="I27" s="19"/>
    </row>
    <row r="28" spans="1:9" ht="15.75" customHeight="1">
      <c r="A28" s="26" t="s">
        <v>21</v>
      </c>
      <c r="B28" s="23" t="e">
        <f>SUM(IF(ISNA(VLOOKUP(A28,#REF!,2,FALSE)),0,VLOOKUP(A28,#REF!,2,FALSE)),IF(ISNA(VLOOKUP(A28,#REF!,2,FALSE)),0,VLOOKUP(A28,#REF!,2,FALSE)))</f>
        <v>#REF!</v>
      </c>
      <c r="I28" s="19"/>
    </row>
    <row r="29" spans="1:9" ht="15.75" customHeight="1">
      <c r="A29" s="26" t="s">
        <v>77</v>
      </c>
      <c r="B29" s="23" t="e">
        <f>SUM(IF(ISNA(VLOOKUP(A29,#REF!,2,FALSE)),0,VLOOKUP(A29,#REF!,2,FALSE)),IF(ISNA(VLOOKUP(A29,#REF!,2,FALSE)),0,VLOOKUP(A29,#REF!,2,FALSE)))</f>
        <v>#REF!</v>
      </c>
      <c r="I29" s="19"/>
    </row>
    <row r="30" spans="1:9" ht="15.75" customHeight="1">
      <c r="A30" s="26" t="s">
        <v>69</v>
      </c>
      <c r="B30" s="23" t="e">
        <f>SUM(IF(ISNA(VLOOKUP(A30,#REF!,2,FALSE)),0,VLOOKUP(A30,#REF!,2,FALSE)),IF(ISNA(VLOOKUP(A30,#REF!,2,FALSE)),0,VLOOKUP(A30,#REF!,2,FALSE)))</f>
        <v>#REF!</v>
      </c>
      <c r="I30" s="19"/>
    </row>
    <row r="31" spans="1:9" ht="15.75" customHeight="1">
      <c r="A31" s="26" t="s">
        <v>13</v>
      </c>
      <c r="B31" s="23" t="e">
        <f>SUM(IF(ISNA(VLOOKUP(A31,#REF!,2,FALSE)),0,VLOOKUP(A31,#REF!,2,FALSE)),IF(ISNA(VLOOKUP(A31,#REF!,2,FALSE)),0,VLOOKUP(A31,#REF!,2,FALSE)))</f>
        <v>#REF!</v>
      </c>
      <c r="I31" s="19"/>
    </row>
    <row r="32" spans="1:9" ht="15.75" customHeight="1">
      <c r="A32" s="26" t="s">
        <v>0</v>
      </c>
      <c r="B32" s="23" t="e">
        <f>SUM(IF(ISNA(VLOOKUP(A32,#REF!,2,FALSE)),0,VLOOKUP(A32,#REF!,2,FALSE)),IF(ISNA(VLOOKUP(A32,#REF!,2,FALSE)),0,VLOOKUP(A32,#REF!,2,FALSE)))</f>
        <v>#REF!</v>
      </c>
      <c r="I32" s="19"/>
    </row>
    <row r="33" spans="1:9" ht="15.75" customHeight="1">
      <c r="A33" s="26" t="s">
        <v>129</v>
      </c>
      <c r="B33" s="23" t="e">
        <f>SUM(IF(ISNA(VLOOKUP(A33,#REF!,2,FALSE)),0,VLOOKUP(A33,#REF!,2,FALSE)),IF(ISNA(VLOOKUP(A33,#REF!,2,FALSE)),0,VLOOKUP(A33,#REF!,2,FALSE)))</f>
        <v>#REF!</v>
      </c>
      <c r="I33" s="19"/>
    </row>
    <row r="34" spans="1:9" ht="15.75" customHeight="1">
      <c r="A34" s="26" t="s">
        <v>53</v>
      </c>
      <c r="B34" s="23" t="e">
        <f>SUM(IF(ISNA(VLOOKUP(A34,#REF!,2,FALSE)),0,VLOOKUP(A34,#REF!,2,FALSE)),IF(ISNA(VLOOKUP(A34,#REF!,2,FALSE)),0,VLOOKUP(A34,#REF!,2,FALSE)))</f>
        <v>#REF!</v>
      </c>
      <c r="I34" s="19"/>
    </row>
    <row r="35" spans="1:9" ht="15">
      <c r="A35" s="26" t="s">
        <v>23</v>
      </c>
      <c r="B35" s="23" t="e">
        <f>SUM(IF(ISNA(VLOOKUP(A35,#REF!,2,FALSE)),0,VLOOKUP(A35,#REF!,2,FALSE)),IF(ISNA(VLOOKUP(A35,#REF!,2,FALSE)),0,VLOOKUP(A35,#REF!,2,FALSE)))</f>
        <v>#REF!</v>
      </c>
      <c r="I35" s="19"/>
    </row>
    <row r="36" spans="1:9" ht="15">
      <c r="A36" s="26" t="s">
        <v>20</v>
      </c>
      <c r="B36" s="23" t="e">
        <f>SUM(IF(ISNA(VLOOKUP(A36,#REF!,2,FALSE)),0,VLOOKUP(A36,#REF!,2,FALSE)),IF(ISNA(VLOOKUP(A36,#REF!,2,FALSE)),0,VLOOKUP(A36,#REF!,2,FALSE)))</f>
        <v>#REF!</v>
      </c>
      <c r="I36" s="19"/>
    </row>
    <row r="37" spans="1:9" ht="15">
      <c r="A37" s="26" t="s">
        <v>171</v>
      </c>
      <c r="B37" s="23" t="e">
        <f>SUM(IF(ISNA(VLOOKUP(A37,#REF!,2,FALSE)),0,VLOOKUP(A37,#REF!,2,FALSE)),IF(ISNA(VLOOKUP(A37,#REF!,2,FALSE)),0,VLOOKUP(A37,#REF!,2,FALSE)))</f>
        <v>#REF!</v>
      </c>
      <c r="I37" s="19"/>
    </row>
    <row r="38" spans="1:9" ht="15">
      <c r="A38" s="26" t="s">
        <v>96</v>
      </c>
      <c r="B38" s="23" t="e">
        <f>SUM(IF(ISNA(VLOOKUP(A38,#REF!,2,FALSE)),0,VLOOKUP(A38,#REF!,2,FALSE)),IF(ISNA(VLOOKUP(A38,#REF!,2,FALSE)),0,VLOOKUP(A38,#REF!,2,FALSE)))</f>
        <v>#REF!</v>
      </c>
      <c r="I38" s="19"/>
    </row>
    <row r="39" spans="1:9" ht="15">
      <c r="A39" s="26" t="s">
        <v>48</v>
      </c>
      <c r="B39" s="23" t="e">
        <f>SUM(IF(ISNA(VLOOKUP(A39,#REF!,2,FALSE)),0,VLOOKUP(A39,#REF!,2,FALSE)),IF(ISNA(VLOOKUP(A39,#REF!,2,FALSE)),0,VLOOKUP(A39,#REF!,2,FALSE)))</f>
        <v>#REF!</v>
      </c>
      <c r="I39" s="19"/>
    </row>
    <row r="40" spans="1:9" ht="15">
      <c r="A40" s="26" t="s">
        <v>152</v>
      </c>
      <c r="B40" s="23" t="e">
        <f>SUM(IF(ISNA(VLOOKUP(A40,#REF!,2,FALSE)),0,VLOOKUP(A40,#REF!,2,FALSE)),IF(ISNA(VLOOKUP(A40,#REF!,2,FALSE)),0,VLOOKUP(A40,#REF!,2,FALSE)))</f>
        <v>#REF!</v>
      </c>
      <c r="I40" s="19"/>
    </row>
    <row r="41" spans="1:9" ht="15">
      <c r="A41" s="26" t="s">
        <v>5</v>
      </c>
      <c r="B41" s="23" t="e">
        <f>SUM(IF(ISNA(VLOOKUP(A41,#REF!,2,FALSE)),0,VLOOKUP(A41,#REF!,2,FALSE)),IF(ISNA(VLOOKUP(A41,#REF!,2,FALSE)),0,VLOOKUP(A41,#REF!,2,FALSE)))</f>
        <v>#REF!</v>
      </c>
      <c r="I41" s="19"/>
    </row>
    <row r="42" spans="1:9" ht="15">
      <c r="A42" s="26" t="s">
        <v>17</v>
      </c>
      <c r="B42" s="23" t="e">
        <f>SUM(IF(ISNA(VLOOKUP(A42,#REF!,2,FALSE)),0,VLOOKUP(A42,#REF!,2,FALSE)),IF(ISNA(VLOOKUP(A42,#REF!,2,FALSE)),0,VLOOKUP(A42,#REF!,2,FALSE)))</f>
        <v>#REF!</v>
      </c>
      <c r="I42" s="19"/>
    </row>
    <row r="43" spans="1:9" ht="15">
      <c r="A43" s="26" t="s">
        <v>25</v>
      </c>
      <c r="B43" s="23" t="e">
        <f>SUM(IF(ISNA(VLOOKUP(A43,#REF!,2,FALSE)),0,VLOOKUP(A43,#REF!,2,FALSE)),IF(ISNA(VLOOKUP(A43,#REF!,2,FALSE)),0,VLOOKUP(A43,#REF!,2,FALSE)))</f>
        <v>#REF!</v>
      </c>
      <c r="I43" s="19"/>
    </row>
    <row r="44" spans="1:9" ht="15">
      <c r="A44" s="26" t="s">
        <v>54</v>
      </c>
      <c r="B44" s="23" t="e">
        <f>SUM(IF(ISNA(VLOOKUP(A44,#REF!,2,FALSE)),0,VLOOKUP(A44,#REF!,2,FALSE)),IF(ISNA(VLOOKUP(A44,#REF!,2,FALSE)),0,VLOOKUP(A44,#REF!,2,FALSE)))</f>
        <v>#REF!</v>
      </c>
      <c r="I44" s="19"/>
    </row>
    <row r="45" spans="1:9" ht="15">
      <c r="A45" s="26" t="s">
        <v>156</v>
      </c>
      <c r="B45" s="23" t="e">
        <f>SUM(IF(ISNA(VLOOKUP(A45,#REF!,2,FALSE)),0,VLOOKUP(A45,#REF!,2,FALSE)),IF(ISNA(VLOOKUP(A45,#REF!,2,FALSE)),0,VLOOKUP(A45,#REF!,2,FALSE)))</f>
        <v>#REF!</v>
      </c>
      <c r="I45" s="19"/>
    </row>
    <row r="46" spans="1:9" ht="15">
      <c r="A46" s="26" t="s">
        <v>76</v>
      </c>
      <c r="B46" s="23" t="e">
        <f>SUM(IF(ISNA(VLOOKUP(A46,#REF!,2,FALSE)),0,VLOOKUP(A46,#REF!,2,FALSE)),IF(ISNA(VLOOKUP(A46,#REF!,2,FALSE)),0,VLOOKUP(A46,#REF!,2,FALSE)))</f>
        <v>#REF!</v>
      </c>
      <c r="I46" s="19"/>
    </row>
    <row r="47" spans="1:9" ht="15">
      <c r="A47" s="26" t="s">
        <v>33</v>
      </c>
      <c r="B47" s="23" t="e">
        <f>SUM(IF(ISNA(VLOOKUP(A47,#REF!,2,FALSE)),0,VLOOKUP(A47,#REF!,2,FALSE)),IF(ISNA(VLOOKUP(A47,#REF!,2,FALSE)),0,VLOOKUP(A47,#REF!,2,FALSE)))</f>
        <v>#REF!</v>
      </c>
      <c r="I47" s="19"/>
    </row>
    <row r="48" spans="1:9" ht="15">
      <c r="A48" s="26" t="s">
        <v>97</v>
      </c>
      <c r="B48" s="23" t="e">
        <f>SUM(IF(ISNA(VLOOKUP(A48,#REF!,2,FALSE)),0,VLOOKUP(A48,#REF!,2,FALSE)),IF(ISNA(VLOOKUP(A48,#REF!,2,FALSE)),0,VLOOKUP(A48,#REF!,2,FALSE)))</f>
        <v>#REF!</v>
      </c>
      <c r="I48" s="19"/>
    </row>
    <row r="49" spans="1:9" ht="15">
      <c r="A49" s="26" t="s">
        <v>163</v>
      </c>
      <c r="B49" s="23" t="e">
        <f>SUM(IF(ISNA(VLOOKUP(A49,#REF!,2,FALSE)),0,VLOOKUP(A49,#REF!,2,FALSE)),IF(ISNA(VLOOKUP(A49,#REF!,2,FALSE)),0,VLOOKUP(A49,#REF!,2,FALSE)))</f>
        <v>#REF!</v>
      </c>
      <c r="I49" s="19"/>
    </row>
    <row r="50" spans="1:9" ht="15">
      <c r="A50" s="26" t="s">
        <v>67</v>
      </c>
      <c r="B50" s="23" t="e">
        <f>SUM(IF(ISNA(VLOOKUP(A50,#REF!,2,FALSE)),0,VLOOKUP(A50,#REF!,2,FALSE)),IF(ISNA(VLOOKUP(A50,#REF!,2,FALSE)),0,VLOOKUP(A50,#REF!,2,FALSE)))</f>
        <v>#REF!</v>
      </c>
      <c r="I50" s="19"/>
    </row>
    <row r="51" spans="1:9" ht="15">
      <c r="A51" s="26" t="s">
        <v>16</v>
      </c>
      <c r="B51" s="23" t="e">
        <f>SUM(IF(ISNA(VLOOKUP(A51,#REF!,2,FALSE)),0,VLOOKUP(A51,#REF!,2,FALSE)),IF(ISNA(VLOOKUP(A51,#REF!,2,FALSE)),0,VLOOKUP(A51,#REF!,2,FALSE)))</f>
        <v>#REF!</v>
      </c>
      <c r="I51" s="19"/>
    </row>
    <row r="52" spans="1:9" ht="15">
      <c r="A52" s="26" t="s">
        <v>32</v>
      </c>
      <c r="B52" s="23" t="e">
        <f>SUM(IF(ISNA(VLOOKUP(A52,#REF!,2,FALSE)),0,VLOOKUP(A52,#REF!,2,FALSE)),IF(ISNA(VLOOKUP(A52,#REF!,2,FALSE)),0,VLOOKUP(A52,#REF!,2,FALSE)))</f>
        <v>#REF!</v>
      </c>
      <c r="I52" s="19"/>
    </row>
    <row r="53" spans="1:9" ht="15">
      <c r="A53" s="26" t="s">
        <v>39</v>
      </c>
      <c r="B53" s="23" t="e">
        <f>SUM(IF(ISNA(VLOOKUP(A53,#REF!,2,FALSE)),0,VLOOKUP(A53,#REF!,2,FALSE)),IF(ISNA(VLOOKUP(A53,#REF!,2,FALSE)),0,VLOOKUP(A53,#REF!,2,FALSE)))</f>
        <v>#REF!</v>
      </c>
      <c r="I53" s="19"/>
    </row>
    <row r="54" spans="1:9" ht="14.25">
      <c r="A54" s="28" t="s">
        <v>43</v>
      </c>
      <c r="B54" s="23" t="e">
        <f>SUM(IF(ISNA(VLOOKUP(A54,#REF!,2,FALSE)),0,VLOOKUP(A54,#REF!,2,FALSE)),IF(ISNA(VLOOKUP(A54,#REF!,2,FALSE)),0,VLOOKUP(A54,#REF!,2,FALSE)))</f>
        <v>#REF!</v>
      </c>
      <c r="I54" s="19"/>
    </row>
    <row r="55" spans="1:9" ht="15">
      <c r="A55" s="26" t="s">
        <v>177</v>
      </c>
      <c r="B55" s="23" t="e">
        <f>SUM(IF(ISNA(VLOOKUP(A55,#REF!,2,FALSE)),0,VLOOKUP(A55,#REF!,2,FALSE)),IF(ISNA(VLOOKUP(A55,#REF!,2,FALSE)),0,VLOOKUP(A55,#REF!,2,FALSE)))</f>
        <v>#REF!</v>
      </c>
      <c r="I55" s="19"/>
    </row>
    <row r="56" spans="1:9" ht="15">
      <c r="A56" s="26" t="s">
        <v>62</v>
      </c>
      <c r="B56" s="23" t="e">
        <f>SUM(IF(ISNA(VLOOKUP(A56,#REF!,2,FALSE)),0,VLOOKUP(A56,#REF!,2,FALSE)),IF(ISNA(VLOOKUP(A56,#REF!,2,FALSE)),0,VLOOKUP(A56,#REF!,2,FALSE)))</f>
        <v>#REF!</v>
      </c>
      <c r="I56" s="19"/>
    </row>
    <row r="57" spans="1:9" ht="15">
      <c r="A57" s="26" t="s">
        <v>202</v>
      </c>
      <c r="B57" s="23" t="e">
        <f>SUM(IF(ISNA(VLOOKUP(A57,#REF!,2,FALSE)),0,VLOOKUP(A57,#REF!,2,FALSE)),IF(ISNA(VLOOKUP(A57,#REF!,2,FALSE)),0,VLOOKUP(A57,#REF!,2,FALSE)))</f>
        <v>#REF!</v>
      </c>
      <c r="I57" s="19"/>
    </row>
    <row r="58" spans="1:9" ht="15">
      <c r="A58" s="26" t="s">
        <v>123</v>
      </c>
      <c r="B58" s="23" t="e">
        <f>SUM(IF(ISNA(VLOOKUP(A58,#REF!,2,FALSE)),0,VLOOKUP(A58,#REF!,2,FALSE)),IF(ISNA(VLOOKUP(A58,#REF!,2,FALSE)),0,VLOOKUP(A58,#REF!,2,FALSE)))</f>
        <v>#REF!</v>
      </c>
      <c r="I58" s="19"/>
    </row>
    <row r="59" spans="1:9" ht="15">
      <c r="A59" s="26" t="s">
        <v>51</v>
      </c>
      <c r="B59" s="23" t="e">
        <f>SUM(IF(ISNA(VLOOKUP(A59,#REF!,2,FALSE)),0,VLOOKUP(A59,#REF!,2,FALSE)),IF(ISNA(VLOOKUP(A59,#REF!,2,FALSE)),0,VLOOKUP(A59,#REF!,2,FALSE)))</f>
        <v>#REF!</v>
      </c>
      <c r="I59" s="19"/>
    </row>
    <row r="60" spans="1:9" ht="15">
      <c r="A60" s="26" t="s">
        <v>56</v>
      </c>
      <c r="B60" s="23" t="e">
        <f>SUM(IF(ISNA(VLOOKUP(A60,#REF!,2,FALSE)),0,VLOOKUP(A60,#REF!,2,FALSE)),IF(ISNA(VLOOKUP(A60,#REF!,2,FALSE)),0,VLOOKUP(A60,#REF!,2,FALSE)))</f>
        <v>#REF!</v>
      </c>
      <c r="I60" s="19"/>
    </row>
    <row r="61" spans="1:9" ht="15">
      <c r="A61" s="26" t="s">
        <v>18</v>
      </c>
      <c r="B61" s="23" t="e">
        <f>SUM(IF(ISNA(VLOOKUP(A61,#REF!,2,FALSE)),0,VLOOKUP(A61,#REF!,2,FALSE)),IF(ISNA(VLOOKUP(A61,#REF!,2,FALSE)),0,VLOOKUP(A61,#REF!,2,FALSE)))</f>
        <v>#REF!</v>
      </c>
      <c r="I61" s="19"/>
    </row>
    <row r="62" spans="1:9" ht="15">
      <c r="A62" s="26" t="s">
        <v>203</v>
      </c>
      <c r="B62" s="23" t="e">
        <f>SUM(IF(ISNA(VLOOKUP(A62,#REF!,2,FALSE)),0,VLOOKUP(A62,#REF!,2,FALSE)),IF(ISNA(VLOOKUP(A62,#REF!,2,FALSE)),0,VLOOKUP(A62,#REF!,2,FALSE)))</f>
        <v>#REF!</v>
      </c>
      <c r="I62" s="19"/>
    </row>
    <row r="63" spans="1:9" ht="15">
      <c r="A63" s="26" t="s">
        <v>98</v>
      </c>
      <c r="B63" s="23" t="e">
        <f>SUM(IF(ISNA(VLOOKUP(A63,#REF!,2,FALSE)),0,VLOOKUP(A63,#REF!,2,FALSE)),IF(ISNA(VLOOKUP(A63,#REF!,2,FALSE)),0,VLOOKUP(A63,#REF!,2,FALSE)))</f>
        <v>#REF!</v>
      </c>
      <c r="I63" s="19"/>
    </row>
    <row r="64" spans="1:9" ht="15">
      <c r="A64" s="26" t="s">
        <v>30</v>
      </c>
      <c r="B64" s="23" t="e">
        <f>SUM(IF(ISNA(VLOOKUP(A64,#REF!,2,FALSE)),0,VLOOKUP(A64,#REF!,2,FALSE)),IF(ISNA(VLOOKUP(A64,#REF!,2,FALSE)),0,VLOOKUP(A64,#REF!,2,FALSE)))</f>
        <v>#REF!</v>
      </c>
      <c r="I64" s="19"/>
    </row>
    <row r="65" spans="1:9" ht="15">
      <c r="A65" s="26" t="s">
        <v>172</v>
      </c>
      <c r="B65" s="23" t="e">
        <f>SUM(IF(ISNA(VLOOKUP(A65,#REF!,2,FALSE)),0,VLOOKUP(A65,#REF!,2,FALSE)),IF(ISNA(VLOOKUP(A65,#REF!,2,FALSE)),0,VLOOKUP(A65,#REF!,2,FALSE)))</f>
        <v>#REF!</v>
      </c>
      <c r="I65" s="19"/>
    </row>
    <row r="66" spans="1:9" ht="15">
      <c r="A66" s="26" t="s">
        <v>131</v>
      </c>
      <c r="B66" s="23" t="e">
        <f>SUM(IF(ISNA(VLOOKUP(A66,#REF!,2,FALSE)),0,VLOOKUP(A66,#REF!,2,FALSE)),IF(ISNA(VLOOKUP(A66,#REF!,2,FALSE)),0,VLOOKUP(A66,#REF!,2,FALSE)))</f>
        <v>#REF!</v>
      </c>
      <c r="I66" s="19"/>
    </row>
    <row r="67" spans="1:9" ht="15">
      <c r="A67" s="26" t="s">
        <v>19</v>
      </c>
      <c r="B67" s="23" t="e">
        <f>SUM(IF(ISNA(VLOOKUP(A67,#REF!,2,FALSE)),0,VLOOKUP(A67,#REF!,2,FALSE)),IF(ISNA(VLOOKUP(A67,#REF!,2,FALSE)),0,VLOOKUP(A67,#REF!,2,FALSE)))</f>
        <v>#REF!</v>
      </c>
      <c r="I67" s="19"/>
    </row>
    <row r="68" spans="1:9" ht="15">
      <c r="A68" s="26" t="s">
        <v>204</v>
      </c>
      <c r="B68" s="23" t="e">
        <f>SUM(IF(ISNA(VLOOKUP(A68,#REF!,2,FALSE)),0,VLOOKUP(A68,#REF!,2,FALSE)),IF(ISNA(VLOOKUP(A68,#REF!,2,FALSE)),0,VLOOKUP(A68,#REF!,2,FALSE)))</f>
        <v>#REF!</v>
      </c>
      <c r="I68" s="19"/>
    </row>
    <row r="69" spans="1:9" ht="15">
      <c r="A69" s="26" t="s">
        <v>47</v>
      </c>
      <c r="B69" s="23" t="e">
        <f>SUM(IF(ISNA(VLOOKUP(A69,#REF!,2,FALSE)),0,VLOOKUP(A69,#REF!,2,FALSE)),IF(ISNA(VLOOKUP(A69,#REF!,2,FALSE)),0,VLOOKUP(A69,#REF!,2,FALSE)))</f>
        <v>#REF!</v>
      </c>
      <c r="I69" s="19"/>
    </row>
    <row r="70" spans="1:9" ht="15">
      <c r="A70" s="26" t="s">
        <v>57</v>
      </c>
      <c r="B70" s="23" t="e">
        <f>SUM(IF(ISNA(VLOOKUP(A70,#REF!,2,FALSE)),0,VLOOKUP(A70,#REF!,2,FALSE)),IF(ISNA(VLOOKUP(A70,#REF!,2,FALSE)),0,VLOOKUP(A70,#REF!,2,FALSE)))</f>
        <v>#REF!</v>
      </c>
      <c r="I70" s="19"/>
    </row>
    <row r="71" spans="1:9" ht="15">
      <c r="A71" s="26" t="s">
        <v>146</v>
      </c>
      <c r="B71" s="23" t="e">
        <f>SUM(IF(ISNA(VLOOKUP(A71,#REF!,2,FALSE)),0,VLOOKUP(A71,#REF!,2,FALSE)),IF(ISNA(VLOOKUP(A71,#REF!,2,FALSE)),0,VLOOKUP(A71,#REF!,2,FALSE)))</f>
        <v>#REF!</v>
      </c>
      <c r="I71" s="19"/>
    </row>
    <row r="72" spans="1:9" ht="15">
      <c r="A72" s="26" t="s">
        <v>205</v>
      </c>
      <c r="B72" s="23" t="e">
        <f>SUM(IF(ISNA(VLOOKUP(A72,#REF!,2,FALSE)),0,VLOOKUP(A72,#REF!,2,FALSE)),IF(ISNA(VLOOKUP(A72,#REF!,2,FALSE)),0,VLOOKUP(A72,#REF!,2,FALSE)))</f>
        <v>#REF!</v>
      </c>
      <c r="I72" s="19"/>
    </row>
    <row r="73" spans="1:9" ht="15">
      <c r="A73" s="26" t="s">
        <v>10</v>
      </c>
      <c r="B73" s="23" t="e">
        <f>SUM(IF(ISNA(VLOOKUP(A73,#REF!,2,FALSE)),0,VLOOKUP(A73,#REF!,2,FALSE)),IF(ISNA(VLOOKUP(A73,#REF!,2,FALSE)),0,VLOOKUP(A73,#REF!,2,FALSE)))</f>
        <v>#REF!</v>
      </c>
      <c r="I73" s="19"/>
    </row>
    <row r="74" spans="1:9" ht="15">
      <c r="A74" s="26" t="s">
        <v>206</v>
      </c>
      <c r="B74" s="23" t="e">
        <f>SUM(IF(ISNA(VLOOKUP(A74,#REF!,2,FALSE)),0,VLOOKUP(A74,#REF!,2,FALSE)),IF(ISNA(VLOOKUP(A74,#REF!,2,FALSE)),0,VLOOKUP(A74,#REF!,2,FALSE)))</f>
        <v>#REF!</v>
      </c>
      <c r="I74" s="19"/>
    </row>
    <row r="75" spans="1:9" ht="15">
      <c r="A75" s="26" t="s">
        <v>207</v>
      </c>
      <c r="B75" s="23" t="e">
        <f>SUM(IF(ISNA(VLOOKUP(A75,#REF!,2,FALSE)),0,VLOOKUP(A75,#REF!,2,FALSE)),IF(ISNA(VLOOKUP(A75,#REF!,2,FALSE)),0,VLOOKUP(A75,#REF!,2,FALSE)))</f>
        <v>#REF!</v>
      </c>
      <c r="I75" s="19"/>
    </row>
    <row r="76" spans="1:9" ht="15">
      <c r="A76" s="26" t="s">
        <v>137</v>
      </c>
      <c r="B76" s="23" t="e">
        <f>SUM(IF(ISNA(VLOOKUP(A76,#REF!,2,FALSE)),0,VLOOKUP(A76,#REF!,2,FALSE)),IF(ISNA(VLOOKUP(A76,#REF!,2,FALSE)),0,VLOOKUP(A76,#REF!,2,FALSE)))</f>
        <v>#REF!</v>
      </c>
      <c r="I76" s="19"/>
    </row>
    <row r="77" spans="1:9" ht="15">
      <c r="A77" s="26" t="s">
        <v>73</v>
      </c>
      <c r="B77" s="23" t="e">
        <f>SUM(IF(ISNA(VLOOKUP(A77,#REF!,2,FALSE)),0,VLOOKUP(A77,#REF!,2,FALSE)),IF(ISNA(VLOOKUP(A77,#REF!,2,FALSE)),0,VLOOKUP(A77,#REF!,2,FALSE)))</f>
        <v>#REF!</v>
      </c>
      <c r="I77" s="19"/>
    </row>
    <row r="78" spans="1:9" ht="15">
      <c r="A78" s="26" t="s">
        <v>1</v>
      </c>
      <c r="B78" s="23" t="e">
        <f>SUM(IF(ISNA(VLOOKUP(A78,#REF!,2,FALSE)),0,VLOOKUP(A78,#REF!,2,FALSE)),IF(ISNA(VLOOKUP(A78,#REF!,2,FALSE)),0,VLOOKUP(A78,#REF!,2,FALSE)))</f>
        <v>#REF!</v>
      </c>
      <c r="I78" s="19"/>
    </row>
    <row r="79" spans="1:9" ht="15">
      <c r="A79" s="26" t="s">
        <v>28</v>
      </c>
      <c r="B79" s="23" t="e">
        <f>SUM(IF(ISNA(VLOOKUP(A79,#REF!,2,FALSE)),0,VLOOKUP(A79,#REF!,2,FALSE)),IF(ISNA(VLOOKUP(A79,#REF!,2,FALSE)),0,VLOOKUP(A79,#REF!,2,FALSE)))</f>
        <v>#REF!</v>
      </c>
      <c r="I79" s="19"/>
    </row>
    <row r="80" spans="1:9" ht="15">
      <c r="A80" s="26" t="s">
        <v>14</v>
      </c>
      <c r="B80" s="23" t="e">
        <f>SUM(IF(ISNA(VLOOKUP(A80,#REF!,2,FALSE)),0,VLOOKUP(A80,#REF!,2,FALSE)),IF(ISNA(VLOOKUP(A80,#REF!,2,FALSE)),0,VLOOKUP(A80,#REF!,2,FALSE)))</f>
        <v>#REF!</v>
      </c>
      <c r="I80" s="19"/>
    </row>
    <row r="81" spans="1:9" ht="15">
      <c r="A81" s="26" t="s">
        <v>161</v>
      </c>
      <c r="B81" s="23" t="e">
        <f>SUM(IF(ISNA(VLOOKUP(A81,#REF!,2,FALSE)),0,VLOOKUP(A81,#REF!,2,FALSE)),IF(ISNA(VLOOKUP(A81,#REF!,2,FALSE)),0,VLOOKUP(A81,#REF!,2,FALSE)))</f>
        <v>#REF!</v>
      </c>
      <c r="I81" s="19"/>
    </row>
    <row r="82" spans="1:9" ht="15">
      <c r="A82" s="26" t="s">
        <v>68</v>
      </c>
      <c r="B82" s="23" t="e">
        <f>SUM(IF(ISNA(VLOOKUP(A82,#REF!,2,FALSE)),0,VLOOKUP(A82,#REF!,2,FALSE)),IF(ISNA(VLOOKUP(A82,#REF!,2,FALSE)),0,VLOOKUP(A82,#REF!,2,FALSE)))</f>
        <v>#REF!</v>
      </c>
      <c r="I82" s="19"/>
    </row>
    <row r="83" spans="1:9" ht="15">
      <c r="A83" s="26" t="s">
        <v>29</v>
      </c>
      <c r="B83" s="23" t="e">
        <f>SUM(IF(ISNA(VLOOKUP(A83,#REF!,2,FALSE)),0,VLOOKUP(A83,#REF!,2,FALSE)),IF(ISNA(VLOOKUP(A83,#REF!,2,FALSE)),0,VLOOKUP(A83,#REF!,2,FALSE)))</f>
        <v>#REF!</v>
      </c>
      <c r="I83" s="19"/>
    </row>
    <row r="84" spans="1:9" ht="15">
      <c r="A84" s="26" t="s">
        <v>151</v>
      </c>
      <c r="B84" s="23" t="e">
        <f>SUM(IF(ISNA(VLOOKUP(A84,#REF!,2,FALSE)),0,VLOOKUP(A84,#REF!,2,FALSE)),IF(ISNA(VLOOKUP(A84,#REF!,2,FALSE)),0,VLOOKUP(A84,#REF!,2,FALSE)))</f>
        <v>#REF!</v>
      </c>
      <c r="I84" s="19"/>
    </row>
    <row r="85" spans="1:9" ht="15">
      <c r="A85" s="26" t="s">
        <v>8</v>
      </c>
      <c r="B85" s="23" t="e">
        <f>SUM(IF(ISNA(VLOOKUP(A85,#REF!,2,FALSE)),0,VLOOKUP(A85,#REF!,2,FALSE)),IF(ISNA(VLOOKUP(A85,#REF!,2,FALSE)),0,VLOOKUP(A85,#REF!,2,FALSE)))</f>
        <v>#REF!</v>
      </c>
      <c r="I85" s="19"/>
    </row>
    <row r="86" spans="1:9" ht="15">
      <c r="A86" s="26" t="s">
        <v>139</v>
      </c>
      <c r="B86" s="23" t="e">
        <f>SUM(IF(ISNA(VLOOKUP(A86,#REF!,2,FALSE)),0,VLOOKUP(A86,#REF!,2,FALSE)),IF(ISNA(VLOOKUP(A86,#REF!,2,FALSE)),0,VLOOKUP(A86,#REF!,2,FALSE)))</f>
        <v>#REF!</v>
      </c>
      <c r="I86" s="19"/>
    </row>
    <row r="87" spans="1:9" ht="15">
      <c r="A87" s="26" t="s">
        <v>165</v>
      </c>
      <c r="B87" s="23" t="e">
        <f>SUM(IF(ISNA(VLOOKUP(A87,#REF!,2,FALSE)),0,VLOOKUP(A87,#REF!,2,FALSE)),IF(ISNA(VLOOKUP(A87,#REF!,2,FALSE)),0,VLOOKUP(A87,#REF!,2,FALSE)))</f>
        <v>#REF!</v>
      </c>
      <c r="I87" s="19"/>
    </row>
    <row r="88" spans="1:9" ht="15">
      <c r="A88" s="26" t="s">
        <v>148</v>
      </c>
      <c r="B88" s="23" t="e">
        <f>SUM(IF(ISNA(VLOOKUP(A88,#REF!,2,FALSE)),0,VLOOKUP(A88,#REF!,2,FALSE)),IF(ISNA(VLOOKUP(A88,#REF!,2,FALSE)),0,VLOOKUP(A88,#REF!,2,FALSE)))</f>
        <v>#REF!</v>
      </c>
      <c r="I88" s="19"/>
    </row>
    <row r="89" spans="1:9" ht="15">
      <c r="A89" s="26" t="s">
        <v>38</v>
      </c>
      <c r="B89" s="23" t="e">
        <f>SUM(IF(ISNA(VLOOKUP(A89,#REF!,2,FALSE)),0,VLOOKUP(A89,#REF!,2,FALSE)),IF(ISNA(VLOOKUP(A89,#REF!,2,FALSE)),0,VLOOKUP(A89,#REF!,2,FALSE)))</f>
        <v>#REF!</v>
      </c>
      <c r="I89" s="19"/>
    </row>
    <row r="90" spans="1:9" ht="15">
      <c r="A90" s="26" t="s">
        <v>58</v>
      </c>
      <c r="B90" s="23" t="e">
        <f>SUM(IF(ISNA(VLOOKUP(A90,#REF!,2,FALSE)),0,VLOOKUP(A90,#REF!,2,FALSE)),IF(ISNA(VLOOKUP(A90,#REF!,2,FALSE)),0,VLOOKUP(A90,#REF!,2,FALSE)))</f>
        <v>#REF!</v>
      </c>
      <c r="I90" s="19"/>
    </row>
    <row r="91" spans="1:9" ht="15">
      <c r="A91" s="26" t="s">
        <v>176</v>
      </c>
      <c r="B91" s="23" t="e">
        <f>SUM(IF(ISNA(VLOOKUP(A91,#REF!,2,FALSE)),0,VLOOKUP(A91,#REF!,2,FALSE)),IF(ISNA(VLOOKUP(A91,#REF!,2,FALSE)),0,VLOOKUP(A91,#REF!,2,FALSE)))</f>
        <v>#REF!</v>
      </c>
      <c r="I91" s="19"/>
    </row>
    <row r="92" spans="1:9" ht="15">
      <c r="A92" s="26" t="s">
        <v>144</v>
      </c>
      <c r="B92" s="23" t="e">
        <f>SUM(IF(ISNA(VLOOKUP(A92,#REF!,2,FALSE)),0,VLOOKUP(A92,#REF!,2,FALSE)),IF(ISNA(VLOOKUP(A92,#REF!,2,FALSE)),0,VLOOKUP(A92,#REF!,2,FALSE)))</f>
        <v>#REF!</v>
      </c>
      <c r="I92" s="19"/>
    </row>
    <row r="93" spans="1:9" ht="15">
      <c r="A93" s="26" t="s">
        <v>24</v>
      </c>
      <c r="B93" s="23" t="e">
        <f>SUM(IF(ISNA(VLOOKUP(A93,#REF!,2,FALSE)),0,VLOOKUP(A93,#REF!,2,FALSE)),IF(ISNA(VLOOKUP(A93,#REF!,2,FALSE)),0,VLOOKUP(A93,#REF!,2,FALSE)))</f>
        <v>#REF!</v>
      </c>
      <c r="I93" s="19"/>
    </row>
    <row r="94" spans="1:9" ht="15">
      <c r="A94" s="26" t="s">
        <v>134</v>
      </c>
      <c r="B94" s="23" t="e">
        <f>SUM(IF(ISNA(VLOOKUP(A94,#REF!,2,FALSE)),0,VLOOKUP(A94,#REF!,2,FALSE)),IF(ISNA(VLOOKUP(A94,#REF!,2,FALSE)),0,VLOOKUP(A94,#REF!,2,FALSE)))</f>
        <v>#REF!</v>
      </c>
      <c r="I94" s="19"/>
    </row>
    <row r="95" spans="1:9" ht="15">
      <c r="A95" s="26" t="s">
        <v>208</v>
      </c>
      <c r="B95" s="23" t="e">
        <f>SUM(IF(ISNA(VLOOKUP(A95,#REF!,2,FALSE)),0,VLOOKUP(A95,#REF!,2,FALSE)),IF(ISNA(VLOOKUP(A95,#REF!,2,FALSE)),0,VLOOKUP(A95,#REF!,2,FALSE)))</f>
        <v>#REF!</v>
      </c>
      <c r="I95" s="19"/>
    </row>
    <row r="96" spans="1:9" ht="15">
      <c r="A96" s="26" t="s">
        <v>145</v>
      </c>
      <c r="B96" s="23" t="e">
        <f>SUM(IF(ISNA(VLOOKUP(A96,#REF!,2,FALSE)),0,VLOOKUP(A96,#REF!,2,FALSE)),IF(ISNA(VLOOKUP(A96,#REF!,2,FALSE)),0,VLOOKUP(A96,#REF!,2,FALSE)))</f>
        <v>#REF!</v>
      </c>
      <c r="I96" s="19"/>
    </row>
    <row r="97" spans="1:9" ht="15">
      <c r="A97" s="26" t="s">
        <v>147</v>
      </c>
      <c r="B97" s="23" t="e">
        <f>SUM(IF(ISNA(VLOOKUP(A97,#REF!,2,FALSE)),0,VLOOKUP(A97,#REF!,2,FALSE)),IF(ISNA(VLOOKUP(A97,#REF!,2,FALSE)),0,VLOOKUP(A97,#REF!,2,FALSE)))</f>
        <v>#REF!</v>
      </c>
      <c r="I97" s="19"/>
    </row>
    <row r="98" spans="1:9" ht="15">
      <c r="A98" s="26" t="s">
        <v>157</v>
      </c>
      <c r="B98" s="23" t="e">
        <f>SUM(IF(ISNA(VLOOKUP(A98,#REF!,2,FALSE)),0,VLOOKUP(A98,#REF!,2,FALSE)),IF(ISNA(VLOOKUP(A98,#REF!,2,FALSE)),0,VLOOKUP(A98,#REF!,2,FALSE)))</f>
        <v>#REF!</v>
      </c>
      <c r="I98" s="19"/>
    </row>
    <row r="99" spans="1:9" ht="15">
      <c r="A99" s="26" t="s">
        <v>158</v>
      </c>
      <c r="B99" s="23" t="e">
        <f>SUM(IF(ISNA(VLOOKUP(A99,#REF!,2,FALSE)),0,VLOOKUP(A99,#REF!,2,FALSE)),IF(ISNA(VLOOKUP(A99,#REF!,2,FALSE)),0,VLOOKUP(A99,#REF!,2,FALSE)))</f>
        <v>#REF!</v>
      </c>
      <c r="I99" s="19"/>
    </row>
    <row r="100" spans="1:9" ht="15">
      <c r="A100" s="26" t="s">
        <v>167</v>
      </c>
      <c r="B100" s="23" t="e">
        <f>SUM(IF(ISNA(VLOOKUP(A100,#REF!,2,FALSE)),0,VLOOKUP(A100,#REF!,2,FALSE)),IF(ISNA(VLOOKUP(A100,#REF!,2,FALSE)),0,VLOOKUP(A100,#REF!,2,FALSE)))</f>
        <v>#REF!</v>
      </c>
      <c r="I100" s="19"/>
    </row>
    <row r="101" spans="1:9" ht="15">
      <c r="A101" s="26" t="s">
        <v>138</v>
      </c>
      <c r="B101" s="23" t="e">
        <f>SUM(IF(ISNA(VLOOKUP(A101,#REF!,2,FALSE)),0,VLOOKUP(A101,#REF!,2,FALSE)),IF(ISNA(VLOOKUP(A101,#REF!,2,FALSE)),0,VLOOKUP(A101,#REF!,2,FALSE)))</f>
        <v>#REF!</v>
      </c>
      <c r="I101" s="19"/>
    </row>
    <row r="102" spans="1:9" ht="15">
      <c r="A102" s="26" t="s">
        <v>160</v>
      </c>
      <c r="B102" s="23" t="e">
        <f>SUM(IF(ISNA(VLOOKUP(A102,#REF!,2,FALSE)),0,VLOOKUP(A102,#REF!,2,FALSE)),IF(ISNA(VLOOKUP(A102,#REF!,2,FALSE)),0,VLOOKUP(A102,#REF!,2,FALSE)))</f>
        <v>#REF!</v>
      </c>
      <c r="I102" s="19"/>
    </row>
    <row r="103" spans="1:9" ht="15">
      <c r="A103" s="26" t="s">
        <v>153</v>
      </c>
      <c r="B103" s="23" t="e">
        <f>SUM(IF(ISNA(VLOOKUP(A103,#REF!,2,FALSE)),0,VLOOKUP(A103,#REF!,2,FALSE)),IF(ISNA(VLOOKUP(A103,#REF!,2,FALSE)),0,VLOOKUP(A103,#REF!,2,FALSE)))</f>
        <v>#REF!</v>
      </c>
      <c r="I103" s="19"/>
    </row>
    <row r="104" spans="1:9" ht="15">
      <c r="A104" s="26" t="s">
        <v>135</v>
      </c>
      <c r="B104" s="23" t="e">
        <f>SUM(IF(ISNA(VLOOKUP(A104,#REF!,2,FALSE)),0,VLOOKUP(A104,#REF!,2,FALSE)),IF(ISNA(VLOOKUP(A104,#REF!,2,FALSE)),0,VLOOKUP(A104,#REF!,2,FALSE)))</f>
        <v>#REF!</v>
      </c>
      <c r="I104" s="19"/>
    </row>
    <row r="105" spans="1:9" ht="15">
      <c r="A105" s="26" t="s">
        <v>150</v>
      </c>
      <c r="B105" s="23" t="e">
        <f>SUM(IF(ISNA(VLOOKUP(A105,#REF!,2,FALSE)),0,VLOOKUP(A105,#REF!,2,FALSE)),IF(ISNA(VLOOKUP(A105,#REF!,2,FALSE)),0,VLOOKUP(A105,#REF!,2,FALSE)))</f>
        <v>#REF!</v>
      </c>
      <c r="I105" s="19"/>
    </row>
    <row r="106" spans="1:9" ht="15">
      <c r="A106" s="26" t="s">
        <v>164</v>
      </c>
      <c r="B106" s="23" t="e">
        <f>SUM(IF(ISNA(VLOOKUP(A106,#REF!,2,FALSE)),0,VLOOKUP(A106,#REF!,2,FALSE)),IF(ISNA(VLOOKUP(A106,#REF!,2,FALSE)),0,VLOOKUP(A106,#REF!,2,FALSE)))</f>
        <v>#REF!</v>
      </c>
      <c r="I106" s="19"/>
    </row>
    <row r="107" spans="1:9" ht="15">
      <c r="A107" s="26" t="s">
        <v>133</v>
      </c>
      <c r="B107" s="23" t="e">
        <f>SUM(IF(ISNA(VLOOKUP(A107,#REF!,2,FALSE)),0,VLOOKUP(A107,#REF!,2,FALSE)),IF(ISNA(VLOOKUP(A107,#REF!,2,FALSE)),0,VLOOKUP(A107,#REF!,2,FALSE)))</f>
        <v>#REF!</v>
      </c>
      <c r="I107" s="19"/>
    </row>
    <row r="108" spans="1:9" ht="15">
      <c r="A108" s="26" t="s">
        <v>70</v>
      </c>
      <c r="B108" s="23" t="e">
        <f>SUM(IF(ISNA(VLOOKUP(A108,#REF!,2,FALSE)),0,VLOOKUP(A108,#REF!,2,FALSE)),IF(ISNA(VLOOKUP(A108,#REF!,2,FALSE)),0,VLOOKUP(A108,#REF!,2,FALSE)))</f>
        <v>#REF!</v>
      </c>
      <c r="I108" s="19"/>
    </row>
    <row r="109" spans="1:9" ht="15">
      <c r="A109" s="26" t="s">
        <v>209</v>
      </c>
      <c r="B109" s="23" t="e">
        <f>SUM(IF(ISNA(VLOOKUP(A109,#REF!,2,FALSE)),0,VLOOKUP(A109,#REF!,2,FALSE)),IF(ISNA(VLOOKUP(A109,#REF!,2,FALSE)),0,VLOOKUP(A109,#REF!,2,FALSE)))</f>
        <v>#REF!</v>
      </c>
      <c r="I109" s="19"/>
    </row>
    <row r="110" spans="1:9" ht="15">
      <c r="A110" s="26" t="s">
        <v>169</v>
      </c>
      <c r="B110" s="23" t="e">
        <f>SUM(IF(ISNA(VLOOKUP(A110,#REF!,2,FALSE)),0,VLOOKUP(A110,#REF!,2,FALSE)),IF(ISNA(VLOOKUP(A110,#REF!,2,FALSE)),0,VLOOKUP(A110,#REF!,2,FALSE)))</f>
        <v>#REF!</v>
      </c>
      <c r="I110" s="19"/>
    </row>
    <row r="111" spans="1:9" ht="15">
      <c r="A111" s="26" t="s">
        <v>124</v>
      </c>
      <c r="B111" s="23" t="e">
        <f>SUM(IF(ISNA(VLOOKUP(A111,#REF!,2,FALSE)),0,VLOOKUP(A111,#REF!,2,FALSE)),IF(ISNA(VLOOKUP(A111,#REF!,2,FALSE)),0,VLOOKUP(A111,#REF!,2,FALSE)))</f>
        <v>#REF!</v>
      </c>
      <c r="I111" s="19"/>
    </row>
    <row r="112" spans="1:9" ht="15">
      <c r="A112" s="26" t="s">
        <v>174</v>
      </c>
      <c r="B112" s="23" t="e">
        <f>SUM(IF(ISNA(VLOOKUP(A112,#REF!,2,FALSE)),0,VLOOKUP(A112,#REF!,2,FALSE)),IF(ISNA(VLOOKUP(A112,#REF!,2,FALSE)),0,VLOOKUP(A112,#REF!,2,FALSE)))</f>
        <v>#REF!</v>
      </c>
      <c r="I112" s="19"/>
    </row>
    <row r="113" spans="1:9" ht="15">
      <c r="A113" s="26" t="s">
        <v>178</v>
      </c>
      <c r="B113" s="23" t="e">
        <f>SUM(IF(ISNA(VLOOKUP(A113,#REF!,2,FALSE)),0,VLOOKUP(A113,#REF!,2,FALSE)),IF(ISNA(VLOOKUP(A113,#REF!,2,FALSE)),0,VLOOKUP(A113,#REF!,2,FALSE)))</f>
        <v>#REF!</v>
      </c>
      <c r="I113" s="19"/>
    </row>
    <row r="114" spans="1:9" ht="15">
      <c r="A114" s="26" t="s">
        <v>180</v>
      </c>
      <c r="B114" s="23" t="e">
        <f>SUM(IF(ISNA(VLOOKUP(A114,#REF!,2,FALSE)),0,VLOOKUP(A114,#REF!,2,FALSE)),IF(ISNA(VLOOKUP(A114,#REF!,2,FALSE)),0,VLOOKUP(A114,#REF!,2,FALSE)))</f>
        <v>#REF!</v>
      </c>
      <c r="I114" s="19"/>
    </row>
    <row r="115" spans="1:9" ht="15">
      <c r="A115" s="26" t="s">
        <v>182</v>
      </c>
      <c r="B115" s="23" t="e">
        <f>SUM(IF(ISNA(VLOOKUP(A115,#REF!,2,FALSE)),0,VLOOKUP(A115,#REF!,2,FALSE)),IF(ISNA(VLOOKUP(A115,#REF!,2,FALSE)),0,VLOOKUP(A115,#REF!,2,FALSE)))</f>
        <v>#REF!</v>
      </c>
      <c r="I115" s="19"/>
    </row>
    <row r="116" spans="1:9" ht="15">
      <c r="A116" s="26" t="s">
        <v>78</v>
      </c>
      <c r="B116" s="23" t="e">
        <f>SUM(IF(ISNA(VLOOKUP(A116,#REF!,2,FALSE)),0,VLOOKUP(A116,#REF!,2,FALSE)),IF(ISNA(VLOOKUP(A116,#REF!,2,FALSE)),0,VLOOKUP(A116,#REF!,2,FALSE)))</f>
        <v>#REF!</v>
      </c>
      <c r="I116" s="19"/>
    </row>
    <row r="117" spans="1:9" ht="15">
      <c r="A117" s="26" t="s">
        <v>170</v>
      </c>
      <c r="B117" s="23" t="e">
        <f>SUM(IF(ISNA(VLOOKUP(A117,#REF!,2,FALSE)),0,VLOOKUP(A117,#REF!,2,FALSE)),IF(ISNA(VLOOKUP(A117,#REF!,2,FALSE)),0,VLOOKUP(A117,#REF!,2,FALSE)))</f>
        <v>#REF!</v>
      </c>
      <c r="I117" s="19"/>
    </row>
    <row r="118" spans="1:9" ht="15">
      <c r="A118" s="26" t="s">
        <v>210</v>
      </c>
      <c r="B118" s="23" t="e">
        <f>SUM(IF(ISNA(VLOOKUP(A118,#REF!,2,FALSE)),0,VLOOKUP(A118,#REF!,2,FALSE)),IF(ISNA(VLOOKUP(A118,#REF!,2,FALSE)),0,VLOOKUP(A118,#REF!,2,FALSE)))</f>
        <v>#REF!</v>
      </c>
      <c r="I118" s="19"/>
    </row>
    <row r="119" spans="1:9" ht="15">
      <c r="A119" s="26" t="s">
        <v>122</v>
      </c>
      <c r="B119" s="23" t="e">
        <f>SUM(IF(ISNA(VLOOKUP(A119,#REF!,2,FALSE)),0,VLOOKUP(A119,#REF!,2,FALSE)),IF(ISNA(VLOOKUP(A119,#REF!,2,FALSE)),0,VLOOKUP(A119,#REF!,2,FALSE)))</f>
        <v>#REF!</v>
      </c>
      <c r="I119" s="19"/>
    </row>
    <row r="120" spans="1:9" ht="15">
      <c r="A120" s="26" t="s">
        <v>141</v>
      </c>
      <c r="B120" s="23" t="e">
        <f>SUM(IF(ISNA(VLOOKUP(A120,#REF!,2,FALSE)),0,VLOOKUP(A120,#REF!,2,FALSE)),IF(ISNA(VLOOKUP(A120,#REF!,2,FALSE)),0,VLOOKUP(A120,#REF!,2,FALSE)))</f>
        <v>#REF!</v>
      </c>
      <c r="I120" s="19"/>
    </row>
    <row r="121" spans="1:9" ht="15">
      <c r="A121" s="26" t="s">
        <v>149</v>
      </c>
      <c r="B121" s="23" t="e">
        <f>SUM(IF(ISNA(VLOOKUP(A121,#REF!,2,FALSE)),0,VLOOKUP(A121,#REF!,2,FALSE)),IF(ISNA(VLOOKUP(A121,#REF!,2,FALSE)),0,VLOOKUP(A121,#REF!,2,FALSE)))</f>
        <v>#REF!</v>
      </c>
      <c r="I121" s="19"/>
    </row>
    <row r="122" spans="1:9" ht="15">
      <c r="A122" s="26" t="s">
        <v>211</v>
      </c>
      <c r="B122" s="23" t="e">
        <f>SUM(IF(ISNA(VLOOKUP(A122,#REF!,2,FALSE)),0,VLOOKUP(A122,#REF!,2,FALSE)),IF(ISNA(VLOOKUP(A122,#REF!,2,FALSE)),0,VLOOKUP(A122,#REF!,2,FALSE)))</f>
        <v>#REF!</v>
      </c>
      <c r="I122" s="19"/>
    </row>
    <row r="123" spans="1:9" ht="12.75">
      <c r="A123" s="5" t="s">
        <v>154</v>
      </c>
      <c r="B123" s="23" t="e">
        <f>SUM(IF(ISNA(VLOOKUP(A123,#REF!,2,FALSE)),0,VLOOKUP(A123,#REF!,2,FALSE)),IF(ISNA(VLOOKUP(A123,#REF!,2,FALSE)),0,VLOOKUP(A123,#REF!,2,FALSE)))</f>
        <v>#REF!</v>
      </c>
      <c r="I123" s="19"/>
    </row>
    <row r="124" spans="1:9" ht="12.75">
      <c r="B124" s="23" t="e">
        <f>SUM(IF(ISNA(VLOOKUP(A124,#REF!,2,FALSE)),0,VLOOKUP(A124,#REF!,2,FALSE)),IF(ISNA(VLOOKUP(A124,#REF!,2,FALSE)),0,VLOOKUP(A124,#REF!,2,FALSE)))</f>
        <v>#REF!</v>
      </c>
    </row>
    <row r="125" spans="1:9" ht="12.75">
      <c r="B125" s="23" t="e">
        <f>SUM(IF(ISNA(VLOOKUP(A125,#REF!,2,FALSE)),0,VLOOKUP(A125,#REF!,2,FALSE)),IF(ISNA(VLOOKUP(A125,#REF!,2,FALSE)),0,VLOOKUP(A125,#REF!,2,FALSE)))</f>
        <v>#REF!</v>
      </c>
    </row>
    <row r="126" spans="1:9" ht="12.75">
      <c r="B126" s="23" t="e">
        <f>SUM(IF(ISNA(VLOOKUP(A126,#REF!,2,FALSE)),0,VLOOKUP(A126,#REF!,2,FALSE)),IF(ISNA(VLOOKUP(A126,#REF!,2,FALSE)),0,VLOOKUP(A126,#REF!,2,FALSE)))</f>
        <v>#REF!</v>
      </c>
    </row>
    <row r="127" spans="1:9" ht="12.75">
      <c r="B127" s="23" t="e">
        <f>SUM(IF(ISNA(VLOOKUP(A127,#REF!,2,FALSE)),0,VLOOKUP(A127,#REF!,2,FALSE)),IF(ISNA(VLOOKUP(A127,#REF!,2,FALSE)),0,VLOOKUP(A127,#REF!,2,FALSE)))</f>
        <v>#REF!</v>
      </c>
    </row>
  </sheetData>
  <mergeCells count="1">
    <mergeCell ref="E1:F1"/>
  </mergeCells>
  <conditionalFormatting sqref="B1:B1000">
    <cfRule type="cellIs" dxfId="4" priority="1" operator="greaterThan">
      <formula>7</formula>
    </cfRule>
    <cfRule type="cellIs" dxfId="3" priority="2" operator="equal">
      <formula>7</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27"/>
  <sheetViews>
    <sheetView workbookViewId="0"/>
  </sheetViews>
  <sheetFormatPr defaultColWidth="12.5703125" defaultRowHeight="15.75" customHeight="1"/>
  <cols>
    <col min="1" max="1" width="28.5703125" customWidth="1"/>
  </cols>
  <sheetData>
    <row r="1" spans="1:2">
      <c r="A1" s="1" t="s">
        <v>212</v>
      </c>
    </row>
    <row r="2" spans="1:2">
      <c r="A2" s="32" t="s">
        <v>34</v>
      </c>
      <c r="B2" s="1" t="e">
        <f>VLOOKUP(A2,#REF!, 1, FALSE)</f>
        <v>#REF!</v>
      </c>
    </row>
    <row r="3" spans="1:2">
      <c r="A3" s="33" t="s">
        <v>30</v>
      </c>
      <c r="B3" s="1" t="e">
        <f>VLOOKUP(A3,#REF!, 1, FALSE)</f>
        <v>#REF!</v>
      </c>
    </row>
    <row r="4" spans="1:2">
      <c r="A4" s="31" t="s">
        <v>15</v>
      </c>
      <c r="B4" s="1" t="e">
        <f>VLOOKUP(A4,#REF!, 1, FALSE)</f>
        <v>#REF!</v>
      </c>
    </row>
    <row r="5" spans="1:2">
      <c r="A5" s="31" t="s">
        <v>50</v>
      </c>
      <c r="B5" s="1" t="e">
        <f>VLOOKUP(A5,#REF!, 1, FALSE)</f>
        <v>#REF!</v>
      </c>
    </row>
    <row r="6" spans="1:2">
      <c r="A6" s="31" t="s">
        <v>29</v>
      </c>
      <c r="B6" s="1" t="e">
        <f>VLOOKUP(A6,#REF!, 1, FALSE)</f>
        <v>#REF!</v>
      </c>
    </row>
    <row r="7" spans="1:2">
      <c r="A7" s="31" t="s">
        <v>77</v>
      </c>
      <c r="B7" s="1" t="e">
        <f>VLOOKUP(A7,#REF!, 1, FALSE)</f>
        <v>#REF!</v>
      </c>
    </row>
    <row r="8" spans="1:2">
      <c r="A8" s="31" t="s">
        <v>98</v>
      </c>
      <c r="B8" s="1" t="e">
        <f>VLOOKUP(A8,#REF!, 1, FALSE)</f>
        <v>#REF!</v>
      </c>
    </row>
    <row r="9" spans="1:2">
      <c r="A9" s="31" t="s">
        <v>54</v>
      </c>
      <c r="B9" s="1" t="e">
        <f>VLOOKUP(A9,#REF!, 1, FALSE)</f>
        <v>#REF!</v>
      </c>
    </row>
    <row r="10" spans="1:2">
      <c r="A10" s="31" t="s">
        <v>16</v>
      </c>
      <c r="B10" s="1" t="e">
        <f>VLOOKUP(A10,#REF!, 1, FALSE)</f>
        <v>#REF!</v>
      </c>
    </row>
    <row r="11" spans="1:2">
      <c r="A11" s="31" t="s">
        <v>177</v>
      </c>
      <c r="B11" s="1" t="e">
        <f>VLOOKUP(A11,#REF!, 1, FALSE)</f>
        <v>#REF!</v>
      </c>
    </row>
    <row r="12" spans="1:2">
      <c r="A12" s="31" t="s">
        <v>170</v>
      </c>
      <c r="B12" s="1" t="e">
        <f>VLOOKUP(A12,#REF!, 1, FALSE)</f>
        <v>#REF!</v>
      </c>
    </row>
    <row r="13" spans="1:2">
      <c r="A13" s="31" t="s">
        <v>68</v>
      </c>
      <c r="B13" s="1" t="e">
        <f>VLOOKUP(A13,#REF!, 1, FALSE)</f>
        <v>#REF!</v>
      </c>
    </row>
    <row r="14" spans="1:2">
      <c r="A14" s="31" t="s">
        <v>174</v>
      </c>
      <c r="B14" s="1" t="e">
        <f>VLOOKUP(A14,#REF!, 1, FALSE)</f>
        <v>#REF!</v>
      </c>
    </row>
    <row r="15" spans="1:2">
      <c r="A15" s="31" t="s">
        <v>39</v>
      </c>
      <c r="B15" s="1" t="e">
        <f>VLOOKUP(A15,#REF!, 1, FALSE)</f>
        <v>#REF!</v>
      </c>
    </row>
    <row r="16" spans="1:2">
      <c r="A16" s="31" t="s">
        <v>183</v>
      </c>
      <c r="B16" s="1" t="e">
        <f>VLOOKUP(A16,#REF!, 1, FALSE)</f>
        <v>#REF!</v>
      </c>
    </row>
    <row r="17" spans="1:2">
      <c r="A17" s="31" t="s">
        <v>133</v>
      </c>
      <c r="B17" s="1" t="e">
        <f>VLOOKUP(A17,#REF!, 1, FALSE)</f>
        <v>#REF!</v>
      </c>
    </row>
    <row r="18" spans="1:2">
      <c r="A18" s="32" t="s">
        <v>20</v>
      </c>
      <c r="B18" s="1" t="e">
        <f>VLOOKUP(A18,#REF!, 1, FALSE)</f>
        <v>#REF!</v>
      </c>
    </row>
    <row r="19" spans="1:2">
      <c r="A19" s="33" t="s">
        <v>123</v>
      </c>
      <c r="B19" s="1" t="e">
        <f>VLOOKUP(A19,#REF!, 1, FALSE)</f>
        <v>#REF!</v>
      </c>
    </row>
    <row r="20" spans="1:2">
      <c r="A20" s="31" t="s">
        <v>49</v>
      </c>
      <c r="B20" s="1" t="e">
        <f>VLOOKUP(A20,#REF!, 1, FALSE)</f>
        <v>#REF!</v>
      </c>
    </row>
    <row r="21" spans="1:2">
      <c r="A21" s="31" t="s">
        <v>42</v>
      </c>
      <c r="B21" s="1" t="e">
        <f>VLOOKUP(A21,#REF!, 1, FALSE)</f>
        <v>#REF!</v>
      </c>
    </row>
    <row r="22" spans="1:2">
      <c r="A22" s="31" t="s">
        <v>217</v>
      </c>
      <c r="B22" s="1" t="e">
        <f>VLOOKUP(A22,#REF!, 1, FALSE)</f>
        <v>#REF!</v>
      </c>
    </row>
    <row r="23" spans="1:2">
      <c r="A23" s="31" t="s">
        <v>60</v>
      </c>
      <c r="B23" s="1" t="e">
        <f>VLOOKUP(A23,#REF!, 1, FALSE)</f>
        <v>#REF!</v>
      </c>
    </row>
    <row r="24" spans="1:2">
      <c r="A24" s="31" t="s">
        <v>156</v>
      </c>
      <c r="B24" s="1" t="e">
        <f>VLOOKUP(A24,#REF!, 1, FALSE)</f>
        <v>#REF!</v>
      </c>
    </row>
    <row r="25" spans="1:2">
      <c r="A25" s="31" t="s">
        <v>97</v>
      </c>
      <c r="B25" s="1" t="e">
        <f>VLOOKUP(A25,#REF!, 1, FALSE)</f>
        <v>#REF!</v>
      </c>
    </row>
    <row r="26" spans="1:2">
      <c r="A26" s="31" t="s">
        <v>163</v>
      </c>
      <c r="B26" s="1" t="e">
        <f>VLOOKUP(A26,#REF!, 1, FALSE)</f>
        <v>#REF!</v>
      </c>
    </row>
    <row r="27" spans="1:2">
      <c r="A27" s="31" t="s">
        <v>72</v>
      </c>
      <c r="B27" s="1" t="e">
        <f>VLOOKUP(A27,#REF!, 1, FALSE)</f>
        <v>#REF!</v>
      </c>
    </row>
    <row r="28" spans="1:2">
      <c r="A28" s="31" t="s">
        <v>58</v>
      </c>
      <c r="B28" s="1" t="e">
        <f>VLOOKUP(A28,#REF!, 1, FALSE)</f>
        <v>#REF!</v>
      </c>
    </row>
    <row r="29" spans="1:2">
      <c r="A29" s="31" t="s">
        <v>169</v>
      </c>
      <c r="B29" s="1" t="e">
        <f>VLOOKUP(A29,#REF!, 1, FALSE)</f>
        <v>#REF!</v>
      </c>
    </row>
    <row r="30" spans="1:2">
      <c r="A30" s="31" t="s">
        <v>124</v>
      </c>
      <c r="B30" s="1" t="e">
        <f>VLOOKUP(A30,#REF!, 1, FALSE)</f>
        <v>#REF!</v>
      </c>
    </row>
    <row r="31" spans="1:2">
      <c r="A31" s="31" t="s">
        <v>145</v>
      </c>
      <c r="B31" s="1" t="e">
        <f>VLOOKUP(A31,#REF!, 1, FALSE)</f>
        <v>#REF!</v>
      </c>
    </row>
    <row r="32" spans="1:2">
      <c r="A32" s="31" t="s">
        <v>182</v>
      </c>
      <c r="B32" s="1" t="e">
        <f>VLOOKUP(A32,#REF!, 1, FALSE)</f>
        <v>#REF!</v>
      </c>
    </row>
    <row r="33" spans="1:2">
      <c r="A33" s="31" t="s">
        <v>43</v>
      </c>
      <c r="B33" s="1" t="e">
        <f>VLOOKUP(A33,#REF!, 1, FALSE)</f>
        <v>#REF!</v>
      </c>
    </row>
    <row r="34" spans="1:2">
      <c r="A34" s="32" t="s">
        <v>35</v>
      </c>
      <c r="B34" s="1" t="e">
        <f>VLOOKUP(A34,#REF!, 1, FALSE)</f>
        <v>#REF!</v>
      </c>
    </row>
    <row r="35" spans="1:2">
      <c r="A35" s="33" t="s">
        <v>137</v>
      </c>
      <c r="B35" s="1" t="e">
        <f>VLOOKUP(A35,#REF!, 1, FALSE)</f>
        <v>#REF!</v>
      </c>
    </row>
    <row r="36" spans="1:2">
      <c r="A36" s="31" t="s">
        <v>218</v>
      </c>
      <c r="B36" s="1" t="e">
        <f>VLOOKUP(A36,#REF!, 1, FALSE)</f>
        <v>#REF!</v>
      </c>
    </row>
    <row r="37" spans="1:2">
      <c r="A37" s="31" t="s">
        <v>75</v>
      </c>
      <c r="B37" s="1" t="e">
        <f>VLOOKUP(A37,#REF!, 1, FALSE)</f>
        <v>#REF!</v>
      </c>
    </row>
    <row r="38" spans="1:2">
      <c r="A38" s="31" t="s">
        <v>52</v>
      </c>
      <c r="B38" s="1" t="e">
        <f>VLOOKUP(A38,#REF!, 1, FALSE)</f>
        <v>#REF!</v>
      </c>
    </row>
    <row r="39" spans="1:2">
      <c r="A39" s="31" t="s">
        <v>55</v>
      </c>
      <c r="B39" s="1" t="e">
        <f>VLOOKUP(A39,#REF!, 1, FALSE)</f>
        <v>#REF!</v>
      </c>
    </row>
    <row r="40" spans="1:2">
      <c r="A40" s="31" t="s">
        <v>130</v>
      </c>
      <c r="B40" s="1" t="e">
        <f>VLOOKUP(A40,#REF!, 1, FALSE)</f>
        <v>#REF!</v>
      </c>
    </row>
    <row r="41" spans="1:2">
      <c r="A41" s="31" t="s">
        <v>99</v>
      </c>
      <c r="B41" s="1" t="e">
        <f>VLOOKUP(A41,#REF!, 1, FALSE)</f>
        <v>#REF!</v>
      </c>
    </row>
    <row r="42" spans="1:2">
      <c r="A42" s="31" t="s">
        <v>5</v>
      </c>
      <c r="B42" s="1" t="e">
        <f>VLOOKUP(A42,#REF!, 1, FALSE)</f>
        <v>#REF!</v>
      </c>
    </row>
    <row r="43" spans="1:2">
      <c r="A43" s="31" t="s">
        <v>8</v>
      </c>
      <c r="B43" s="1" t="e">
        <f>VLOOKUP(A43,#REF!, 1, FALSE)</f>
        <v>#REF!</v>
      </c>
    </row>
    <row r="44" spans="1:2">
      <c r="A44" s="31" t="s">
        <v>32</v>
      </c>
      <c r="B44" s="1" t="e">
        <f>VLOOKUP(A44,#REF!, 1, FALSE)</f>
        <v>#REF!</v>
      </c>
    </row>
    <row r="45" spans="1:2">
      <c r="A45" s="31" t="s">
        <v>51</v>
      </c>
      <c r="B45" s="1" t="e">
        <f>VLOOKUP(A45,#REF!, 1, FALSE)</f>
        <v>#REF!</v>
      </c>
    </row>
    <row r="46" spans="1:2">
      <c r="A46" s="31" t="s">
        <v>161</v>
      </c>
      <c r="B46" s="1" t="e">
        <f>VLOOKUP(A46,#REF!, 1, FALSE)</f>
        <v>#REF!</v>
      </c>
    </row>
    <row r="47" spans="1:2">
      <c r="A47" s="31" t="s">
        <v>219</v>
      </c>
      <c r="B47" s="1" t="e">
        <f>VLOOKUP(A47,#REF!, 1, FALSE)</f>
        <v>#REF!</v>
      </c>
    </row>
    <row r="48" spans="1:2">
      <c r="A48" s="31" t="s">
        <v>144</v>
      </c>
      <c r="B48" s="1" t="e">
        <f>VLOOKUP(A48,#REF!, 1, FALSE)</f>
        <v>#REF!</v>
      </c>
    </row>
    <row r="49" spans="1:2">
      <c r="A49" s="31" t="s">
        <v>66</v>
      </c>
      <c r="B49" s="1" t="e">
        <f>VLOOKUP(A49,#REF!, 1, FALSE)</f>
        <v>#REF!</v>
      </c>
    </row>
    <row r="50" spans="1:2">
      <c r="A50" s="32" t="s">
        <v>41</v>
      </c>
      <c r="B50" s="1" t="e">
        <f>VLOOKUP(A50,#REF!, 1, FALSE)</f>
        <v>#REF!</v>
      </c>
    </row>
    <row r="51" spans="1:2">
      <c r="A51" s="33" t="s">
        <v>151</v>
      </c>
      <c r="B51" s="1" t="e">
        <f>VLOOKUP(A51,#REF!, 1, FALSE)</f>
        <v>#REF!</v>
      </c>
    </row>
    <row r="52" spans="1:2">
      <c r="A52" s="31" t="s">
        <v>166</v>
      </c>
      <c r="B52" s="1" t="e">
        <f>VLOOKUP(A52,#REF!, 1, FALSE)</f>
        <v>#REF!</v>
      </c>
    </row>
    <row r="53" spans="1:2">
      <c r="A53" s="31" t="s">
        <v>13</v>
      </c>
      <c r="B53" s="1" t="e">
        <f>VLOOKUP(A53,#REF!, 1, FALSE)</f>
        <v>#REF!</v>
      </c>
    </row>
    <row r="54" spans="1:2">
      <c r="A54" s="31" t="s">
        <v>198</v>
      </c>
      <c r="B54" s="1" t="e">
        <f>VLOOKUP(A54,#REF!, 1, FALSE)</f>
        <v>#REF!</v>
      </c>
    </row>
    <row r="55" spans="1:2">
      <c r="A55" s="31" t="s">
        <v>17</v>
      </c>
      <c r="B55" s="1" t="e">
        <f>VLOOKUP(A55,#REF!, 1, FALSE)</f>
        <v>#REF!</v>
      </c>
    </row>
    <row r="56" spans="1:2">
      <c r="A56" s="31" t="s">
        <v>1</v>
      </c>
      <c r="B56" s="1" t="e">
        <f>VLOOKUP(A56,#REF!, 1, FALSE)</f>
        <v>#REF!</v>
      </c>
    </row>
    <row r="57" spans="1:2">
      <c r="A57" s="31" t="s">
        <v>48</v>
      </c>
      <c r="B57" s="1" t="e">
        <f>VLOOKUP(A57,#REF!, 1, FALSE)</f>
        <v>#REF!</v>
      </c>
    </row>
    <row r="58" spans="1:2">
      <c r="A58" s="31" t="s">
        <v>148</v>
      </c>
      <c r="B58" s="1" t="e">
        <f>VLOOKUP(A58,#REF!, 1, FALSE)</f>
        <v>#REF!</v>
      </c>
    </row>
    <row r="59" spans="1:2">
      <c r="A59" s="31" t="s">
        <v>62</v>
      </c>
      <c r="B59" s="1" t="e">
        <f>VLOOKUP(A59,#REF!, 1, FALSE)</f>
        <v>#REF!</v>
      </c>
    </row>
    <row r="60" spans="1:2">
      <c r="A60" s="31" t="s">
        <v>141</v>
      </c>
      <c r="B60" s="1" t="e">
        <f>VLOOKUP(A60,#REF!, 1, FALSE)</f>
        <v>#REF!</v>
      </c>
    </row>
    <row r="61" spans="1:2">
      <c r="A61" s="31" t="s">
        <v>167</v>
      </c>
      <c r="B61" s="1" t="e">
        <f>VLOOKUP(A61,#REF!, 1, FALSE)</f>
        <v>#REF!</v>
      </c>
    </row>
    <row r="62" spans="1:2">
      <c r="A62" s="31" t="s">
        <v>220</v>
      </c>
      <c r="B62" s="1" t="e">
        <f>VLOOKUP(A62,#REF!, 1, FALSE)</f>
        <v>#REF!</v>
      </c>
    </row>
    <row r="63" spans="1:2">
      <c r="A63" s="31" t="s">
        <v>160</v>
      </c>
      <c r="B63" s="1" t="e">
        <f>VLOOKUP(A63,#REF!, 1, FALSE)</f>
        <v>#REF!</v>
      </c>
    </row>
    <row r="64" spans="1:2">
      <c r="A64" s="31" t="s">
        <v>178</v>
      </c>
      <c r="B64" s="1" t="e">
        <f>VLOOKUP(A64,#REF!, 1, FALSE)</f>
        <v>#REF!</v>
      </c>
    </row>
    <row r="65" spans="1:2">
      <c r="A65" s="31" t="s">
        <v>70</v>
      </c>
      <c r="B65" s="1" t="e">
        <f>VLOOKUP(A65,#REF!, 1, FALSE)</f>
        <v>#REF!</v>
      </c>
    </row>
    <row r="66" spans="1:2">
      <c r="A66" s="32" t="s">
        <v>63</v>
      </c>
      <c r="B66" s="1" t="e">
        <f>VLOOKUP(A66,#REF!, 1, FALSE)</f>
        <v>#REF!</v>
      </c>
    </row>
    <row r="67" spans="1:2">
      <c r="A67" s="33" t="s">
        <v>122</v>
      </c>
      <c r="B67" s="1" t="e">
        <f>VLOOKUP(A67,#REF!, 1, FALSE)</f>
        <v>#REF!</v>
      </c>
    </row>
    <row r="68" spans="1:2">
      <c r="A68" s="31" t="s">
        <v>22</v>
      </c>
      <c r="B68" s="1" t="e">
        <f>VLOOKUP(A68,#REF!, 1, FALSE)</f>
        <v>#REF!</v>
      </c>
    </row>
    <row r="69" spans="1:2">
      <c r="A69" s="31" t="s">
        <v>13</v>
      </c>
      <c r="B69" s="1" t="e">
        <f>VLOOKUP(A69,#REF!, 1, FALSE)</f>
        <v>#REF!</v>
      </c>
    </row>
    <row r="70" spans="1:2">
      <c r="A70" s="31" t="s">
        <v>201</v>
      </c>
      <c r="B70" s="1" t="e">
        <f>VLOOKUP(A70,#REF!, 1, FALSE)</f>
        <v>#REF!</v>
      </c>
    </row>
    <row r="71" spans="1:2">
      <c r="A71" s="31" t="s">
        <v>57</v>
      </c>
      <c r="B71" s="1" t="e">
        <f>VLOOKUP(A71,#REF!, 1, FALSE)</f>
        <v>#REF!</v>
      </c>
    </row>
    <row r="72" spans="1:2">
      <c r="A72" s="31" t="s">
        <v>206</v>
      </c>
      <c r="B72" s="1" t="e">
        <f>VLOOKUP(A72,#REF!, 1, FALSE)</f>
        <v>#REF!</v>
      </c>
    </row>
    <row r="73" spans="1:2">
      <c r="A73" s="31" t="s">
        <v>165</v>
      </c>
      <c r="B73" s="1" t="e">
        <f>VLOOKUP(A73,#REF!, 1, FALSE)</f>
        <v>#REF!</v>
      </c>
    </row>
    <row r="74" spans="1:2">
      <c r="A74" s="31" t="s">
        <v>203</v>
      </c>
      <c r="B74" s="1" t="e">
        <f>VLOOKUP(A74,#REF!, 1, FALSE)</f>
        <v>#REF!</v>
      </c>
    </row>
    <row r="75" spans="1:2">
      <c r="A75" s="31" t="s">
        <v>19</v>
      </c>
      <c r="B75" s="1" t="e">
        <f>VLOOKUP(A75,#REF!, 1, FALSE)</f>
        <v>#REF!</v>
      </c>
    </row>
    <row r="76" spans="1:2">
      <c r="A76" s="31" t="s">
        <v>134</v>
      </c>
      <c r="B76" s="1" t="e">
        <f>VLOOKUP(A76,#REF!, 1, FALSE)</f>
        <v>#REF!</v>
      </c>
    </row>
    <row r="77" spans="1:2">
      <c r="A77" s="31" t="s">
        <v>171</v>
      </c>
      <c r="B77" s="1" t="e">
        <f>VLOOKUP(A77,#REF!, 1, FALSE)</f>
        <v>#REF!</v>
      </c>
    </row>
    <row r="78" spans="1:2">
      <c r="A78" s="31" t="s">
        <v>150</v>
      </c>
      <c r="B78" s="1" t="e">
        <f>VLOOKUP(A78,#REF!, 1, FALSE)</f>
        <v>#REF!</v>
      </c>
    </row>
    <row r="79" spans="1:2">
      <c r="A79" s="31" t="s">
        <v>159</v>
      </c>
      <c r="B79" s="1" t="e">
        <f>VLOOKUP(A79,#REF!, 1, FALSE)</f>
        <v>#REF!</v>
      </c>
    </row>
    <row r="80" spans="1:2">
      <c r="A80" s="31" t="s">
        <v>209</v>
      </c>
      <c r="B80" s="1" t="e">
        <f>VLOOKUP(A80,#REF!, 1, FALSE)</f>
        <v>#REF!</v>
      </c>
    </row>
    <row r="81" spans="1:2">
      <c r="A81" s="31" t="s">
        <v>180</v>
      </c>
      <c r="B81" s="1" t="e">
        <f>VLOOKUP(A81,#REF!, 1, FALSE)</f>
        <v>#REF!</v>
      </c>
    </row>
    <row r="82" spans="1:2">
      <c r="A82" s="32" t="s">
        <v>53</v>
      </c>
      <c r="B82" s="1" t="e">
        <f>VLOOKUP(A82,#REF!, 1, FALSE)</f>
        <v>#REF!</v>
      </c>
    </row>
    <row r="83" spans="1:2">
      <c r="A83" s="33" t="s">
        <v>38</v>
      </c>
      <c r="B83" s="1" t="e">
        <f>VLOOKUP(A83,#REF!, 1, FALSE)</f>
        <v>#REF!</v>
      </c>
    </row>
    <row r="84" spans="1:2">
      <c r="A84" s="31" t="s">
        <v>71</v>
      </c>
      <c r="B84" s="1" t="e">
        <f>VLOOKUP(A84,#REF!, 1, FALSE)</f>
        <v>#REF!</v>
      </c>
    </row>
    <row r="85" spans="1:2">
      <c r="A85" s="31" t="s">
        <v>23</v>
      </c>
      <c r="B85" s="1" t="e">
        <f>VLOOKUP(A85,#REF!, 1, FALSE)</f>
        <v>#REF!</v>
      </c>
    </row>
    <row r="86" spans="1:2">
      <c r="A86" s="31" t="s">
        <v>26</v>
      </c>
      <c r="B86" s="1" t="e">
        <f>VLOOKUP(A86,#REF!, 1, FALSE)</f>
        <v>#REF!</v>
      </c>
    </row>
    <row r="87" spans="1:2">
      <c r="A87" s="31" t="s">
        <v>40</v>
      </c>
      <c r="B87" s="1" t="e">
        <f>VLOOKUP(A87,#REF!, 1, FALSE)</f>
        <v>#REF!</v>
      </c>
    </row>
    <row r="88" spans="1:2">
      <c r="A88" s="31" t="s">
        <v>76</v>
      </c>
      <c r="B88" s="1" t="e">
        <f>VLOOKUP(A88,#REF!, 1, FALSE)</f>
        <v>#REF!</v>
      </c>
    </row>
    <row r="89" spans="1:2">
      <c r="A89" s="31" t="s">
        <v>140</v>
      </c>
      <c r="B89" s="1" t="e">
        <f>VLOOKUP(A89,#REF!, 1, FALSE)</f>
        <v>#REF!</v>
      </c>
    </row>
    <row r="90" spans="1:2">
      <c r="A90" s="31" t="s">
        <v>139</v>
      </c>
      <c r="B90" s="1" t="e">
        <f>VLOOKUP(A90,#REF!, 1, FALSE)</f>
        <v>#REF!</v>
      </c>
    </row>
    <row r="91" spans="1:2">
      <c r="A91" s="31" t="s">
        <v>202</v>
      </c>
      <c r="B91" s="1" t="e">
        <f>VLOOKUP(A91,#REF!, 1, FALSE)</f>
        <v>#REF!</v>
      </c>
    </row>
    <row r="92" spans="1:2">
      <c r="A92" s="31" t="s">
        <v>131</v>
      </c>
      <c r="B92" s="1" t="e">
        <f>VLOOKUP(A92,#REF!, 1, FALSE)</f>
        <v>#REF!</v>
      </c>
    </row>
    <row r="93" spans="1:2">
      <c r="A93" s="31" t="s">
        <v>47</v>
      </c>
      <c r="B93" s="1" t="e">
        <f>VLOOKUP(A93,#REF!, 1, FALSE)</f>
        <v>#REF!</v>
      </c>
    </row>
    <row r="94" spans="1:2">
      <c r="A94" s="31" t="s">
        <v>24</v>
      </c>
      <c r="B94" s="1" t="e">
        <f>VLOOKUP(A94,#REF!, 1, FALSE)</f>
        <v>#REF!</v>
      </c>
    </row>
    <row r="95" spans="1:2">
      <c r="A95" s="31" t="s">
        <v>153</v>
      </c>
      <c r="B95" s="1" t="e">
        <f>VLOOKUP(A95,#REF!, 1, FALSE)</f>
        <v>#REF!</v>
      </c>
    </row>
    <row r="96" spans="1:2">
      <c r="A96" s="31" t="s">
        <v>149</v>
      </c>
      <c r="B96" s="1" t="e">
        <f>VLOOKUP(A96,#REF!, 1, FALSE)</f>
        <v>#REF!</v>
      </c>
    </row>
    <row r="97" spans="1:2">
      <c r="A97" s="32" t="s">
        <v>214</v>
      </c>
      <c r="B97" s="1" t="e">
        <f>VLOOKUP(A97,#REF!, 1, FALSE)</f>
        <v>#REF!</v>
      </c>
    </row>
    <row r="98" spans="1:2">
      <c r="A98" s="33" t="s">
        <v>28</v>
      </c>
      <c r="B98" s="1" t="e">
        <f>VLOOKUP(A98,#REF!, 1, FALSE)</f>
        <v>#REF!</v>
      </c>
    </row>
    <row r="99" spans="1:2">
      <c r="A99" s="31" t="s">
        <v>46</v>
      </c>
      <c r="B99" s="1" t="e">
        <f>VLOOKUP(A99,#REF!, 1, FALSE)</f>
        <v>#REF!</v>
      </c>
    </row>
    <row r="100" spans="1:2">
      <c r="A100" s="31" t="s">
        <v>21</v>
      </c>
      <c r="B100" s="1" t="e">
        <f>VLOOKUP(A100,#REF!, 1, FALSE)</f>
        <v>#REF!</v>
      </c>
    </row>
    <row r="101" spans="1:2">
      <c r="A101" s="31" t="s">
        <v>37</v>
      </c>
      <c r="B101" s="1" t="e">
        <f>VLOOKUP(A101,#REF!, 1, FALSE)</f>
        <v>#REF!</v>
      </c>
    </row>
    <row r="102" spans="1:2">
      <c r="A102" s="31" t="s">
        <v>221</v>
      </c>
      <c r="B102" s="1" t="e">
        <f>VLOOKUP(A102,#REF!, 1, FALSE)</f>
        <v>#REF!</v>
      </c>
    </row>
    <row r="103" spans="1:2">
      <c r="A103" s="31" t="s">
        <v>96</v>
      </c>
      <c r="B103" s="1" t="e">
        <f>VLOOKUP(A103,#REF!, 1, FALSE)</f>
        <v>#REF!</v>
      </c>
    </row>
    <row r="104" spans="1:2">
      <c r="A104" s="31" t="s">
        <v>56</v>
      </c>
      <c r="B104" s="1" t="e">
        <f>VLOOKUP(A104,#REF!, 1, FALSE)</f>
        <v>#REF!</v>
      </c>
    </row>
    <row r="105" spans="1:2">
      <c r="A105" s="31" t="s">
        <v>18</v>
      </c>
      <c r="B105" s="1" t="e">
        <f>VLOOKUP(A105,#REF!, 1, FALSE)</f>
        <v>#REF!</v>
      </c>
    </row>
    <row r="106" spans="1:2">
      <c r="A106" s="31" t="s">
        <v>128</v>
      </c>
      <c r="B106" s="1" t="e">
        <f>VLOOKUP(A106,#REF!, 1, FALSE)</f>
        <v>#REF!</v>
      </c>
    </row>
    <row r="107" spans="1:2">
      <c r="A107" s="31" t="s">
        <v>172</v>
      </c>
      <c r="B107" s="1" t="e">
        <f>VLOOKUP(A107,#REF!, 1, FALSE)</f>
        <v>#REF!</v>
      </c>
    </row>
    <row r="108" spans="1:2">
      <c r="A108" s="31" t="s">
        <v>135</v>
      </c>
      <c r="B108" s="1" t="e">
        <f>VLOOKUP(A108,#REF!, 1, FALSE)</f>
        <v>#REF!</v>
      </c>
    </row>
    <row r="109" spans="1:2">
      <c r="A109" s="31" t="s">
        <v>127</v>
      </c>
      <c r="B109" s="1" t="e">
        <f>VLOOKUP(A109,#REF!, 1, FALSE)</f>
        <v>#REF!</v>
      </c>
    </row>
    <row r="110" spans="1:2">
      <c r="A110" s="31" t="s">
        <v>147</v>
      </c>
      <c r="B110" s="1" t="e">
        <f>VLOOKUP(A110,#REF!, 1, FALSE)</f>
        <v>#REF!</v>
      </c>
    </row>
    <row r="111" spans="1:2">
      <c r="A111" s="31" t="s">
        <v>158</v>
      </c>
      <c r="B111" s="1" t="e">
        <f>VLOOKUP(A111,#REF!, 1, FALSE)</f>
        <v>#REF!</v>
      </c>
    </row>
    <row r="112" spans="1:2">
      <c r="A112" s="32" t="s">
        <v>25</v>
      </c>
      <c r="B112" s="1" t="e">
        <f>VLOOKUP(A112,#REF!, 1, FALSE)</f>
        <v>#REF!</v>
      </c>
    </row>
    <row r="113" spans="1:2">
      <c r="A113" s="33" t="s">
        <v>33</v>
      </c>
      <c r="B113" s="1" t="e">
        <f>VLOOKUP(A113,#REF!, 1, FALSE)</f>
        <v>#REF!</v>
      </c>
    </row>
    <row r="114" spans="1:2">
      <c r="A114" s="31" t="s">
        <v>222</v>
      </c>
      <c r="B114" s="1" t="e">
        <f>VLOOKUP(A114,#REF!, 1, FALSE)</f>
        <v>#REF!</v>
      </c>
    </row>
    <row r="115" spans="1:2">
      <c r="A115" s="31" t="s">
        <v>0</v>
      </c>
      <c r="B115" s="1" t="e">
        <f>VLOOKUP(A115,#REF!, 1, FALSE)</f>
        <v>#REF!</v>
      </c>
    </row>
    <row r="116" spans="1:2">
      <c r="A116" s="31" t="s">
        <v>129</v>
      </c>
      <c r="B116" s="1" t="e">
        <f>VLOOKUP(A116,#REF!, 1, FALSE)</f>
        <v>#REF!</v>
      </c>
    </row>
    <row r="117" spans="1:2">
      <c r="A117" s="31" t="s">
        <v>31</v>
      </c>
      <c r="B117" s="1" t="e">
        <f>VLOOKUP(A117,#REF!, 1, FALSE)</f>
        <v>#REF!</v>
      </c>
    </row>
    <row r="118" spans="1:2">
      <c r="A118" s="31" t="s">
        <v>67</v>
      </c>
      <c r="B118" s="1" t="e">
        <f>VLOOKUP(A118,#REF!, 1, FALSE)</f>
        <v>#REF!</v>
      </c>
    </row>
    <row r="119" spans="1:2">
      <c r="A119" s="31" t="s">
        <v>10</v>
      </c>
      <c r="B119" s="1" t="e">
        <f>VLOOKUP(A119,#REF!, 1, FALSE)</f>
        <v>#REF!</v>
      </c>
    </row>
    <row r="120" spans="1:2">
      <c r="A120" s="31" t="s">
        <v>14</v>
      </c>
      <c r="B120" s="1" t="e">
        <f>VLOOKUP(A120,#REF!, 1, FALSE)</f>
        <v>#REF!</v>
      </c>
    </row>
    <row r="121" spans="1:2">
      <c r="A121" s="31" t="s">
        <v>152</v>
      </c>
      <c r="B121" s="1" t="e">
        <f>VLOOKUP(A121,#REF!, 1, FALSE)</f>
        <v>#REF!</v>
      </c>
    </row>
    <row r="122" spans="1:2">
      <c r="A122" s="31" t="s">
        <v>143</v>
      </c>
      <c r="B122" s="1" t="e">
        <f>VLOOKUP(A122,#REF!, 1, FALSE)</f>
        <v>#REF!</v>
      </c>
    </row>
    <row r="123" spans="1:2">
      <c r="A123" s="31" t="s">
        <v>176</v>
      </c>
      <c r="B123" s="1" t="e">
        <f>VLOOKUP(A123,#REF!, 1, FALSE)</f>
        <v>#REF!</v>
      </c>
    </row>
    <row r="124" spans="1:2">
      <c r="A124" s="31" t="s">
        <v>138</v>
      </c>
      <c r="B124" s="1" t="e">
        <f>VLOOKUP(A124,#REF!, 1, FALSE)</f>
        <v>#REF!</v>
      </c>
    </row>
    <row r="125" spans="1:2">
      <c r="A125" s="31" t="s">
        <v>164</v>
      </c>
      <c r="B125" s="1" t="e">
        <f>VLOOKUP(A125,#REF!, 1, FALSE)</f>
        <v>#REF!</v>
      </c>
    </row>
    <row r="126" spans="1:2">
      <c r="A126" s="31" t="s">
        <v>157</v>
      </c>
      <c r="B126" s="1" t="e">
        <f>VLOOKUP(A126,#REF!, 1, FALSE)</f>
        <v>#REF!</v>
      </c>
    </row>
    <row r="127" spans="1:2">
      <c r="A127" s="31" t="s">
        <v>146</v>
      </c>
      <c r="B127" s="1" t="e">
        <f>VLOOKUP(A127,#REF!, 1, FALSE)</f>
        <v>#REF!</v>
      </c>
    </row>
  </sheetData>
  <conditionalFormatting sqref="B1:B1000">
    <cfRule type="expression" dxfId="2" priority="1">
      <formula>ISNA(B1:B1000)</formula>
    </cfRule>
  </conditionalFormatting>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outlinePr summaryBelow="0" summaryRight="0"/>
  </sheetPr>
  <dimension ref="A1:C136"/>
  <sheetViews>
    <sheetView workbookViewId="0"/>
  </sheetViews>
  <sheetFormatPr defaultColWidth="12.5703125" defaultRowHeight="15.75" customHeight="1"/>
  <cols>
    <col min="1" max="1" width="22.5703125" customWidth="1"/>
  </cols>
  <sheetData>
    <row r="1" spans="1:2">
      <c r="A1" s="1" t="s">
        <v>212</v>
      </c>
    </row>
    <row r="2" spans="1:2">
      <c r="A2" s="23" t="s">
        <v>40</v>
      </c>
      <c r="B2" s="1" t="str">
        <f>VLOOKUP(A2, FYP_Pannel_Check!A$2:A1000, 1, FALSE)</f>
        <v>Dr. Hasan Mujtaba</v>
      </c>
    </row>
    <row r="3" spans="1:2" ht="15.75" customHeight="1">
      <c r="A3" s="29" t="s">
        <v>15</v>
      </c>
      <c r="B3" s="1" t="str">
        <f>VLOOKUP(A3, FYP_Pannel_Check!A$2:A1000, 1, FALSE)</f>
        <v>Dr. Hammad Majeed</v>
      </c>
    </row>
    <row r="4" spans="1:2" ht="15.75" customHeight="1">
      <c r="A4" s="26" t="s">
        <v>213</v>
      </c>
      <c r="B4" s="1" t="e">
        <f>VLOOKUP(A4, FYP_Pannel_Check!A$2:A1000, 1, FALSE)</f>
        <v>#N/A</v>
      </c>
    </row>
    <row r="5" spans="1:2" ht="15.75" customHeight="1">
      <c r="A5" s="30" t="s">
        <v>22</v>
      </c>
      <c r="B5" s="1" t="str">
        <f>VLOOKUP(A5, FYP_Pannel_Check!A$2:A1000, 1, FALSE)</f>
        <v>Dr. Muhammad Arshad Islam</v>
      </c>
    </row>
    <row r="6" spans="1:2" ht="15.75" customHeight="1">
      <c r="A6" s="26" t="s">
        <v>55</v>
      </c>
      <c r="B6" s="1" t="str">
        <f>VLOOKUP(A6, FYP_Pannel_Check!A$2:A1000, 1, FALSE)</f>
        <v>Dr. Ahmad Raza Shahid</v>
      </c>
    </row>
    <row r="7" spans="1:2" ht="15.75" customHeight="1">
      <c r="A7" s="26" t="s">
        <v>50</v>
      </c>
      <c r="B7" s="1" t="str">
        <f>VLOOKUP(A7, FYP_Pannel_Check!A$2:A1000, 1, FALSE)</f>
        <v>Dr. Labiba Fahad</v>
      </c>
    </row>
    <row r="8" spans="1:2" ht="15.75" customHeight="1">
      <c r="A8" s="26" t="s">
        <v>198</v>
      </c>
      <c r="B8" s="1" t="str">
        <f>VLOOKUP(A8, FYP_Pannel_Check!A$2:A1000, 1, FALSE)</f>
        <v>Dr. Noreen Jamil</v>
      </c>
    </row>
    <row r="9" spans="1:2" ht="15.75" customHeight="1">
      <c r="A9" s="26" t="s">
        <v>63</v>
      </c>
      <c r="B9" s="1" t="str">
        <f>VLOOKUP(A9, FYP_Pannel_Check!A$2:A1000, 1, FALSE)</f>
        <v>Dr. Akhtar Jamil</v>
      </c>
    </row>
    <row r="10" spans="1:2" ht="15.75" customHeight="1">
      <c r="A10" s="26" t="s">
        <v>31</v>
      </c>
      <c r="B10" s="1" t="str">
        <f>VLOOKUP(A10, FYP_Pannel_Check!A$2:A1000, 1, FALSE)</f>
        <v>Dr. Imran Ashraf</v>
      </c>
    </row>
    <row r="11" spans="1:2" ht="15.75" customHeight="1">
      <c r="A11" s="26" t="s">
        <v>66</v>
      </c>
      <c r="B11" s="1" t="str">
        <f>VLOOKUP(A11, FYP_Pannel_Check!A$2:A1000, 1, FALSE)</f>
        <v>Dr. Danish Shehzad</v>
      </c>
    </row>
    <row r="12" spans="1:2" ht="15.75" customHeight="1">
      <c r="A12" s="26" t="s">
        <v>46</v>
      </c>
      <c r="B12" s="1" t="str">
        <f>VLOOKUP(A12, FYP_Pannel_Check!A$2:A1000, 1, FALSE)</f>
        <v>Dr. Amna Basharat</v>
      </c>
    </row>
    <row r="13" spans="1:2" ht="15.75" customHeight="1">
      <c r="A13" s="26" t="s">
        <v>60</v>
      </c>
      <c r="B13" s="1" t="str">
        <f>VLOOKUP(A13, FYP_Pannel_Check!A$2:A1000, 1, FALSE)</f>
        <v>Dr. Adnan Tariq</v>
      </c>
    </row>
    <row r="14" spans="1:2" ht="15.75" customHeight="1">
      <c r="A14" s="26" t="s">
        <v>41</v>
      </c>
      <c r="B14" s="1" t="str">
        <f>VLOOKUP(A14, FYP_Pannel_Check!A$2:A1000, 1, FALSE)</f>
        <v>Dr. Faisal Cheema</v>
      </c>
    </row>
    <row r="15" spans="1:2" ht="15.75" customHeight="1">
      <c r="A15" s="26" t="s">
        <v>75</v>
      </c>
      <c r="B15" s="1" t="str">
        <f>VLOOKUP(A15, FYP_Pannel_Check!A$2:A1000, 1, FALSE)</f>
        <v>Dr. Mehreen Alam</v>
      </c>
    </row>
    <row r="16" spans="1:2">
      <c r="A16" s="1" t="s">
        <v>52</v>
      </c>
      <c r="B16" s="1" t="str">
        <f>VLOOKUP(A16, FYP_Pannel_Check!A$2:A1000, 1, FALSE)</f>
        <v>Dr. Javaria Imtiaz</v>
      </c>
    </row>
    <row r="17" spans="1:3" ht="15.75" customHeight="1">
      <c r="A17" s="26" t="s">
        <v>34</v>
      </c>
      <c r="B17" s="1" t="str">
        <f>VLOOKUP(A17, FYP_Pannel_Check!A$2:A1000, 1, FALSE)</f>
        <v>Dr. Ali Zeeshan Ijaz</v>
      </c>
    </row>
    <row r="18" spans="1:3" ht="15.75" customHeight="1">
      <c r="A18" s="26" t="s">
        <v>49</v>
      </c>
      <c r="B18" s="1" t="str">
        <f>VLOOKUP(A18, FYP_Pannel_Check!A$2:A1000, 1, FALSE)</f>
        <v>Dr. Syed Qaiser Ali Shah</v>
      </c>
    </row>
    <row r="19" spans="1:3" ht="15.75" customHeight="1">
      <c r="A19" s="26" t="s">
        <v>44</v>
      </c>
      <c r="B19" s="1" t="e">
        <f>VLOOKUP(A19, FYP_Pannel_Check!A$2:A1000, 1, FALSE)</f>
        <v>#N/A</v>
      </c>
      <c r="C19" s="7" t="s">
        <v>223</v>
      </c>
    </row>
    <row r="20" spans="1:3" ht="15.75" customHeight="1">
      <c r="A20" s="26" t="s">
        <v>23</v>
      </c>
      <c r="B20" s="1" t="str">
        <f>VLOOKUP(A20, FYP_Pannel_Check!A$2:A1000, 1, FALSE)</f>
        <v>Ms. Noor ul Ain</v>
      </c>
    </row>
    <row r="21" spans="1:3" ht="15.75" customHeight="1">
      <c r="A21" s="26" t="s">
        <v>96</v>
      </c>
      <c r="B21" s="1" t="str">
        <f>VLOOKUP(A21, FYP_Pannel_Check!A$2:A1000, 1, FALSE)</f>
        <v>Ms. Sidra Khalid</v>
      </c>
    </row>
    <row r="22" spans="1:3" ht="15.75" customHeight="1">
      <c r="A22" s="26" t="s">
        <v>48</v>
      </c>
      <c r="B22" s="1" t="str">
        <f>VLOOKUP(A22, FYP_Pannel_Check!A$2:A1000, 1, FALSE)</f>
        <v>Mr. Shams Farooq</v>
      </c>
    </row>
    <row r="23" spans="1:3" ht="15.75" customHeight="1">
      <c r="A23" s="26" t="s">
        <v>152</v>
      </c>
      <c r="B23" s="1" t="str">
        <f>VLOOKUP(A23, FYP_Pannel_Check!A$2:A1000, 1, FALSE)</f>
        <v>Mr. Shehreyar Rashid</v>
      </c>
    </row>
    <row r="24" spans="1:3">
      <c r="A24" s="1" t="s">
        <v>5</v>
      </c>
      <c r="B24" s="1" t="str">
        <f>VLOOKUP(A24, FYP_Pannel_Check!A$2:A1000, 1, FALSE)</f>
        <v>Mr. Saad Salman</v>
      </c>
    </row>
    <row r="25" spans="1:3" ht="15.75" customHeight="1">
      <c r="A25" s="26" t="s">
        <v>25</v>
      </c>
      <c r="B25" s="1" t="str">
        <f>VLOOKUP(A25, FYP_Pannel_Check!A$2:A1000, 1, FALSE)</f>
        <v>Ms. Marium Hida</v>
      </c>
    </row>
    <row r="26" spans="1:3">
      <c r="A26" s="23" t="s">
        <v>17</v>
      </c>
      <c r="B26" s="1" t="str">
        <f>VLOOKUP(A26, FYP_Pannel_Check!A$2:A1000, 1, FALSE)</f>
        <v>Mr. Owais Idrees</v>
      </c>
    </row>
    <row r="27" spans="1:3" ht="15.75" customHeight="1">
      <c r="A27" s="26" t="s">
        <v>54</v>
      </c>
      <c r="B27" s="1" t="str">
        <f>VLOOKUP(A27, FYP_Pannel_Check!A$2:A1000, 1, FALSE)</f>
        <v>Mr. Majid Hussain</v>
      </c>
    </row>
    <row r="28" spans="1:3" ht="15.75" customHeight="1">
      <c r="A28" s="26" t="s">
        <v>156</v>
      </c>
      <c r="B28" s="1" t="str">
        <f>VLOOKUP(A28, FYP_Pannel_Check!A$2:A1000, 1, FALSE)</f>
        <v>Mr. Muhammad Almas Khan</v>
      </c>
    </row>
    <row r="29" spans="1:3" ht="15.75" customHeight="1">
      <c r="A29" s="26" t="s">
        <v>76</v>
      </c>
      <c r="B29" s="1" t="str">
        <f>VLOOKUP(A29, FYP_Pannel_Check!A$2:A1000, 1, FALSE)</f>
        <v>Ms. Tajwar Mehmood</v>
      </c>
    </row>
    <row r="30" spans="1:3" ht="15.75" customHeight="1">
      <c r="A30" s="26" t="s">
        <v>33</v>
      </c>
      <c r="B30" s="1" t="str">
        <f>VLOOKUP(A30, FYP_Pannel_Check!A$2:A1000, 1, FALSE)</f>
        <v>Ms. Nirmal Tariq</v>
      </c>
    </row>
    <row r="31" spans="1:3" ht="15.75" customHeight="1">
      <c r="A31" s="26" t="s">
        <v>97</v>
      </c>
      <c r="B31" s="1" t="str">
        <f>VLOOKUP(A31, FYP_Pannel_Check!A$2:A1000, 1, FALSE)</f>
        <v>Ms. Urooj Ghani</v>
      </c>
    </row>
    <row r="32" spans="1:3" ht="15.75" customHeight="1">
      <c r="A32" s="26" t="s">
        <v>163</v>
      </c>
      <c r="B32" s="1" t="str">
        <f>VLOOKUP(A32, FYP_Pannel_Check!A$2:A1000, 1, FALSE)</f>
        <v>Ms. Maryam Shahbaz</v>
      </c>
    </row>
    <row r="33" spans="1:2" ht="15.75" customHeight="1">
      <c r="A33" s="26" t="s">
        <v>16</v>
      </c>
      <c r="B33" s="1" t="str">
        <f>VLOOKUP(A33, FYP_Pannel_Check!A$2:A1000, 1, FALSE)</f>
        <v>Mr. Muhammad Farrukh Bashir</v>
      </c>
    </row>
    <row r="34" spans="1:2" ht="15.75" customHeight="1">
      <c r="A34" s="26" t="s">
        <v>67</v>
      </c>
      <c r="B34" s="1" t="str">
        <f>VLOOKUP(A34, FYP_Pannel_Check!A$2:A1000, 1, FALSE)</f>
        <v>Mr. M. Aadil Ur Rehman</v>
      </c>
    </row>
    <row r="35" spans="1:2" ht="15">
      <c r="A35" s="26" t="s">
        <v>32</v>
      </c>
      <c r="B35" s="1" t="str">
        <f>VLOOKUP(A35, FYP_Pannel_Check!A$2:A1000, 1, FALSE)</f>
        <v>Mr. Aqib Rehman</v>
      </c>
    </row>
    <row r="36" spans="1:2" ht="15">
      <c r="A36" s="26" t="s">
        <v>171</v>
      </c>
      <c r="B36" s="1" t="str">
        <f>VLOOKUP(A36, FYP_Pannel_Check!A$2:A1000, 1, FALSE)</f>
        <v>Mr. Basharat Hussain</v>
      </c>
    </row>
    <row r="37" spans="1:2" ht="15">
      <c r="A37" s="26" t="s">
        <v>39</v>
      </c>
      <c r="B37" s="1" t="str">
        <f>VLOOKUP(A37, FYP_Pannel_Check!A$2:A1000, 1, FALSE)</f>
        <v>Ms. Rabail Zahid</v>
      </c>
    </row>
    <row r="38" spans="1:2" ht="15">
      <c r="A38" s="26" t="s">
        <v>43</v>
      </c>
      <c r="B38" s="1" t="str">
        <f>VLOOKUP(A38, FYP_Pannel_Check!A$2:A1000, 1, FALSE)</f>
        <v>Mr. M Aamir Gulzar</v>
      </c>
    </row>
    <row r="39" spans="1:2" ht="15">
      <c r="A39" s="26" t="s">
        <v>58</v>
      </c>
      <c r="B39" s="1" t="str">
        <f>VLOOKUP(A39, FYP_Pannel_Check!A$2:A1000, 1, FALSE)</f>
        <v>Ms. Sana Razzaq</v>
      </c>
    </row>
    <row r="40" spans="1:2" ht="15">
      <c r="A40" s="26" t="s">
        <v>176</v>
      </c>
      <c r="B40" s="1" t="str">
        <f>VLOOKUP(A40, FYP_Pannel_Check!A$2:A1000, 1, FALSE)</f>
        <v>Ms. Amina Siddique</v>
      </c>
    </row>
    <row r="41" spans="1:2" ht="15">
      <c r="A41" s="26" t="s">
        <v>38</v>
      </c>
      <c r="B41" s="1" t="str">
        <f>VLOOKUP(A41, FYP_Pannel_Check!A$2:A1000, 1, FALSE)</f>
        <v>Ms. Hira Mastoor</v>
      </c>
    </row>
    <row r="42" spans="1:2" ht="15">
      <c r="A42" s="26" t="s">
        <v>144</v>
      </c>
      <c r="B42" s="1" t="str">
        <f>VLOOKUP(A42, FYP_Pannel_Check!A$2:A1000, 1, FALSE)</f>
        <v>Ms. Bushra Fatima Tariq</v>
      </c>
    </row>
    <row r="43" spans="1:2" ht="15">
      <c r="A43" s="26" t="s">
        <v>24</v>
      </c>
      <c r="B43" s="1" t="str">
        <f>VLOOKUP(A43, FYP_Pannel_Check!A$2:A1000, 1, FALSE)</f>
        <v>Mr. Usama Bin Imran</v>
      </c>
    </row>
    <row r="44" spans="1:2" ht="15">
      <c r="A44" s="26" t="s">
        <v>134</v>
      </c>
      <c r="B44" s="1" t="str">
        <f>VLOOKUP(A44, FYP_Pannel_Check!A$2:A1000, 1, FALSE)</f>
        <v>Ms. Hajira Uzair</v>
      </c>
    </row>
    <row r="45" spans="1:2" ht="15">
      <c r="A45" s="26" t="s">
        <v>127</v>
      </c>
      <c r="B45" s="1" t="str">
        <f>VLOOKUP(A45, FYP_Pannel_Check!A$2:A1000, 1, FALSE)</f>
        <v>Ms. Syeda Shah Noor Haider</v>
      </c>
    </row>
    <row r="46" spans="1:2" ht="15">
      <c r="A46" s="26" t="s">
        <v>145</v>
      </c>
      <c r="B46" s="1" t="str">
        <f>VLOOKUP(A46, FYP_Pannel_Check!A$2:A1000, 1, FALSE)</f>
        <v>Ms. Amina Ashfaq</v>
      </c>
    </row>
    <row r="47" spans="1:2" ht="15">
      <c r="A47" s="26" t="s">
        <v>147</v>
      </c>
      <c r="B47" s="1" t="str">
        <f>VLOOKUP(A47, FYP_Pannel_Check!A$2:A1000, 1, FALSE)</f>
        <v>Ms. Zill-E-Huma</v>
      </c>
    </row>
    <row r="48" spans="1:2" ht="15">
      <c r="A48" s="26" t="s">
        <v>157</v>
      </c>
      <c r="B48" s="1" t="str">
        <f>VLOOKUP(A48, FYP_Pannel_Check!A$2:A1000, 1, FALSE)</f>
        <v>Ms. Asma Tufail</v>
      </c>
    </row>
    <row r="49" spans="1:3" ht="15">
      <c r="A49" s="26" t="s">
        <v>158</v>
      </c>
      <c r="B49" s="1" t="str">
        <f>VLOOKUP(A49, FYP_Pannel_Check!A$2:A1000, 1, FALSE)</f>
        <v>Mr. Sohail Aziz</v>
      </c>
    </row>
    <row r="50" spans="1:3" ht="15">
      <c r="A50" s="26" t="s">
        <v>185</v>
      </c>
      <c r="B50" s="1" t="e">
        <f>VLOOKUP(A50, FYP_Pannel_Check!A$2:A1000, 1, FALSE)</f>
        <v>#N/A</v>
      </c>
      <c r="C50" s="7" t="s">
        <v>223</v>
      </c>
    </row>
    <row r="51" spans="1:3" ht="15">
      <c r="A51" s="26" t="s">
        <v>125</v>
      </c>
      <c r="B51" s="1" t="e">
        <f>VLOOKUP(A51, FYP_Pannel_Check!A$2:A1000, 1, FALSE)</f>
        <v>#N/A</v>
      </c>
      <c r="C51" s="1" t="s">
        <v>223</v>
      </c>
    </row>
    <row r="52" spans="1:3" ht="15">
      <c r="A52" s="29" t="s">
        <v>0</v>
      </c>
      <c r="B52" s="1" t="str">
        <f>VLOOKUP(A52, FYP_Pannel_Check!A$2:A1000, 1, FALSE)</f>
        <v>Dr. Muhammad Asim</v>
      </c>
    </row>
    <row r="53" spans="1:3" ht="15">
      <c r="A53" s="26" t="s">
        <v>129</v>
      </c>
      <c r="B53" s="1" t="str">
        <f>VLOOKUP(A53, FYP_Pannel_Check!A$2:A1000, 1, FALSE)</f>
        <v>Dr. Subhan Ullah</v>
      </c>
    </row>
    <row r="54" spans="1:3" ht="15">
      <c r="A54" s="26" t="s">
        <v>53</v>
      </c>
      <c r="B54" s="1" t="str">
        <f>VLOOKUP(A54, FYP_Pannel_Check!A$2:A1000, 1, FALSE)</f>
        <v>Dr. Qaiser Shafi</v>
      </c>
    </row>
    <row r="55" spans="1:3" ht="12.75">
      <c r="A55" s="1" t="s">
        <v>148</v>
      </c>
      <c r="B55" s="1" t="str">
        <f>VLOOKUP(A55, FYP_Pannel_Check!A$2:A1000, 1, FALSE)</f>
        <v>Dr. Sana Aurangzeb</v>
      </c>
    </row>
    <row r="56" spans="1:3" ht="12.75">
      <c r="A56" s="1" t="s">
        <v>29</v>
      </c>
      <c r="B56" s="1" t="str">
        <f>VLOOKUP(A56, FYP_Pannel_Check!A$2:A1000, 1, FALSE)</f>
        <v>Mr. Jawad Hassan</v>
      </c>
    </row>
    <row r="57" spans="1:3" ht="15">
      <c r="A57" s="26" t="s">
        <v>151</v>
      </c>
      <c r="B57" s="1" t="str">
        <f>VLOOKUP(A57, FYP_Pannel_Check!A$2:A1000, 1, FALSE)</f>
        <v>Ms. Hina Binte Haq</v>
      </c>
    </row>
    <row r="58" spans="1:3" ht="15">
      <c r="A58" s="26" t="s">
        <v>8</v>
      </c>
      <c r="B58" s="1" t="str">
        <f>VLOOKUP(A58, FYP_Pannel_Check!A$2:A1000, 1, FALSE)</f>
        <v>Mr. Muhammad Abdullah Abid</v>
      </c>
    </row>
    <row r="59" spans="1:3" ht="15">
      <c r="A59" s="26" t="s">
        <v>139</v>
      </c>
      <c r="B59" s="1" t="str">
        <f>VLOOKUP(A59, FYP_Pannel_Check!A$2:A1000, 1, FALSE)</f>
        <v>Mr. Mehmood ul Hassan</v>
      </c>
    </row>
    <row r="60" spans="1:3" ht="15">
      <c r="A60" s="26" t="s">
        <v>165</v>
      </c>
      <c r="B60" s="1" t="str">
        <f>VLOOKUP(A60, FYP_Pannel_Check!A$2:A1000, 1, FALSE)</f>
        <v>Ms. Farheen Tabassum</v>
      </c>
    </row>
    <row r="61" spans="1:3" ht="15">
      <c r="A61" s="26" t="s">
        <v>170</v>
      </c>
      <c r="B61" s="1" t="str">
        <f>VLOOKUP(A61, FYP_Pannel_Check!A$2:A1000, 1, FALSE)</f>
        <v>Mr. Arslan Aslam</v>
      </c>
    </row>
    <row r="62" spans="1:3" ht="15">
      <c r="A62" s="26" t="s">
        <v>143</v>
      </c>
      <c r="B62" s="1" t="str">
        <f>VLOOKUP(A62, FYP_Pannel_Check!A$2:A1000, 1, FALSE)</f>
        <v>Mr. M Naveed Khurshid</v>
      </c>
    </row>
    <row r="63" spans="1:3" ht="15">
      <c r="A63" s="26" t="s">
        <v>122</v>
      </c>
      <c r="B63" s="1" t="str">
        <f>VLOOKUP(A63, FYP_Pannel_Check!A$2:A1000, 1, FALSE)</f>
        <v>Ms. Sunduss Aamir Khan</v>
      </c>
    </row>
    <row r="64" spans="1:3" ht="15">
      <c r="A64" s="26" t="s">
        <v>141</v>
      </c>
      <c r="B64" s="1" t="str">
        <f>VLOOKUP(A64, FYP_Pannel_Check!A$2:A1000, 1, FALSE)</f>
        <v>Ms. Sadia Saad</v>
      </c>
    </row>
    <row r="65" spans="1:3" ht="15">
      <c r="A65" s="26" t="s">
        <v>149</v>
      </c>
      <c r="B65" s="1" t="str">
        <f>VLOOKUP(A65, FYP_Pannel_Check!A$2:A1000, 1, FALSE)</f>
        <v>Ms. Aneeqa Khalil</v>
      </c>
    </row>
    <row r="66" spans="1:3" ht="15">
      <c r="A66" s="26" t="s">
        <v>159</v>
      </c>
      <c r="B66" s="1" t="str">
        <f>VLOOKUP(A66, FYP_Pannel_Check!A$2:A1000, 1, FALSE)</f>
        <v>Mr. M Suleman Saboor</v>
      </c>
    </row>
    <row r="67" spans="1:3" ht="15">
      <c r="A67" s="26" t="s">
        <v>162</v>
      </c>
      <c r="B67" s="1" t="e">
        <f>VLOOKUP(A67, FYP_Pannel_Check!A$2:A1000, 1, FALSE)</f>
        <v>#N/A</v>
      </c>
      <c r="C67" s="1" t="s">
        <v>223</v>
      </c>
    </row>
    <row r="68" spans="1:3" ht="15">
      <c r="A68" s="26" t="s">
        <v>184</v>
      </c>
      <c r="B68" s="1" t="e">
        <f>VLOOKUP(A68, FYP_Pannel_Check!A$2:A1000, 1, FALSE)</f>
        <v>#N/A</v>
      </c>
      <c r="C68" s="1" t="s">
        <v>223</v>
      </c>
    </row>
    <row r="69" spans="1:3" ht="15">
      <c r="A69" s="29" t="s">
        <v>26</v>
      </c>
      <c r="B69" s="1" t="str">
        <f>VLOOKUP(A69, FYP_Pannel_Check!A$2:A1000, 1, FALSE)</f>
        <v>Dr. Usman Habib</v>
      </c>
    </row>
    <row r="70" spans="1:3" ht="15">
      <c r="A70" s="26" t="s">
        <v>37</v>
      </c>
      <c r="B70" s="1" t="str">
        <f>VLOOKUP(A70, FYP_Pannel_Check!A$2:A1000, 1, FALSE)</f>
        <v>Dr. Naveed Ahmad</v>
      </c>
    </row>
    <row r="71" spans="1:3" ht="15">
      <c r="A71" s="26" t="s">
        <v>77</v>
      </c>
      <c r="B71" s="1" t="str">
        <f>VLOOKUP(A71, FYP_Pannel_Check!A$2:A1000, 1, FALSE)</f>
        <v>Dr. Behjat Zuhaira</v>
      </c>
    </row>
    <row r="72" spans="1:3" ht="12.75">
      <c r="A72" s="1" t="s">
        <v>21</v>
      </c>
      <c r="B72" s="1" t="str">
        <f>VLOOKUP(A72, FYP_Pannel_Check!A$2:A1000, 1, FALSE)</f>
        <v>Dr. Atif Jilani</v>
      </c>
    </row>
    <row r="73" spans="1:3" ht="15">
      <c r="A73" s="26" t="s">
        <v>214</v>
      </c>
      <c r="B73" s="1" t="str">
        <f>VLOOKUP(A73, FYP_Pannel_Check!A$2:A1000, 1, FALSE)</f>
        <v>Dr. Isma Ul Hassan</v>
      </c>
    </row>
    <row r="74" spans="1:3" ht="15">
      <c r="A74" s="26" t="s">
        <v>13</v>
      </c>
      <c r="B74" s="1" t="str">
        <f>VLOOKUP(A74, FYP_Pannel_Check!A$2:A1000, 1, FALSE)</f>
        <v>Dr. Asif Muhammad</v>
      </c>
    </row>
    <row r="75" spans="1:3" ht="15">
      <c r="A75" s="26" t="s">
        <v>130</v>
      </c>
      <c r="B75" s="1" t="str">
        <f>VLOOKUP(A75, FYP_Pannel_Check!A$2:A1000, 1, FALSE)</f>
        <v>Dr. Uzma Mahar</v>
      </c>
    </row>
    <row r="76" spans="1:3" ht="15">
      <c r="A76" s="26" t="s">
        <v>28</v>
      </c>
      <c r="B76" s="1" t="str">
        <f>VLOOKUP(A76, FYP_Pannel_Check!A$2:A1000, 1, FALSE)</f>
        <v>Dr. Shahela Saif</v>
      </c>
    </row>
    <row r="77" spans="1:3" ht="12.75">
      <c r="A77" s="1" t="s">
        <v>68</v>
      </c>
      <c r="B77" s="1" t="str">
        <f>VLOOKUP(A77, FYP_Pannel_Check!A$2:A1000, 1, FALSE)</f>
        <v>Mr. Zeshan Khan</v>
      </c>
    </row>
    <row r="78" spans="1:3" ht="15">
      <c r="A78" s="26" t="s">
        <v>10</v>
      </c>
      <c r="B78" s="1" t="str">
        <f>VLOOKUP(A78, FYP_Pannel_Check!A$2:A1000, 1, FALSE)</f>
        <v>Mr. Bilal Khalid Dar</v>
      </c>
    </row>
    <row r="79" spans="1:3" ht="15">
      <c r="A79" s="26" t="s">
        <v>140</v>
      </c>
      <c r="B79" s="1" t="str">
        <f>VLOOKUP(A79, FYP_Pannel_Check!A$2:A1000, 1, FALSE)</f>
        <v>Ms. Shafaq Riaz Bhatti</v>
      </c>
    </row>
    <row r="80" spans="1:3" ht="15">
      <c r="A80" s="26" t="s">
        <v>137</v>
      </c>
      <c r="B80" s="1" t="str">
        <f>VLOOKUP(A80, FYP_Pannel_Check!A$2:A1000, 1, FALSE)</f>
        <v>Ms. Saba Kanwal</v>
      </c>
    </row>
    <row r="81" spans="1:3" ht="15">
      <c r="A81" s="26" t="s">
        <v>99</v>
      </c>
      <c r="B81" s="1" t="str">
        <f>VLOOKUP(A81, FYP_Pannel_Check!A$2:A1000, 1, FALSE)</f>
        <v>Mr. Zaheer Ul Hussain Sani</v>
      </c>
    </row>
    <row r="82" spans="1:3" ht="15">
      <c r="A82" s="26" t="s">
        <v>1</v>
      </c>
      <c r="B82" s="1" t="str">
        <f>VLOOKUP(A82, FYP_Pannel_Check!A$2:A1000, 1, FALSE)</f>
        <v>Mr. Irfan Ullah</v>
      </c>
    </row>
    <row r="83" spans="1:3" ht="15">
      <c r="A83" s="26" t="s">
        <v>14</v>
      </c>
      <c r="B83" s="1" t="str">
        <f>VLOOKUP(A83, FYP_Pannel_Check!A$2:A1000, 1, FALSE)</f>
        <v>Mr. Pir Sami Ullah Shah</v>
      </c>
    </row>
    <row r="84" spans="1:3" ht="15">
      <c r="A84" s="26" t="s">
        <v>161</v>
      </c>
      <c r="B84" s="1" t="str">
        <f>VLOOKUP(A84, FYP_Pannel_Check!A$2:A1000, 1, FALSE)</f>
        <v>Ms. Nigar Azhar Butt</v>
      </c>
    </row>
    <row r="85" spans="1:3" ht="15">
      <c r="A85" s="26" t="s">
        <v>124</v>
      </c>
      <c r="B85" s="1" t="str">
        <f>VLOOKUP(A85, FYP_Pannel_Check!A$2:A1000, 1, FALSE)</f>
        <v>Ms. Laiba Imran</v>
      </c>
    </row>
    <row r="86" spans="1:3" ht="15">
      <c r="A86" s="26" t="s">
        <v>169</v>
      </c>
      <c r="B86" s="1" t="str">
        <f>VLOOKUP(A86, FYP_Pannel_Check!A$2:A1000, 1, FALSE)</f>
        <v>Ms. Zoya Sumbul Zaheer</v>
      </c>
    </row>
    <row r="87" spans="1:3" ht="15">
      <c r="A87" s="26" t="s">
        <v>174</v>
      </c>
      <c r="B87" s="1" t="str">
        <f>VLOOKUP(A87, FYP_Pannel_Check!A$2:A1000, 1, FALSE)</f>
        <v>Mr. Syed Daniyal Hussain Shah</v>
      </c>
    </row>
    <row r="88" spans="1:3" ht="15">
      <c r="A88" s="26" t="s">
        <v>178</v>
      </c>
      <c r="B88" s="1" t="str">
        <f>VLOOKUP(A88, FYP_Pannel_Check!A$2:A1000, 1, FALSE)</f>
        <v>Ms. Daniya Jadoon</v>
      </c>
    </row>
    <row r="89" spans="1:3" ht="15">
      <c r="A89" s="26" t="s">
        <v>180</v>
      </c>
      <c r="B89" s="1" t="str">
        <f>VLOOKUP(A89, FYP_Pannel_Check!A$2:A1000, 1, FALSE)</f>
        <v>Ms.Ghulam Fatima</v>
      </c>
    </row>
    <row r="90" spans="1:3" ht="15">
      <c r="A90" s="26" t="s">
        <v>182</v>
      </c>
      <c r="B90" s="1" t="str">
        <f>VLOOKUP(A90, FYP_Pannel_Check!A$2:A1000, 1, FALSE)</f>
        <v>Ms. Kanwal Naz</v>
      </c>
    </row>
    <row r="91" spans="1:3" ht="15">
      <c r="A91" s="26" t="s">
        <v>183</v>
      </c>
      <c r="B91" s="1" t="str">
        <f>VLOOKUP(A91, FYP_Pannel_Check!A$2:A1000, 1, FALSE)</f>
        <v>Muhammad Muneeb Baig</v>
      </c>
    </row>
    <row r="92" spans="1:3" ht="15">
      <c r="A92" s="26" t="s">
        <v>74</v>
      </c>
      <c r="B92" s="1" t="e">
        <f>VLOOKUP(A92, FYP_Pannel_Check!A$2:A1000, 1, FALSE)</f>
        <v>#N/A</v>
      </c>
      <c r="C92" s="1" t="s">
        <v>223</v>
      </c>
    </row>
    <row r="93" spans="1:3" ht="15">
      <c r="A93" s="26" t="s">
        <v>132</v>
      </c>
      <c r="B93" s="1" t="e">
        <f>VLOOKUP(A93, FYP_Pannel_Check!A$2:A1000, 1, FALSE)</f>
        <v>#N/A</v>
      </c>
      <c r="C93" s="1" t="s">
        <v>223</v>
      </c>
    </row>
    <row r="94" spans="1:3" ht="15">
      <c r="A94" s="26" t="s">
        <v>126</v>
      </c>
      <c r="B94" s="1" t="e">
        <f>VLOOKUP(A94, FYP_Pannel_Check!A$2:A1000, 1, FALSE)</f>
        <v>#N/A</v>
      </c>
      <c r="C94" s="1" t="s">
        <v>223</v>
      </c>
    </row>
    <row r="95" spans="1:3" ht="15">
      <c r="A95" s="29" t="s">
        <v>64</v>
      </c>
      <c r="B95" s="1" t="e">
        <f>VLOOKUP(A95, FYP_Pannel_Check!A$2:A1000, 1, FALSE)</f>
        <v>#N/A</v>
      </c>
    </row>
    <row r="96" spans="1:3" ht="15">
      <c r="A96" s="26" t="s">
        <v>199</v>
      </c>
      <c r="B96" s="1" t="e">
        <f>VLOOKUP(A96, FYP_Pannel_Check!A$2:A1000, 1, FALSE)</f>
        <v>#N/A</v>
      </c>
    </row>
    <row r="97" spans="1:3" ht="12.75">
      <c r="A97" s="1" t="s">
        <v>27</v>
      </c>
      <c r="B97" s="1" t="e">
        <f>VLOOKUP(A97, FYP_Pannel_Check!A$2:A1000, 1, FALSE)</f>
        <v>#N/A</v>
      </c>
      <c r="C97" s="1" t="s">
        <v>223</v>
      </c>
    </row>
    <row r="98" spans="1:3" ht="15">
      <c r="A98" s="26" t="s">
        <v>166</v>
      </c>
      <c r="B98" s="1" t="str">
        <f>VLOOKUP(A98, FYP_Pannel_Check!A$2:A1000, 1, FALSE)</f>
        <v>Dr. Mirza Omer Beg</v>
      </c>
    </row>
    <row r="99" spans="1:3" ht="15">
      <c r="A99" s="26" t="s">
        <v>35</v>
      </c>
      <c r="B99" s="1" t="str">
        <f>VLOOKUP(A99, FYP_Pannel_Check!A$2:A1000, 1, FALSE)</f>
        <v>Dr. Muhammad Ishtiaq</v>
      </c>
    </row>
    <row r="100" spans="1:3" ht="15">
      <c r="A100" s="26" t="s">
        <v>57</v>
      </c>
      <c r="B100" s="1" t="str">
        <f>VLOOKUP(A100, FYP_Pannel_Check!A$2:A1000, 1, FALSE)</f>
        <v>Dr. Usman Haider</v>
      </c>
    </row>
    <row r="101" spans="1:3" ht="15">
      <c r="A101" s="26" t="s">
        <v>155</v>
      </c>
      <c r="B101" s="1" t="e">
        <f>VLOOKUP(A101, FYP_Pannel_Check!A$2:A1000, 1, FALSE)</f>
        <v>#N/A</v>
      </c>
      <c r="C101" s="1" t="s">
        <v>223</v>
      </c>
    </row>
    <row r="102" spans="1:3" ht="15">
      <c r="A102" s="26" t="s">
        <v>177</v>
      </c>
      <c r="B102" s="1" t="str">
        <f>VLOOKUP(A102, FYP_Pannel_Check!A$2:A1000, 1, FALSE)</f>
        <v>Mr. Shoaib Saleem Khattak</v>
      </c>
    </row>
    <row r="103" spans="1:3" ht="15">
      <c r="A103" s="26" t="s">
        <v>62</v>
      </c>
      <c r="B103" s="1" t="str">
        <f>VLOOKUP(A103, FYP_Pannel_Check!A$2:A1000, 1, FALSE)</f>
        <v>Mr. Hassan Raza</v>
      </c>
    </row>
    <row r="104" spans="1:3" ht="15">
      <c r="A104" s="26" t="s">
        <v>123</v>
      </c>
      <c r="B104" s="1" t="str">
        <f>VLOOKUP(A104, FYP_Pannel_Check!A$2:A1000, 1, FALSE)</f>
        <v>Ms. Mehreen Javaid</v>
      </c>
    </row>
    <row r="105" spans="1:3" ht="12.75">
      <c r="A105" s="1" t="s">
        <v>51</v>
      </c>
      <c r="B105" s="1" t="str">
        <f>VLOOKUP(A105, FYP_Pannel_Check!A$2:A1000, 1, FALSE)</f>
        <v>Ms. Ayesha Kamran</v>
      </c>
    </row>
    <row r="106" spans="1:3" ht="15">
      <c r="A106" s="26" t="s">
        <v>56</v>
      </c>
      <c r="B106" s="1" t="str">
        <f>VLOOKUP(A106, FYP_Pannel_Check!A$2:A1000, 1, FALSE)</f>
        <v>Mr. Adil Majeed</v>
      </c>
    </row>
    <row r="107" spans="1:3" ht="15">
      <c r="A107" s="26" t="s">
        <v>18</v>
      </c>
      <c r="B107" s="1" t="str">
        <f>VLOOKUP(A107, FYP_Pannel_Check!A$2:A1000, 1, FALSE)</f>
        <v>Ms. Saira Qamar</v>
      </c>
    </row>
    <row r="108" spans="1:3" ht="15">
      <c r="A108" s="26" t="s">
        <v>98</v>
      </c>
      <c r="B108" s="1" t="str">
        <f>VLOOKUP(A108, FYP_Pannel_Check!A$2:A1000, 1, FALSE)</f>
        <v>Ms. Khadija Mahmood</v>
      </c>
    </row>
    <row r="109" spans="1:3" ht="15">
      <c r="A109" s="26" t="s">
        <v>30</v>
      </c>
      <c r="B109" s="1" t="str">
        <f>VLOOKUP(A109, FYP_Pannel_Check!A$2:A1000, 1, FALSE)</f>
        <v>Mr. Ahmad Raza</v>
      </c>
    </row>
    <row r="110" spans="1:3" ht="15">
      <c r="A110" s="26" t="s">
        <v>172</v>
      </c>
      <c r="B110" s="1" t="str">
        <f>VLOOKUP(A110, FYP_Pannel_Check!A$2:A1000, 1, FALSE)</f>
        <v>Ms. Mahnoor Tariq</v>
      </c>
    </row>
    <row r="111" spans="1:3" ht="15">
      <c r="A111" s="26" t="s">
        <v>131</v>
      </c>
      <c r="B111" s="1" t="str">
        <f>VLOOKUP(A111, FYP_Pannel_Check!A$2:A1000, 1, FALSE)</f>
        <v>Mr. Atif Khurshid</v>
      </c>
    </row>
    <row r="112" spans="1:3" ht="15">
      <c r="A112" s="26" t="s">
        <v>19</v>
      </c>
      <c r="B112" s="1" t="str">
        <f>VLOOKUP(A112, FYP_Pannel_Check!A$2:A1000, 1, FALSE)</f>
        <v>Ms. Kainat Iqbal</v>
      </c>
    </row>
    <row r="113" spans="1:3" ht="15">
      <c r="A113" s="26" t="s">
        <v>72</v>
      </c>
      <c r="B113" s="1" t="str">
        <f>VLOOKUP(A113, FYP_Pannel_Check!A$2:A1000, 1, FALSE)</f>
        <v>Mr. Shahbaz Hassan</v>
      </c>
    </row>
    <row r="114" spans="1:3" ht="15">
      <c r="A114" s="26" t="s">
        <v>47</v>
      </c>
      <c r="B114" s="1" t="str">
        <f>VLOOKUP(A114, FYP_Pannel_Check!A$2:A1000, 1, FALSE)</f>
        <v>Ms. Zonera Anjum</v>
      </c>
    </row>
    <row r="115" spans="1:3" ht="15">
      <c r="A115" s="26" t="s">
        <v>146</v>
      </c>
      <c r="B115" s="1" t="str">
        <f>VLOOKUP(A115, FYP_Pannel_Check!A$2:A1000, 1, FALSE)</f>
        <v>Ms. Kanza Hamid</v>
      </c>
    </row>
    <row r="116" spans="1:3" ht="15">
      <c r="A116" s="26" t="s">
        <v>153</v>
      </c>
      <c r="B116" s="1" t="str">
        <f>VLOOKUP(A116, FYP_Pannel_Check!A$2:A1000, 1, FALSE)</f>
        <v>Mr. Muhammad Sohail Abbas</v>
      </c>
    </row>
    <row r="117" spans="1:3" ht="15">
      <c r="A117" s="26" t="s">
        <v>167</v>
      </c>
      <c r="B117" s="1" t="str">
        <f>VLOOKUP(A117, FYP_Pannel_Check!A$2:A1000, 1, FALSE)</f>
        <v>Mr. Abdul Hammad Rasheed</v>
      </c>
    </row>
    <row r="118" spans="1:3" ht="15">
      <c r="A118" s="26" t="s">
        <v>135</v>
      </c>
      <c r="B118" s="1" t="str">
        <f>VLOOKUP(A118, FYP_Pannel_Check!A$2:A1000, 1, FALSE)</f>
        <v>Ms. Maryam Hussain</v>
      </c>
    </row>
    <row r="119" spans="1:3" ht="15">
      <c r="A119" s="26" t="s">
        <v>138</v>
      </c>
      <c r="B119" s="1" t="str">
        <f>VLOOKUP(A119, FYP_Pannel_Check!A$2:A1000, 1, FALSE)</f>
        <v>Mr. Muhammad Ammar Masood</v>
      </c>
    </row>
    <row r="120" spans="1:3" ht="15">
      <c r="A120" s="26" t="s">
        <v>150</v>
      </c>
      <c r="B120" s="1" t="str">
        <f>VLOOKUP(A120, FYP_Pannel_Check!A$2:A1000, 1, FALSE)</f>
        <v>Ms. Khizra Sohail</v>
      </c>
    </row>
    <row r="121" spans="1:3" ht="15">
      <c r="A121" s="26" t="s">
        <v>160</v>
      </c>
      <c r="B121" s="1" t="str">
        <f>VLOOKUP(A121, FYP_Pannel_Check!A$2:A1000, 1, FALSE)</f>
        <v>Ms. Mubrra Asma</v>
      </c>
    </row>
    <row r="122" spans="1:3" ht="15">
      <c r="A122" s="26" t="s">
        <v>164</v>
      </c>
      <c r="B122" s="1" t="str">
        <f>VLOOKUP(A122, FYP_Pannel_Check!A$2:A1000, 1, FALSE)</f>
        <v>Ms. Palwasha Zahid</v>
      </c>
    </row>
    <row r="123" spans="1:3" ht="12.75">
      <c r="A123" s="23" t="s">
        <v>133</v>
      </c>
      <c r="B123" s="1" t="str">
        <f>VLOOKUP(A123, FYP_Pannel_Check!A$2:A1000, 1, FALSE)</f>
        <v>Mr. Ehsaan Ali</v>
      </c>
    </row>
    <row r="124" spans="1:3" ht="12.75">
      <c r="A124" s="23" t="s">
        <v>70</v>
      </c>
      <c r="B124" s="1" t="str">
        <f>VLOOKUP(A124, FYP_Pannel_Check!A$2:A1000, 1, FALSE)</f>
        <v>Ms. Ayesha Marriyam</v>
      </c>
    </row>
    <row r="125" spans="1:3" ht="12.75">
      <c r="A125" s="23" t="s">
        <v>168</v>
      </c>
      <c r="B125" s="1" t="e">
        <f>VLOOKUP(A125, FYP_Pannel_Check!A$2:A1000, 1, FALSE)</f>
        <v>#N/A</v>
      </c>
      <c r="C125" s="1" t="s">
        <v>223</v>
      </c>
    </row>
    <row r="126" spans="1:3" ht="12.75">
      <c r="A126" s="23" t="s">
        <v>175</v>
      </c>
      <c r="B126" s="1" t="e">
        <f>VLOOKUP(A126, FYP_Pannel_Check!A$2:A1000, 1, FALSE)</f>
        <v>#N/A</v>
      </c>
      <c r="C126" s="1" t="s">
        <v>223</v>
      </c>
    </row>
    <row r="127" spans="1:3" ht="12.75">
      <c r="A127" s="23" t="s">
        <v>179</v>
      </c>
      <c r="B127" s="1" t="e">
        <f>VLOOKUP(A127, FYP_Pannel_Check!A$2:A1000, 1, FALSE)</f>
        <v>#N/A</v>
      </c>
      <c r="C127" s="1" t="s">
        <v>223</v>
      </c>
    </row>
    <row r="128" spans="1:3" ht="12.75">
      <c r="A128" s="23" t="s">
        <v>181</v>
      </c>
      <c r="B128" s="1" t="e">
        <f>VLOOKUP(A128, FYP_Pannel_Check!A$2:A1000, 1, FALSE)</f>
        <v>#N/A</v>
      </c>
      <c r="C128" s="1" t="s">
        <v>223</v>
      </c>
    </row>
    <row r="129" spans="1:3" ht="12.75">
      <c r="A129" s="18" t="s">
        <v>136</v>
      </c>
      <c r="B129" s="1" t="e">
        <f>VLOOKUP(A129, FYP_Pannel_Check!A$2:A1000, 1, FALSE)</f>
        <v>#N/A</v>
      </c>
      <c r="C129" s="1" t="s">
        <v>223</v>
      </c>
    </row>
    <row r="130" spans="1:3" ht="12.75">
      <c r="A130" s="18" t="s">
        <v>215</v>
      </c>
      <c r="B130" s="1" t="e">
        <f>VLOOKUP(A130, FYP_Pannel_Check!A$2:A1000, 1, FALSE)</f>
        <v>#N/A</v>
      </c>
      <c r="C130" s="1" t="s">
        <v>223</v>
      </c>
    </row>
    <row r="131" spans="1:3" ht="12.75">
      <c r="A131" s="18" t="s">
        <v>216</v>
      </c>
      <c r="B131" s="1" t="e">
        <f>VLOOKUP(A131, FYP_Pannel_Check!A$2:A1000, 1, FALSE)</f>
        <v>#N/A</v>
      </c>
      <c r="C131" s="1" t="s">
        <v>223</v>
      </c>
    </row>
    <row r="132" spans="1:3" ht="12.75">
      <c r="A132" s="18" t="s">
        <v>154</v>
      </c>
      <c r="B132" s="1" t="e">
        <f>VLOOKUP(A132, FYP_Pannel_Check!A$2:A1000, 1, FALSE)</f>
        <v>#N/A</v>
      </c>
      <c r="C132" s="1" t="s">
        <v>223</v>
      </c>
    </row>
    <row r="133" spans="1:3" ht="12.75">
      <c r="A133" s="18" t="s">
        <v>224</v>
      </c>
      <c r="B133" s="1" t="e">
        <f>VLOOKUP(A133, FYP_Pannel_Check!A$2:A1000, 1, FALSE)</f>
        <v>#N/A</v>
      </c>
      <c r="C133" s="1" t="s">
        <v>223</v>
      </c>
    </row>
    <row r="134" spans="1:3" ht="12.75">
      <c r="A134" s="18" t="s">
        <v>173</v>
      </c>
      <c r="B134" s="1" t="e">
        <f>VLOOKUP(A134, FYP_Pannel_Check!A$2:A1000, 1, FALSE)</f>
        <v>#N/A</v>
      </c>
      <c r="C134" s="1" t="s">
        <v>223</v>
      </c>
    </row>
    <row r="135" spans="1:3" ht="12.75">
      <c r="A135" s="18" t="s">
        <v>142</v>
      </c>
      <c r="B135" s="1" t="e">
        <f>VLOOKUP(A135, FYP_Pannel_Check!A$2:A1000, 1, FALSE)</f>
        <v>#N/A</v>
      </c>
      <c r="C135" s="1" t="s">
        <v>223</v>
      </c>
    </row>
    <row r="136" spans="1:3" ht="12.75">
      <c r="A136" s="18" t="s">
        <v>59</v>
      </c>
      <c r="B136" s="1" t="e">
        <f>VLOOKUP(A136, FYP_Pannel_Check!A$2:A1000, 1, FALSE)</f>
        <v>#N/A</v>
      </c>
      <c r="C136" s="1" t="s">
        <v>223</v>
      </c>
    </row>
  </sheetData>
  <conditionalFormatting sqref="B1:B1000">
    <cfRule type="expression" dxfId="1" priority="1">
      <formula>ISNA(B1:B1000)</formula>
    </cfRule>
  </conditionalFormatting>
  <conditionalFormatting sqref="C1:C1000">
    <cfRule type="cellIs" dxfId="0" priority="2" operator="equal">
      <formula>"Done"</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ProjectsListF24</vt:lpstr>
      <vt:lpstr>ForNewGCR</vt:lpstr>
      <vt:lpstr>Sheet12</vt:lpstr>
      <vt:lpstr>Tempuse</vt:lpstr>
      <vt:lpstr>TotalFYPLoadFall2024</vt:lpstr>
      <vt:lpstr>FYP_Pannel_Check</vt:lpstr>
      <vt:lpstr>FYP_Pannel_Check(people nt in 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Abdur Rafey</cp:lastModifiedBy>
  <dcterms:modified xsi:type="dcterms:W3CDTF">2025-08-21T17:36:04Z</dcterms:modified>
</cp:coreProperties>
</file>