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burger\Documents\Projects\mini_eggshell\materials\01_Concrete\"/>
    </mc:Choice>
  </mc:AlternateContent>
  <bookViews>
    <workbookView xWindow="0" yWindow="0" windowWidth="25200" windowHeight="11190" tabRatio="823" activeTab="1"/>
  </bookViews>
  <sheets>
    <sheet name="M6" sheetId="20" r:id="rId1"/>
    <sheet name="Print" sheetId="21" r:id="rId2"/>
  </sheets>
  <definedNames>
    <definedName name="_xlnm.Print_Area" localSheetId="1">Print!$A$1:$M$53</definedName>
  </definedNames>
  <calcPr calcId="162913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9" i="21" l="1"/>
  <c r="H53" i="21" l="1"/>
  <c r="D53" i="21"/>
  <c r="H49" i="21"/>
  <c r="D49" i="21"/>
  <c r="H45" i="21" l="1"/>
  <c r="H41" i="21"/>
  <c r="D41" i="21"/>
  <c r="D45" i="21"/>
  <c r="C15" i="21" l="1"/>
  <c r="T8" i="21"/>
  <c r="J23" i="21"/>
  <c r="J24" i="21"/>
  <c r="J25" i="21" s="1"/>
  <c r="J27" i="21" s="1"/>
  <c r="J28" i="21" s="1"/>
  <c r="J29" i="21" s="1"/>
  <c r="J30" i="21" s="1"/>
  <c r="J31" i="21" s="1"/>
  <c r="J32" i="21" s="1"/>
  <c r="J33" i="21" s="1"/>
  <c r="J35" i="21" s="1"/>
  <c r="J36" i="21" s="1"/>
  <c r="J37" i="21" s="1"/>
  <c r="B30" i="20"/>
  <c r="I26" i="20" s="1"/>
  <c r="B24" i="20"/>
  <c r="I21" i="20" s="1"/>
  <c r="B25" i="20"/>
  <c r="I22" i="20" s="1"/>
  <c r="B27" i="20"/>
  <c r="I23" i="20" s="1"/>
  <c r="B29" i="20"/>
  <c r="I25" i="20" s="1"/>
  <c r="B26" i="20"/>
  <c r="B78" i="20" s="1"/>
  <c r="B28" i="20"/>
  <c r="I24" i="20" s="1"/>
  <c r="B19" i="20"/>
  <c r="B20" i="20"/>
  <c r="B21" i="20"/>
  <c r="B73" i="20" s="1"/>
  <c r="B22" i="20"/>
  <c r="B74" i="20" s="1"/>
  <c r="C8" i="21"/>
  <c r="B23" i="20" s="1"/>
  <c r="B75" i="20" s="1"/>
  <c r="B70" i="20"/>
  <c r="C1" i="21"/>
  <c r="C71" i="20"/>
  <c r="D2" i="21"/>
  <c r="C72" i="20"/>
  <c r="D5" i="21"/>
  <c r="D72" i="20"/>
  <c r="E5" i="21"/>
  <c r="C73" i="20"/>
  <c r="D73" i="20"/>
  <c r="C74" i="20"/>
  <c r="D74" i="20"/>
  <c r="C75" i="20"/>
  <c r="D8" i="21"/>
  <c r="D75" i="20"/>
  <c r="E8" i="21"/>
  <c r="C76" i="20"/>
  <c r="D76" i="20"/>
  <c r="C77" i="20"/>
  <c r="D10" i="21"/>
  <c r="D77" i="20"/>
  <c r="E10" i="21"/>
  <c r="C78" i="20"/>
  <c r="D13" i="21"/>
  <c r="D78" i="20"/>
  <c r="E13" i="21"/>
  <c r="C79" i="20"/>
  <c r="D14" i="21"/>
  <c r="D79" i="20"/>
  <c r="E14" i="21"/>
  <c r="C80" i="20"/>
  <c r="D15" i="21"/>
  <c r="D80" i="20"/>
  <c r="E15" i="21"/>
  <c r="C81" i="20"/>
  <c r="D81" i="20"/>
  <c r="C82" i="20"/>
  <c r="D18" i="21"/>
  <c r="D82" i="20"/>
  <c r="E18" i="21"/>
  <c r="C20" i="21"/>
  <c r="E20" i="21"/>
  <c r="S21" i="20"/>
  <c r="R21" i="20"/>
  <c r="S22" i="20"/>
  <c r="R22" i="20"/>
  <c r="S24" i="20"/>
  <c r="S25" i="20"/>
  <c r="S26" i="20"/>
  <c r="D40" i="20"/>
  <c r="S27" i="20"/>
  <c r="R23" i="20"/>
  <c r="R24" i="20"/>
  <c r="R25" i="20"/>
  <c r="R26" i="20"/>
  <c r="R27" i="20"/>
  <c r="S20" i="20"/>
  <c r="W20" i="20"/>
  <c r="R20" i="20"/>
  <c r="Y20" i="20"/>
  <c r="A71" i="20"/>
  <c r="A72" i="20"/>
  <c r="A5" i="21"/>
  <c r="A73" i="20"/>
  <c r="A74" i="20"/>
  <c r="A75" i="20"/>
  <c r="A76" i="20"/>
  <c r="A77" i="20"/>
  <c r="A78" i="20"/>
  <c r="A13" i="21"/>
  <c r="A79" i="20"/>
  <c r="A80" i="20"/>
  <c r="A81" i="20"/>
  <c r="A82" i="20"/>
  <c r="A20" i="21"/>
  <c r="A85" i="20"/>
  <c r="A86" i="20"/>
  <c r="A87" i="20"/>
  <c r="A88" i="20"/>
  <c r="A89" i="20"/>
  <c r="A90" i="20"/>
  <c r="A91" i="20"/>
  <c r="A92" i="20"/>
  <c r="A93" i="20"/>
  <c r="S23" i="20"/>
  <c r="X20" i="20"/>
  <c r="B60" i="20"/>
  <c r="C47" i="20"/>
  <c r="B46" i="20"/>
  <c r="C46" i="20"/>
  <c r="F3" i="20"/>
  <c r="F4" i="20"/>
  <c r="F5" i="20"/>
  <c r="F6" i="20"/>
  <c r="F7" i="20"/>
  <c r="F8" i="20"/>
  <c r="F9" i="20"/>
  <c r="F10" i="20"/>
  <c r="F11" i="20"/>
  <c r="F12" i="20"/>
  <c r="C14" i="20"/>
  <c r="G3" i="20"/>
  <c r="G4" i="20"/>
  <c r="G5" i="20"/>
  <c r="G6" i="20"/>
  <c r="G7" i="20"/>
  <c r="G8" i="20"/>
  <c r="G9" i="20"/>
  <c r="G10" i="20"/>
  <c r="G11" i="20"/>
  <c r="G12" i="20"/>
  <c r="G13" i="20"/>
  <c r="C13" i="20"/>
  <c r="D13" i="20"/>
  <c r="I12" i="20"/>
  <c r="I11" i="20"/>
  <c r="I10" i="20"/>
  <c r="I9" i="20"/>
  <c r="I8" i="20"/>
  <c r="I7" i="20"/>
  <c r="I6" i="20"/>
  <c r="I5" i="20"/>
  <c r="I4" i="20"/>
  <c r="I3" i="20"/>
  <c r="B77" i="20" l="1"/>
  <c r="B81" i="20"/>
  <c r="B76" i="20"/>
  <c r="I38" i="20"/>
  <c r="B72" i="20"/>
  <c r="I20" i="20"/>
  <c r="B80" i="20"/>
  <c r="B79" i="20"/>
  <c r="V21" i="20"/>
  <c r="V22" i="20"/>
  <c r="W22" i="20" s="1"/>
  <c r="I19" i="20"/>
  <c r="Q37" i="20" s="1"/>
  <c r="B82" i="20"/>
  <c r="B71" i="20"/>
  <c r="C84" i="20" s="1"/>
  <c r="D20" i="21" s="1"/>
  <c r="I37" i="20"/>
  <c r="Y22" i="20" l="1"/>
  <c r="X22" i="20"/>
  <c r="V32" i="20"/>
  <c r="W21" i="20"/>
  <c r="Q39" i="20"/>
  <c r="R39" i="20" s="1"/>
  <c r="Q38" i="20"/>
  <c r="R38" i="20" s="1"/>
  <c r="I43" i="20" s="1"/>
  <c r="Q40" i="20"/>
  <c r="R40" i="20" s="1"/>
  <c r="X21" i="20" l="1"/>
  <c r="Y21" i="20"/>
  <c r="V23" i="20"/>
  <c r="V24" i="20"/>
  <c r="W24" i="20" s="1"/>
  <c r="V25" i="20"/>
  <c r="W25" i="20" s="1"/>
  <c r="V27" i="20"/>
  <c r="W27" i="20" s="1"/>
  <c r="V26" i="20"/>
  <c r="W26" i="20" s="1"/>
  <c r="B85" i="20"/>
  <c r="C22" i="21" s="1"/>
  <c r="K43" i="20"/>
  <c r="Y27" i="20" l="1"/>
  <c r="X27" i="20"/>
  <c r="Y24" i="20"/>
  <c r="X24" i="20"/>
  <c r="V29" i="20"/>
  <c r="Y26" i="20"/>
  <c r="X26" i="20"/>
  <c r="Y25" i="20"/>
  <c r="X25" i="20"/>
  <c r="M43" i="20"/>
  <c r="L43" i="20"/>
  <c r="F22" i="21" s="1"/>
  <c r="X23" i="20" l="1"/>
  <c r="W23" i="20" s="1"/>
  <c r="Y23" i="20" s="1"/>
  <c r="Y29" i="20" s="1"/>
  <c r="Z23" i="20" s="1"/>
  <c r="AA23" i="20" s="1"/>
  <c r="X29" i="20" l="1"/>
  <c r="AC23" i="20"/>
  <c r="AB23" i="20"/>
  <c r="I31" i="20"/>
  <c r="Z20" i="20"/>
  <c r="AA20" i="20" s="1"/>
  <c r="Z22" i="20"/>
  <c r="AA22" i="20" s="1"/>
  <c r="Z21" i="20"/>
  <c r="AA21" i="20" s="1"/>
  <c r="Z27" i="20"/>
  <c r="AA27" i="20" s="1"/>
  <c r="Z26" i="20"/>
  <c r="AA26" i="20" s="1"/>
  <c r="Z24" i="20"/>
  <c r="AA24" i="20" s="1"/>
  <c r="Z25" i="20"/>
  <c r="AA25" i="20" s="1"/>
  <c r="AC21" i="20" l="1"/>
  <c r="AB21" i="20"/>
  <c r="I29" i="20"/>
  <c r="I34" i="20"/>
  <c r="AB26" i="20"/>
  <c r="AC26" i="20"/>
  <c r="AC27" i="20"/>
  <c r="I35" i="20"/>
  <c r="AB27" i="20"/>
  <c r="I30" i="20"/>
  <c r="AC22" i="20"/>
  <c r="AB22" i="20"/>
  <c r="I28" i="20"/>
  <c r="M21" i="20"/>
  <c r="R37" i="20" s="1"/>
  <c r="AC20" i="20"/>
  <c r="M19" i="20"/>
  <c r="S37" i="20" s="1"/>
  <c r="AB20" i="20"/>
  <c r="I47" i="20"/>
  <c r="K31" i="20"/>
  <c r="AC25" i="20"/>
  <c r="AB25" i="20"/>
  <c r="I33" i="20"/>
  <c r="AC24" i="20"/>
  <c r="AB24" i="20"/>
  <c r="I32" i="20"/>
  <c r="M20" i="20" l="1"/>
  <c r="I44" i="20"/>
  <c r="K28" i="20"/>
  <c r="K35" i="20"/>
  <c r="I51" i="20"/>
  <c r="I50" i="20"/>
  <c r="K34" i="20"/>
  <c r="K30" i="20"/>
  <c r="I46" i="20"/>
  <c r="AC29" i="20"/>
  <c r="M23" i="20" s="1"/>
  <c r="I49" i="20"/>
  <c r="K33" i="20"/>
  <c r="I45" i="20"/>
  <c r="K29" i="20"/>
  <c r="B89" i="20"/>
  <c r="C27" i="21" s="1"/>
  <c r="K47" i="20"/>
  <c r="M47" i="20" s="1"/>
  <c r="I48" i="20"/>
  <c r="K32" i="20"/>
  <c r="M22" i="20"/>
  <c r="L47" i="20" l="1"/>
  <c r="F27" i="21" s="1"/>
  <c r="P43" i="20"/>
  <c r="K50" i="20"/>
  <c r="B92" i="20"/>
  <c r="B87" i="20"/>
  <c r="K45" i="20"/>
  <c r="B90" i="20"/>
  <c r="C28" i="21" s="1"/>
  <c r="K48" i="20"/>
  <c r="B91" i="20"/>
  <c r="C29" i="21" s="1"/>
  <c r="K49" i="20"/>
  <c r="B88" i="20"/>
  <c r="C25" i="21" s="1"/>
  <c r="K46" i="20"/>
  <c r="K51" i="20"/>
  <c r="B93" i="20"/>
  <c r="C31" i="21" s="1"/>
  <c r="K44" i="20"/>
  <c r="B86" i="20"/>
  <c r="C23" i="21" s="1"/>
  <c r="C33" i="21" l="1"/>
  <c r="D36" i="21" s="1"/>
  <c r="L48" i="20"/>
  <c r="F28" i="21" s="1"/>
  <c r="M48" i="20"/>
  <c r="M44" i="20"/>
  <c r="K61" i="20"/>
  <c r="L44" i="20"/>
  <c r="F23" i="21" s="1"/>
  <c r="D37" i="21"/>
  <c r="M49" i="20"/>
  <c r="L49" i="20"/>
  <c r="F29" i="21" s="1"/>
  <c r="M45" i="20"/>
  <c r="L45" i="20"/>
  <c r="F24" i="21" s="1"/>
  <c r="M51" i="20"/>
  <c r="L51" i="20"/>
  <c r="F31" i="21" s="1"/>
  <c r="M46" i="20"/>
  <c r="L46" i="20"/>
  <c r="F25" i="21" s="1"/>
  <c r="L50" i="20"/>
  <c r="F30" i="21" s="1"/>
  <c r="M50" i="20"/>
  <c r="E33" i="21" l="1"/>
  <c r="H44" i="21" s="1"/>
  <c r="H40" i="21" l="1"/>
  <c r="D40" i="21"/>
  <c r="H48" i="21"/>
  <c r="D44" i="21"/>
  <c r="D48" i="21"/>
  <c r="D52" i="21"/>
  <c r="H52" i="21"/>
</calcChain>
</file>

<file path=xl/sharedStrings.xml><?xml version="1.0" encoding="utf-8"?>
<sst xmlns="http://schemas.openxmlformats.org/spreadsheetml/2006/main" count="327" uniqueCount="138">
  <si>
    <t>Mixture:</t>
  </si>
  <si>
    <t>Weight</t>
  </si>
  <si>
    <t>Density</t>
  </si>
  <si>
    <t>Water content</t>
  </si>
  <si>
    <t>Volume parts</t>
  </si>
  <si>
    <t>Water weight</t>
  </si>
  <si>
    <t>1L</t>
  </si>
  <si>
    <t>Sand</t>
  </si>
  <si>
    <t>0-4mm</t>
  </si>
  <si>
    <t>Cement</t>
  </si>
  <si>
    <t>Normo5R</t>
  </si>
  <si>
    <t>Fly ash</t>
  </si>
  <si>
    <t>Hydrolent</t>
  </si>
  <si>
    <t>Silicafume</t>
  </si>
  <si>
    <t>MS 971U</t>
  </si>
  <si>
    <t>PVA 6mm</t>
  </si>
  <si>
    <t>6/0.15</t>
  </si>
  <si>
    <t>PVA 12mm</t>
  </si>
  <si>
    <t>12/0.2</t>
  </si>
  <si>
    <t>Water</t>
  </si>
  <si>
    <t>Tap</t>
  </si>
  <si>
    <t>Superplasticizer</t>
  </si>
  <si>
    <t>Glenium ACE30</t>
  </si>
  <si>
    <t>Retarder</t>
  </si>
  <si>
    <t>Succrose 30%</t>
  </si>
  <si>
    <t>Accelerator</t>
  </si>
  <si>
    <t>X-Seed 100</t>
  </si>
  <si>
    <t>SUM</t>
  </si>
  <si>
    <t>V</t>
  </si>
  <si>
    <t>Exact calculation</t>
  </si>
  <si>
    <t>Composition</t>
  </si>
  <si>
    <t>Cement paste</t>
  </si>
  <si>
    <t>Calculated properties:</t>
  </si>
  <si>
    <t>Component properties:</t>
  </si>
  <si>
    <t>mL</t>
  </si>
  <si>
    <t>V [mL]</t>
  </si>
  <si>
    <r>
      <t>Density [kg/m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]</t>
    </r>
  </si>
  <si>
    <t>Density:</t>
  </si>
  <si>
    <t>Solid content</t>
  </si>
  <si>
    <t>Mass [g]</t>
  </si>
  <si>
    <t>%</t>
  </si>
  <si>
    <t>Volume parts, all</t>
  </si>
  <si>
    <t>w/b [-]</t>
  </si>
  <si>
    <t>b</t>
  </si>
  <si>
    <t>w/c [-]</t>
  </si>
  <si>
    <t>CEM</t>
  </si>
  <si>
    <t>FA[%]</t>
  </si>
  <si>
    <t>Total weight [g]:</t>
  </si>
  <si>
    <t>FA</t>
  </si>
  <si>
    <t>MS[%]</t>
  </si>
  <si>
    <t>Binder [g]:</t>
  </si>
  <si>
    <t>MS</t>
  </si>
  <si>
    <t>Weight binder</t>
  </si>
  <si>
    <t>SP Glenium</t>
  </si>
  <si>
    <t>All water [g]</t>
  </si>
  <si>
    <t>H20</t>
  </si>
  <si>
    <t>RT</t>
  </si>
  <si>
    <t>GleniumACE</t>
  </si>
  <si>
    <t>AC</t>
  </si>
  <si>
    <t>-</t>
  </si>
  <si>
    <t>wb</t>
  </si>
  <si>
    <t>SP</t>
  </si>
  <si>
    <t>Recipe:</t>
  </si>
  <si>
    <t>weight [g]:</t>
  </si>
  <si>
    <r>
      <t>Content [kg/m</t>
    </r>
    <r>
      <rPr>
        <vertAlign val="superscript"/>
        <sz val="10"/>
        <rFont val="Arial"/>
        <family val="2"/>
      </rPr>
      <t>3</t>
    </r>
    <r>
      <rPr>
        <vertAlign val="subscript"/>
        <sz val="10"/>
        <rFont val="Arial"/>
      </rPr>
      <t>cementpaste</t>
    </r>
    <r>
      <rPr>
        <sz val="10"/>
        <rFont val="Arial"/>
        <family val="2"/>
      </rPr>
      <t>]</t>
    </r>
  </si>
  <si>
    <t>Components</t>
  </si>
  <si>
    <t>H2O</t>
  </si>
  <si>
    <t>ACE30</t>
  </si>
  <si>
    <t>Mortar</t>
  </si>
  <si>
    <t>Volume</t>
  </si>
  <si>
    <t>C_Sand</t>
  </si>
  <si>
    <t>C_PVA6mm</t>
  </si>
  <si>
    <t>PVA6mm</t>
  </si>
  <si>
    <t>C_PVA12mm</t>
  </si>
  <si>
    <t>PVA12mm</t>
  </si>
  <si>
    <t>Recipe</t>
  </si>
  <si>
    <r>
      <t>Content [kg/m</t>
    </r>
    <r>
      <rPr>
        <vertAlign val="superscript"/>
        <sz val="10"/>
        <rFont val="Arial"/>
        <family val="2"/>
      </rPr>
      <t>3</t>
    </r>
    <r>
      <rPr>
        <vertAlign val="subscript"/>
        <sz val="10"/>
        <rFont val="Arial"/>
      </rPr>
      <t>mortar</t>
    </r>
    <r>
      <rPr>
        <sz val="10"/>
        <rFont val="Arial"/>
        <family val="2"/>
      </rPr>
      <t>]</t>
    </r>
  </si>
  <si>
    <t>Used compositions:</t>
  </si>
  <si>
    <t>Standard Mixture:</t>
  </si>
  <si>
    <t>g</t>
  </si>
  <si>
    <t>L</t>
  </si>
  <si>
    <t>Sucrose</t>
  </si>
  <si>
    <t>kg/m3</t>
  </si>
  <si>
    <t>(6L)</t>
  </si>
  <si>
    <t>C-100</t>
  </si>
  <si>
    <t>Solid</t>
  </si>
  <si>
    <t>1 volume is mass of</t>
  </si>
  <si>
    <t>X-Seed</t>
  </si>
  <si>
    <t>total</t>
  </si>
  <si>
    <t>Solution</t>
  </si>
  <si>
    <t>Weight pure parts</t>
  </si>
  <si>
    <t>Weight solution</t>
  </si>
  <si>
    <t>Weight water</t>
  </si>
  <si>
    <t>Volume solution</t>
  </si>
  <si>
    <t>On the volume given</t>
  </si>
  <si>
    <t>mass</t>
  </si>
  <si>
    <t>as solution</t>
  </si>
  <si>
    <t>Mortar component volumes</t>
  </si>
  <si>
    <t>Before acceleration</t>
  </si>
  <si>
    <t>solution</t>
  </si>
  <si>
    <t>Print this:</t>
  </si>
  <si>
    <t>Sum of mass</t>
  </si>
  <si>
    <t>g/cm3</t>
  </si>
  <si>
    <t>Mass before acceleration</t>
  </si>
  <si>
    <t>For these liters of final product</t>
  </si>
  <si>
    <t>Mass of retarded</t>
  </si>
  <si>
    <t>kg</t>
  </si>
  <si>
    <t>Mass of accelerator</t>
  </si>
  <si>
    <t>pure</t>
  </si>
  <si>
    <t>Content</t>
  </si>
  <si>
    <t>Composition pure components</t>
  </si>
  <si>
    <t>weight_solution_adm/weight_dry_binder</t>
  </si>
  <si>
    <t>Mass of accelerator C-100</t>
  </si>
  <si>
    <t>:</t>
  </si>
  <si>
    <t xml:space="preserve">Pen mes: </t>
  </si>
  <si>
    <t xml:space="preserve">Time </t>
  </si>
  <si>
    <t xml:space="preserve">nr. </t>
  </si>
  <si>
    <t xml:space="preserve">Time of water add: </t>
  </si>
  <si>
    <t xml:space="preserve">Spread flow before acc: </t>
  </si>
  <si>
    <t xml:space="preserve">Time of acc: </t>
  </si>
  <si>
    <t xml:space="preserve">Time of place in pen container: </t>
  </si>
  <si>
    <t>Time of entering the funnel</t>
  </si>
  <si>
    <t>Time of starting filling of form:</t>
  </si>
  <si>
    <t xml:space="preserve">Time of starting deformation and friction measurement: </t>
  </si>
  <si>
    <t>Force N</t>
  </si>
  <si>
    <t>N</t>
  </si>
  <si>
    <t>Accelerator amount</t>
  </si>
  <si>
    <t>g/L</t>
  </si>
  <si>
    <t>Normo 5R</t>
  </si>
  <si>
    <t>Microsilica</t>
  </si>
  <si>
    <t>BASF MasterGlenium ACE30</t>
  </si>
  <si>
    <t>70% water / 30% sugar</t>
  </si>
  <si>
    <t>SIKA C-100</t>
  </si>
  <si>
    <t xml:space="preserve">Masterlife </t>
  </si>
  <si>
    <t>Masterlife</t>
  </si>
  <si>
    <t>AGGREGATES</t>
  </si>
  <si>
    <t>ADMIXTURES</t>
  </si>
  <si>
    <t>ACCELERATOR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</si>
</sst>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2"/>
      <color rgb="FF006100"/>
      <name val="Calibri"/>
      <family val="2"/>
      <charset val="238"/>
      <scheme val="minor"/>
    </font>
    <font>
      <sz val="12"/>
      <color rgb="FF3F3F76"/>
      <name val="Calibri"/>
      <family val="2"/>
      <charset val="238"/>
      <scheme val="minor"/>
    </font>
    <font>
      <b/>
      <sz val="12"/>
      <color rgb="FF3F3F3F"/>
      <name val="Calibri"/>
      <family val="2"/>
      <charset val="238"/>
      <scheme val="minor"/>
    </font>
    <font>
      <i/>
      <sz val="12"/>
      <color rgb="FF7F7F7F"/>
      <name val="Calibri"/>
      <family val="2"/>
      <charset val="238"/>
      <scheme val="minor"/>
    </font>
    <font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</font>
    <font>
      <sz val="8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2" borderId="0" applyNumberFormat="0" applyBorder="0" applyAlignment="0" applyProtection="0"/>
    <xf numFmtId="0" fontId="8" fillId="3" borderId="3" applyNumberFormat="0" applyAlignment="0" applyProtection="0"/>
    <xf numFmtId="0" fontId="9" fillId="4" borderId="4" applyNumberFormat="0" applyAlignment="0" applyProtection="0"/>
    <xf numFmtId="0" fontId="1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5" borderId="7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2" fontId="0" fillId="0" borderId="0" xfId="0" applyNumberFormat="1"/>
    <xf numFmtId="0" fontId="0" fillId="0" borderId="0" xfId="0" quotePrefix="1"/>
    <xf numFmtId="0" fontId="0" fillId="0" borderId="5" xfId="0" applyBorder="1"/>
    <xf numFmtId="0" fontId="5" fillId="0" borderId="1" xfId="9"/>
    <xf numFmtId="0" fontId="6" fillId="0" borderId="2" xfId="10"/>
    <xf numFmtId="0" fontId="0" fillId="0" borderId="6" xfId="0" applyBorder="1"/>
    <xf numFmtId="0" fontId="11" fillId="0" borderId="0" xfId="0" applyFont="1"/>
    <xf numFmtId="0" fontId="8" fillId="3" borderId="3" xfId="12" applyNumberFormat="1"/>
    <xf numFmtId="0" fontId="10" fillId="0" borderId="0" xfId="14"/>
    <xf numFmtId="164" fontId="9" fillId="4" borderId="4" xfId="13" applyNumberFormat="1"/>
    <xf numFmtId="0" fontId="10" fillId="0" borderId="0" xfId="14" quotePrefix="1"/>
    <xf numFmtId="165" fontId="9" fillId="4" borderId="4" xfId="13" applyNumberFormat="1"/>
    <xf numFmtId="0" fontId="11" fillId="0" borderId="0" xfId="0" applyFont="1" applyFill="1" applyBorder="1"/>
    <xf numFmtId="165" fontId="0" fillId="0" borderId="0" xfId="0" applyNumberFormat="1"/>
    <xf numFmtId="2" fontId="9" fillId="4" borderId="4" xfId="13" applyNumberFormat="1"/>
    <xf numFmtId="0" fontId="10" fillId="0" borderId="0" xfId="14" applyFill="1" applyBorder="1"/>
    <xf numFmtId="0" fontId="8" fillId="3" borderId="3" xfId="12"/>
    <xf numFmtId="0" fontId="7" fillId="2" borderId="0" xfId="11"/>
    <xf numFmtId="165" fontId="11" fillId="0" borderId="0" xfId="0" applyNumberFormat="1" applyFont="1"/>
    <xf numFmtId="0" fontId="7" fillId="2" borderId="0" xfId="11" applyBorder="1"/>
    <xf numFmtId="164" fontId="0" fillId="0" borderId="0" xfId="0" applyNumberFormat="1"/>
    <xf numFmtId="166" fontId="0" fillId="0" borderId="0" xfId="0" applyNumberFormat="1"/>
    <xf numFmtId="2" fontId="7" fillId="2" borderId="0" xfId="11" applyNumberFormat="1"/>
    <xf numFmtId="2" fontId="11" fillId="0" borderId="0" xfId="0" applyNumberFormat="1" applyFont="1"/>
    <xf numFmtId="0" fontId="0" fillId="5" borderId="7" xfId="97" applyFont="1"/>
    <xf numFmtId="2" fontId="8" fillId="3" borderId="3" xfId="12" applyNumberFormat="1"/>
    <xf numFmtId="164" fontId="7" fillId="2" borderId="0" xfId="11" applyNumberFormat="1"/>
    <xf numFmtId="165" fontId="7" fillId="2" borderId="0" xfId="11" applyNumberFormat="1"/>
    <xf numFmtId="0" fontId="0" fillId="6" borderId="0" xfId="0" applyFill="1"/>
    <xf numFmtId="2" fontId="0" fillId="6" borderId="0" xfId="0" applyNumberFormat="1" applyFill="1"/>
    <xf numFmtId="0" fontId="0" fillId="0" borderId="0" xfId="0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8" fillId="0" borderId="3" xfId="12" applyFill="1"/>
    <xf numFmtId="0" fontId="15" fillId="0" borderId="0" xfId="0" applyFont="1"/>
    <xf numFmtId="2" fontId="8" fillId="0" borderId="3" xfId="12" applyNumberFormat="1" applyFill="1"/>
    <xf numFmtId="0" fontId="8" fillId="7" borderId="3" xfId="12" applyFill="1"/>
  </cellXfs>
  <cellStyles count="112">
    <cellStyle name="Explanatory Text" xfId="14" builtin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Good" xfId="11" builtinId="26"/>
    <cellStyle name="Heading 2" xfId="9" builtinId="17"/>
    <cellStyle name="Heading 3" xfId="10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Input" xfId="12" builtinId="20"/>
    <cellStyle name="Normal" xfId="0" builtinId="0"/>
    <cellStyle name="Note" xfId="97" builtinId="10"/>
    <cellStyle name="Output" xfId="13" builtinId="21"/>
  </cellStyles>
  <dxfs count="0"/>
  <tableStyles count="0" defaultTableStyle="TableStyleMedium9" defaultPivotStyle="PivotStyleMedium4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3"/>
  <sheetViews>
    <sheetView workbookViewId="0">
      <selection activeCell="A3" sqref="A3"/>
    </sheetView>
  </sheetViews>
  <sheetFormatPr defaultColWidth="11" defaultRowHeight="15.5" x14ac:dyDescent="0.35"/>
  <cols>
    <col min="1" max="1" width="12.58203125" customWidth="1"/>
    <col min="2" max="2" width="13.58203125" customWidth="1"/>
  </cols>
  <sheetData>
    <row r="1" spans="1:13" x14ac:dyDescent="0.35">
      <c r="A1" t="s">
        <v>0</v>
      </c>
    </row>
    <row r="2" spans="1:13" x14ac:dyDescent="0.35">
      <c r="C2" t="s">
        <v>1</v>
      </c>
      <c r="D2" t="s">
        <v>2</v>
      </c>
      <c r="E2" t="s">
        <v>3</v>
      </c>
      <c r="F2" t="s">
        <v>4</v>
      </c>
      <c r="G2" t="s">
        <v>5</v>
      </c>
      <c r="I2" t="s">
        <v>6</v>
      </c>
    </row>
    <row r="3" spans="1:13" x14ac:dyDescent="0.35">
      <c r="A3" t="s">
        <v>7</v>
      </c>
      <c r="B3" t="s">
        <v>8</v>
      </c>
      <c r="C3">
        <v>740</v>
      </c>
      <c r="D3">
        <v>2.63</v>
      </c>
      <c r="E3">
        <v>0</v>
      </c>
      <c r="F3" s="1">
        <f>C3/D3</f>
        <v>281.36882129277569</v>
      </c>
      <c r="G3">
        <f>E3/100*C3</f>
        <v>0</v>
      </c>
      <c r="I3" s="1">
        <f>C3/$C$14*1000</f>
        <v>636.6339903360024</v>
      </c>
    </row>
    <row r="4" spans="1:13" x14ac:dyDescent="0.35">
      <c r="A4" t="s">
        <v>9</v>
      </c>
      <c r="B4" t="s">
        <v>10</v>
      </c>
      <c r="C4">
        <v>982</v>
      </c>
      <c r="D4">
        <v>3.1</v>
      </c>
      <c r="E4">
        <v>0</v>
      </c>
      <c r="F4" s="1">
        <f t="shared" ref="F4:F12" si="0">C4/D4</f>
        <v>316.77419354838707</v>
      </c>
      <c r="G4">
        <f t="shared" ref="G4:G12" si="1">E4/100*C4</f>
        <v>0</v>
      </c>
      <c r="I4" s="1">
        <f t="shared" ref="I4:I12" si="2">C4/$C$14*1000</f>
        <v>844.83051149993832</v>
      </c>
      <c r="J4" s="1"/>
    </row>
    <row r="5" spans="1:13" x14ac:dyDescent="0.35">
      <c r="A5" t="s">
        <v>11</v>
      </c>
      <c r="B5" t="s">
        <v>12</v>
      </c>
      <c r="C5">
        <v>165</v>
      </c>
      <c r="D5">
        <v>2.2999999999999998</v>
      </c>
      <c r="E5">
        <v>0</v>
      </c>
      <c r="F5" s="1">
        <f t="shared" si="0"/>
        <v>71.739130434782609</v>
      </c>
      <c r="G5">
        <f t="shared" si="1"/>
        <v>0</v>
      </c>
      <c r="I5" s="1">
        <f t="shared" si="2"/>
        <v>141.95217352086539</v>
      </c>
    </row>
    <row r="6" spans="1:13" x14ac:dyDescent="0.35">
      <c r="A6" t="s">
        <v>13</v>
      </c>
      <c r="B6" t="s">
        <v>14</v>
      </c>
      <c r="C6">
        <v>93</v>
      </c>
      <c r="D6">
        <v>2.2000000000000002</v>
      </c>
      <c r="E6">
        <v>0</v>
      </c>
      <c r="F6" s="1">
        <f t="shared" si="0"/>
        <v>42.272727272727266</v>
      </c>
      <c r="G6">
        <f t="shared" si="1"/>
        <v>0</v>
      </c>
      <c r="I6" s="1">
        <f t="shared" si="2"/>
        <v>80.009406893578671</v>
      </c>
    </row>
    <row r="7" spans="1:13" x14ac:dyDescent="0.35">
      <c r="A7" t="s">
        <v>15</v>
      </c>
      <c r="B7" t="s">
        <v>16</v>
      </c>
      <c r="C7">
        <v>13</v>
      </c>
      <c r="D7">
        <v>1.3</v>
      </c>
      <c r="E7">
        <v>0</v>
      </c>
      <c r="F7" s="1">
        <f t="shared" si="0"/>
        <v>10</v>
      </c>
      <c r="G7">
        <f t="shared" si="1"/>
        <v>0</v>
      </c>
      <c r="I7" s="1">
        <f t="shared" si="2"/>
        <v>11.184110641037879</v>
      </c>
    </row>
    <row r="8" spans="1:13" x14ac:dyDescent="0.35">
      <c r="A8" t="s">
        <v>17</v>
      </c>
      <c r="B8" t="s">
        <v>18</v>
      </c>
      <c r="C8">
        <v>13</v>
      </c>
      <c r="D8">
        <v>1.3</v>
      </c>
      <c r="E8">
        <v>0</v>
      </c>
      <c r="F8" s="1">
        <f t="shared" si="0"/>
        <v>10</v>
      </c>
      <c r="G8">
        <f t="shared" si="1"/>
        <v>0</v>
      </c>
      <c r="I8" s="1">
        <f t="shared" si="2"/>
        <v>11.184110641037879</v>
      </c>
    </row>
    <row r="9" spans="1:13" x14ac:dyDescent="0.35">
      <c r="A9" t="s">
        <v>19</v>
      </c>
      <c r="B9" t="s">
        <v>20</v>
      </c>
      <c r="C9">
        <v>371</v>
      </c>
      <c r="D9">
        <v>1</v>
      </c>
      <c r="E9">
        <v>100</v>
      </c>
      <c r="F9" s="1">
        <f t="shared" si="0"/>
        <v>371</v>
      </c>
      <c r="G9">
        <f t="shared" si="1"/>
        <v>371</v>
      </c>
      <c r="I9" s="1">
        <f t="shared" si="2"/>
        <v>319.17731137115794</v>
      </c>
    </row>
    <row r="10" spans="1:13" x14ac:dyDescent="0.35">
      <c r="A10" t="s">
        <v>21</v>
      </c>
      <c r="B10" t="s">
        <v>22</v>
      </c>
      <c r="C10">
        <v>4</v>
      </c>
      <c r="D10">
        <v>1.06</v>
      </c>
      <c r="E10">
        <v>70</v>
      </c>
      <c r="F10" s="1">
        <f t="shared" si="0"/>
        <v>3.773584905660377</v>
      </c>
      <c r="G10">
        <f t="shared" si="1"/>
        <v>2.8</v>
      </c>
      <c r="I10" s="1">
        <f t="shared" si="2"/>
        <v>3.4412648126270402</v>
      </c>
    </row>
    <row r="11" spans="1:13" x14ac:dyDescent="0.35">
      <c r="A11" t="s">
        <v>23</v>
      </c>
      <c r="B11" t="s">
        <v>24</v>
      </c>
      <c r="C11">
        <v>2.7</v>
      </c>
      <c r="D11">
        <v>1.05</v>
      </c>
      <c r="E11">
        <v>70</v>
      </c>
      <c r="F11" s="1">
        <f t="shared" si="0"/>
        <v>2.5714285714285716</v>
      </c>
      <c r="G11">
        <f t="shared" si="1"/>
        <v>1.89</v>
      </c>
      <c r="I11" s="1">
        <f t="shared" si="2"/>
        <v>2.3228537485232521</v>
      </c>
    </row>
    <row r="12" spans="1:13" x14ac:dyDescent="0.35">
      <c r="A12" t="s">
        <v>25</v>
      </c>
      <c r="B12" t="s">
        <v>26</v>
      </c>
      <c r="C12">
        <v>60</v>
      </c>
      <c r="D12">
        <v>1.135</v>
      </c>
      <c r="E12">
        <v>78.5</v>
      </c>
      <c r="F12" s="1">
        <f t="shared" si="0"/>
        <v>52.863436123348016</v>
      </c>
      <c r="G12">
        <f t="shared" si="1"/>
        <v>47.1</v>
      </c>
      <c r="I12" s="1">
        <f t="shared" si="2"/>
        <v>51.618972189405604</v>
      </c>
      <c r="M12" s="22"/>
    </row>
    <row r="13" spans="1:13" x14ac:dyDescent="0.35">
      <c r="A13" s="3"/>
      <c r="B13" s="3" t="s">
        <v>27</v>
      </c>
      <c r="C13" s="3">
        <f>SUM(C3:C12)</f>
        <v>2443.6999999999998</v>
      </c>
      <c r="D13" s="3">
        <f>C13/C14</f>
        <v>2.1023547056541743</v>
      </c>
      <c r="E13" s="3"/>
      <c r="F13" s="3" t="s">
        <v>27</v>
      </c>
      <c r="G13">
        <f>SUM(G3:G12)</f>
        <v>422.79</v>
      </c>
    </row>
    <row r="14" spans="1:13" x14ac:dyDescent="0.35">
      <c r="B14" t="s">
        <v>28</v>
      </c>
      <c r="C14">
        <f>SUM(F3:F12)</f>
        <v>1162.3633221491098</v>
      </c>
    </row>
    <row r="17" spans="1:38" ht="17.5" thickBot="1" x14ac:dyDescent="0.45">
      <c r="B17" s="4" t="s">
        <v>29</v>
      </c>
    </row>
    <row r="18" spans="1:38" ht="16.5" thickTop="1" thickBot="1" x14ac:dyDescent="0.4">
      <c r="B18" s="5" t="s">
        <v>30</v>
      </c>
      <c r="H18" s="5" t="s">
        <v>31</v>
      </c>
      <c r="L18" s="5" t="s">
        <v>32</v>
      </c>
      <c r="O18" s="6"/>
      <c r="Q18" s="5" t="s">
        <v>33</v>
      </c>
      <c r="Z18" t="s">
        <v>86</v>
      </c>
      <c r="AA18" t="s">
        <v>94</v>
      </c>
      <c r="AC18" t="s">
        <v>95</v>
      </c>
      <c r="AL18" s="7"/>
    </row>
    <row r="19" spans="1:38" x14ac:dyDescent="0.35">
      <c r="A19" t="s">
        <v>28</v>
      </c>
      <c r="B19" s="17">
        <f>Print!C2</f>
        <v>10000</v>
      </c>
      <c r="C19" t="s">
        <v>34</v>
      </c>
      <c r="H19" s="7" t="s">
        <v>35</v>
      </c>
      <c r="I19" s="8">
        <f>B19*(100-SUM(B20:B22))/100</f>
        <v>4800</v>
      </c>
      <c r="J19" s="9"/>
      <c r="L19" s="7" t="s">
        <v>36</v>
      </c>
      <c r="M19" s="10">
        <f>(SUM(AA20:AA27))/SUM(I19)*1000</f>
        <v>1911.9886690251924</v>
      </c>
      <c r="O19" s="6"/>
      <c r="R19" s="7" t="s">
        <v>37</v>
      </c>
      <c r="S19" s="7" t="s">
        <v>38</v>
      </c>
      <c r="T19" s="7"/>
      <c r="V19" s="7" t="s">
        <v>90</v>
      </c>
      <c r="W19" s="7" t="s">
        <v>91</v>
      </c>
      <c r="X19" s="7" t="s">
        <v>92</v>
      </c>
      <c r="Y19" s="7" t="s">
        <v>93</v>
      </c>
      <c r="Z19" s="7" t="s">
        <v>89</v>
      </c>
      <c r="AA19" s="7" t="s">
        <v>89</v>
      </c>
      <c r="AB19" s="7" t="s">
        <v>85</v>
      </c>
      <c r="AC19" s="7" t="s">
        <v>19</v>
      </c>
      <c r="AE19" s="7"/>
      <c r="AH19" s="7"/>
      <c r="AI19" s="7"/>
      <c r="AJ19" s="7"/>
      <c r="AK19" s="7"/>
      <c r="AL19" s="7"/>
    </row>
    <row r="20" spans="1:38" x14ac:dyDescent="0.35">
      <c r="A20" t="s">
        <v>7</v>
      </c>
      <c r="B20" s="17">
        <f>Print!C5</f>
        <v>52</v>
      </c>
      <c r="C20" t="s">
        <v>40</v>
      </c>
      <c r="D20" t="s">
        <v>41</v>
      </c>
      <c r="H20" s="7" t="s">
        <v>42</v>
      </c>
      <c r="I20" s="8">
        <f>B26</f>
        <v>0.4</v>
      </c>
      <c r="J20" s="11" t="s">
        <v>43</v>
      </c>
      <c r="L20" s="7" t="s">
        <v>44</v>
      </c>
      <c r="M20" s="12">
        <f>SUM(AC23:AC27)/(SUM(AB20:AB22))</f>
        <v>0.39999999999999997</v>
      </c>
      <c r="O20" s="6"/>
      <c r="Q20" s="13" t="s">
        <v>45</v>
      </c>
      <c r="R20">
        <f t="shared" ref="R20:R27" si="3">C33</f>
        <v>3.1</v>
      </c>
      <c r="S20">
        <f>1-D33/100</f>
        <v>1</v>
      </c>
      <c r="V20" s="7">
        <v>1</v>
      </c>
      <c r="W20">
        <f>V20/S20</f>
        <v>1</v>
      </c>
      <c r="X20">
        <f>W20*(1-S20)</f>
        <v>0</v>
      </c>
      <c r="Y20">
        <f>W20/R20</f>
        <v>0.32258064516129031</v>
      </c>
      <c r="Z20">
        <f>W20/$Y$29</f>
        <v>1.2339694182084082</v>
      </c>
      <c r="AA20" s="1">
        <f>Z20*$I$19</f>
        <v>5923.0532074003595</v>
      </c>
      <c r="AB20" s="1">
        <f>AA20*S20</f>
        <v>5923.0532074003595</v>
      </c>
      <c r="AC20" s="1">
        <f>AA20*(1-S20)</f>
        <v>0</v>
      </c>
      <c r="AK20" s="14"/>
      <c r="AL20" s="14"/>
    </row>
    <row r="21" spans="1:38" x14ac:dyDescent="0.35">
      <c r="A21" t="s">
        <v>15</v>
      </c>
      <c r="B21" s="17">
        <f>Print!C6</f>
        <v>0</v>
      </c>
      <c r="C21" t="s">
        <v>40</v>
      </c>
      <c r="D21" t="s">
        <v>41</v>
      </c>
      <c r="H21" s="7" t="s">
        <v>46</v>
      </c>
      <c r="I21" s="8">
        <f>B24</f>
        <v>0</v>
      </c>
      <c r="J21" s="9" t="s">
        <v>43</v>
      </c>
      <c r="L21" s="7" t="s">
        <v>47</v>
      </c>
      <c r="M21" s="15">
        <f>SUM(AA20:AA27)</f>
        <v>9177.5456113209239</v>
      </c>
      <c r="N21" s="7"/>
      <c r="O21" s="6"/>
      <c r="Q21" s="13" t="s">
        <v>48</v>
      </c>
      <c r="R21">
        <f t="shared" si="3"/>
        <v>2.2999999999999998</v>
      </c>
      <c r="S21">
        <f t="shared" ref="S21:S27" si="4">1-D34/100</f>
        <v>1</v>
      </c>
      <c r="V21">
        <f>I21*V20/(100-I21-I22)</f>
        <v>0</v>
      </c>
      <c r="W21">
        <f t="shared" ref="W21:W22" si="5">V21/S21</f>
        <v>0</v>
      </c>
      <c r="X21">
        <f t="shared" ref="X21:X27" si="6">W21*(1-S21)</f>
        <v>0</v>
      </c>
      <c r="Y21">
        <f t="shared" ref="Y21:Y27" si="7">W21/R21</f>
        <v>0</v>
      </c>
      <c r="Z21">
        <f t="shared" ref="Z21:Z27" si="8">W21/$Y$29</f>
        <v>0</v>
      </c>
      <c r="AA21" s="1">
        <f t="shared" ref="AA21:AA27" si="9">Z21*$I$19</f>
        <v>0</v>
      </c>
      <c r="AB21" s="1">
        <f t="shared" ref="AB21:AB27" si="10">AA21*S21</f>
        <v>0</v>
      </c>
      <c r="AC21" s="1">
        <f t="shared" ref="AC21:AC27" si="11">AA21*(1-S21)</f>
        <v>0</v>
      </c>
      <c r="AK21" s="14"/>
      <c r="AL21" s="14"/>
    </row>
    <row r="22" spans="1:38" x14ac:dyDescent="0.35">
      <c r="A22" t="s">
        <v>17</v>
      </c>
      <c r="B22" s="17">
        <f>Print!C7</f>
        <v>0</v>
      </c>
      <c r="C22" t="s">
        <v>40</v>
      </c>
      <c r="D22" t="s">
        <v>41</v>
      </c>
      <c r="H22" s="13" t="s">
        <v>49</v>
      </c>
      <c r="I22" s="8">
        <f>B25</f>
        <v>8</v>
      </c>
      <c r="J22" s="9" t="s">
        <v>43</v>
      </c>
      <c r="L22" s="13" t="s">
        <v>50</v>
      </c>
      <c r="M22" s="15">
        <f>SUM(AB20:AB22)</f>
        <v>6438.1013123916946</v>
      </c>
      <c r="O22" s="6"/>
      <c r="Q22" t="s">
        <v>51</v>
      </c>
      <c r="R22">
        <f t="shared" si="3"/>
        <v>2.2000000000000002</v>
      </c>
      <c r="S22">
        <f t="shared" si="4"/>
        <v>1</v>
      </c>
      <c r="V22">
        <f>I22*V20/(100-I21-I22)</f>
        <v>8.6956521739130432E-2</v>
      </c>
      <c r="W22">
        <f t="shared" si="5"/>
        <v>8.6956521739130432E-2</v>
      </c>
      <c r="X22">
        <f t="shared" si="6"/>
        <v>0</v>
      </c>
      <c r="Y22">
        <f t="shared" si="7"/>
        <v>3.9525691699604737E-2</v>
      </c>
      <c r="Z22">
        <f t="shared" si="8"/>
        <v>0.10730168853986158</v>
      </c>
      <c r="AA22" s="1">
        <f t="shared" si="9"/>
        <v>515.04810499133555</v>
      </c>
      <c r="AB22" s="1">
        <f t="shared" si="10"/>
        <v>515.04810499133555</v>
      </c>
      <c r="AC22" s="1">
        <f t="shared" si="11"/>
        <v>0</v>
      </c>
      <c r="AK22" s="14"/>
      <c r="AL22" s="14"/>
    </row>
    <row r="23" spans="1:38" x14ac:dyDescent="0.35">
      <c r="A23" t="s">
        <v>45</v>
      </c>
      <c r="B23" s="17">
        <f>Print!C8</f>
        <v>92</v>
      </c>
      <c r="C23" t="s">
        <v>40</v>
      </c>
      <c r="D23" t="s">
        <v>52</v>
      </c>
      <c r="H23" s="7" t="s">
        <v>53</v>
      </c>
      <c r="I23" s="8">
        <f>B27</f>
        <v>0.88500000000000001</v>
      </c>
      <c r="J23" s="16" t="s">
        <v>43</v>
      </c>
      <c r="L23" s="13" t="s">
        <v>54</v>
      </c>
      <c r="M23" s="15">
        <f>AC29</f>
        <v>2575.2405249566777</v>
      </c>
      <c r="O23" s="6"/>
      <c r="Q23" s="13" t="s">
        <v>55</v>
      </c>
      <c r="R23">
        <f t="shared" si="3"/>
        <v>1</v>
      </c>
      <c r="S23">
        <f t="shared" si="4"/>
        <v>0</v>
      </c>
      <c r="U23" t="s">
        <v>88</v>
      </c>
      <c r="V23" s="25">
        <f>I20*(V32)</f>
        <v>0.43478260869565216</v>
      </c>
      <c r="W23">
        <f>X23</f>
        <v>0.40560326086956522</v>
      </c>
      <c r="X23">
        <f>V23-SUM(X24:X27)</f>
        <v>0.40560326086956522</v>
      </c>
      <c r="Y23">
        <f t="shared" si="7"/>
        <v>0.40560326086956522</v>
      </c>
      <c r="Z23">
        <f t="shared" si="8"/>
        <v>0.50050201983865061</v>
      </c>
      <c r="AA23" s="1">
        <f t="shared" si="9"/>
        <v>2402.4096952255231</v>
      </c>
      <c r="AB23" s="1">
        <f t="shared" si="10"/>
        <v>0</v>
      </c>
      <c r="AC23" s="1">
        <f t="shared" si="11"/>
        <v>2402.4096952255231</v>
      </c>
      <c r="AK23" s="14"/>
      <c r="AL23" s="14"/>
    </row>
    <row r="24" spans="1:38" x14ac:dyDescent="0.35">
      <c r="A24" t="s">
        <v>48</v>
      </c>
      <c r="B24" s="17">
        <f>Print!C9</f>
        <v>0</v>
      </c>
      <c r="C24" t="s">
        <v>40</v>
      </c>
      <c r="D24" t="s">
        <v>52</v>
      </c>
      <c r="H24" s="13" t="s">
        <v>56</v>
      </c>
      <c r="I24" s="26">
        <f>B28</f>
        <v>0.35</v>
      </c>
      <c r="J24" s="16" t="s">
        <v>43</v>
      </c>
      <c r="O24" s="6"/>
      <c r="Q24" s="13" t="s">
        <v>57</v>
      </c>
      <c r="R24" s="7">
        <f t="shared" si="3"/>
        <v>1.06</v>
      </c>
      <c r="S24">
        <f t="shared" si="4"/>
        <v>0.30000000000000004</v>
      </c>
      <c r="V24">
        <f>I23/100*(V$32)*S24</f>
        <v>2.8858695652173917E-3</v>
      </c>
      <c r="W24">
        <f>V24/S24</f>
        <v>9.6195652173913047E-3</v>
      </c>
      <c r="X24">
        <f t="shared" si="6"/>
        <v>6.7336956521739126E-3</v>
      </c>
      <c r="Y24">
        <f t="shared" si="7"/>
        <v>9.0750615258408524E-3</v>
      </c>
      <c r="Z24">
        <f t="shared" si="8"/>
        <v>1.1870249294722189E-2</v>
      </c>
      <c r="AA24" s="1">
        <f t="shared" si="9"/>
        <v>56.977196614666504</v>
      </c>
      <c r="AB24" s="1">
        <f t="shared" si="10"/>
        <v>17.093158984399953</v>
      </c>
      <c r="AC24" s="1">
        <f t="shared" si="11"/>
        <v>39.884037630266548</v>
      </c>
      <c r="AK24" s="14"/>
      <c r="AL24" s="14"/>
    </row>
    <row r="25" spans="1:38" x14ac:dyDescent="0.35">
      <c r="A25" t="s">
        <v>51</v>
      </c>
      <c r="B25" s="17">
        <f>Print!C10</f>
        <v>8</v>
      </c>
      <c r="C25" t="s">
        <v>40</v>
      </c>
      <c r="D25" t="s">
        <v>52</v>
      </c>
      <c r="H25" s="7" t="s">
        <v>87</v>
      </c>
      <c r="I25" s="8">
        <f>B29</f>
        <v>0</v>
      </c>
      <c r="J25" s="16" t="s">
        <v>43</v>
      </c>
      <c r="O25" s="6"/>
      <c r="Q25" s="13" t="s">
        <v>56</v>
      </c>
      <c r="R25" s="7">
        <f t="shared" si="3"/>
        <v>1.05</v>
      </c>
      <c r="S25">
        <f t="shared" si="4"/>
        <v>0.30000000000000004</v>
      </c>
      <c r="V25">
        <f t="shared" ref="V25:V27" si="12">I24/100*(V$32)*S25</f>
        <v>1.1413043478260868E-3</v>
      </c>
      <c r="W25">
        <f t="shared" ref="W25:W26" si="13">V25/S25</f>
        <v>3.8043478260869554E-3</v>
      </c>
      <c r="X25">
        <f t="shared" si="6"/>
        <v>2.6630434782608688E-3</v>
      </c>
      <c r="Y25">
        <f t="shared" si="7"/>
        <v>3.6231884057971002E-3</v>
      </c>
      <c r="Z25">
        <f t="shared" si="8"/>
        <v>4.6944488736189432E-3</v>
      </c>
      <c r="AA25" s="1">
        <f t="shared" si="9"/>
        <v>22.533354593370927</v>
      </c>
      <c r="AB25" s="1">
        <f t="shared" si="10"/>
        <v>6.7600063780112789</v>
      </c>
      <c r="AC25" s="1">
        <f t="shared" si="11"/>
        <v>15.773348215359647</v>
      </c>
      <c r="AK25" s="14"/>
      <c r="AL25" s="14"/>
    </row>
    <row r="26" spans="1:38" x14ac:dyDescent="0.35">
      <c r="A26" t="s">
        <v>19</v>
      </c>
      <c r="B26" s="17">
        <f>Print!C13</f>
        <v>0.4</v>
      </c>
      <c r="C26" s="2" t="s">
        <v>59</v>
      </c>
      <c r="D26" t="s">
        <v>60</v>
      </c>
      <c r="H26" t="s">
        <v>84</v>
      </c>
      <c r="I26" s="17">
        <f>B30</f>
        <v>4</v>
      </c>
      <c r="J26" s="16" t="s">
        <v>43</v>
      </c>
      <c r="O26" s="6"/>
      <c r="Q26" s="13" t="s">
        <v>58</v>
      </c>
      <c r="R26" s="7">
        <f t="shared" si="3"/>
        <v>1.135</v>
      </c>
      <c r="S26">
        <f t="shared" si="4"/>
        <v>0.21499999999999997</v>
      </c>
      <c r="V26">
        <f t="shared" si="12"/>
        <v>0</v>
      </c>
      <c r="W26">
        <f t="shared" si="13"/>
        <v>0</v>
      </c>
      <c r="X26">
        <f t="shared" si="6"/>
        <v>0</v>
      </c>
      <c r="Y26">
        <f t="shared" si="7"/>
        <v>0</v>
      </c>
      <c r="Z26">
        <f t="shared" si="8"/>
        <v>0</v>
      </c>
      <c r="AA26" s="1">
        <f t="shared" si="9"/>
        <v>0</v>
      </c>
      <c r="AB26" s="1">
        <f t="shared" si="10"/>
        <v>0</v>
      </c>
      <c r="AC26" s="1">
        <f t="shared" si="11"/>
        <v>0</v>
      </c>
      <c r="AK26" s="14"/>
      <c r="AL26" s="14"/>
    </row>
    <row r="27" spans="1:38" ht="16.5" thickBot="1" x14ac:dyDescent="0.45">
      <c r="A27" t="s">
        <v>61</v>
      </c>
      <c r="B27" s="17">
        <f>Print!C14</f>
        <v>0.88500000000000001</v>
      </c>
      <c r="C27" t="s">
        <v>40</v>
      </c>
      <c r="D27" t="s">
        <v>111</v>
      </c>
      <c r="H27" s="5" t="s">
        <v>62</v>
      </c>
      <c r="I27" t="s">
        <v>63</v>
      </c>
      <c r="K27" s="7" t="s">
        <v>64</v>
      </c>
      <c r="M27" s="7"/>
      <c r="O27" s="6"/>
      <c r="Q27" s="13" t="s">
        <v>84</v>
      </c>
      <c r="R27" s="7">
        <f t="shared" si="3"/>
        <v>1.45</v>
      </c>
      <c r="S27">
        <f t="shared" si="4"/>
        <v>0.54499999999999993</v>
      </c>
      <c r="V27">
        <f t="shared" si="12"/>
        <v>2.3695652173913041E-2</v>
      </c>
      <c r="W27">
        <f>V27/S27</f>
        <v>4.3478260869565216E-2</v>
      </c>
      <c r="X27">
        <f t="shared" si="6"/>
        <v>1.9782608695652175E-2</v>
      </c>
      <c r="Y27">
        <f t="shared" si="7"/>
        <v>2.9985007496251874E-2</v>
      </c>
      <c r="Z27">
        <f t="shared" si="8"/>
        <v>5.3650844269930789E-2</v>
      </c>
      <c r="AA27" s="1">
        <f t="shared" si="9"/>
        <v>257.52405249566777</v>
      </c>
      <c r="AB27" s="1">
        <f t="shared" si="10"/>
        <v>140.35060861013892</v>
      </c>
      <c r="AC27" s="1">
        <f t="shared" si="11"/>
        <v>117.17344388552885</v>
      </c>
      <c r="AK27" s="14"/>
      <c r="AL27" s="14"/>
    </row>
    <row r="28" spans="1:38" x14ac:dyDescent="0.35">
      <c r="A28" t="s">
        <v>56</v>
      </c>
      <c r="B28" s="17">
        <f>Print!C15</f>
        <v>0.35</v>
      </c>
      <c r="C28" t="s">
        <v>40</v>
      </c>
      <c r="D28" t="s">
        <v>111</v>
      </c>
      <c r="H28" s="18" t="s">
        <v>45</v>
      </c>
      <c r="I28" s="15">
        <f>AA20</f>
        <v>5923.0532074003595</v>
      </c>
      <c r="J28" s="9"/>
      <c r="K28" s="15">
        <f>I28/$I$19*1000</f>
        <v>1233.9694182084081</v>
      </c>
      <c r="L28" t="s">
        <v>96</v>
      </c>
      <c r="M28" s="24"/>
      <c r="O28" s="6"/>
      <c r="AK28" s="14"/>
    </row>
    <row r="29" spans="1:38" x14ac:dyDescent="0.35">
      <c r="A29" t="s">
        <v>26</v>
      </c>
      <c r="B29" s="17">
        <f>Print!C17</f>
        <v>0</v>
      </c>
      <c r="C29" t="s">
        <v>40</v>
      </c>
      <c r="D29" t="s">
        <v>111</v>
      </c>
      <c r="H29" s="18" t="s">
        <v>48</v>
      </c>
      <c r="I29" s="15">
        <f t="shared" ref="I29:I35" si="14">AA21</f>
        <v>0</v>
      </c>
      <c r="J29" s="9"/>
      <c r="K29" s="15">
        <f t="shared" ref="K29:K35" si="15">I29/$I$19*1000</f>
        <v>0</v>
      </c>
      <c r="N29" s="7"/>
      <c r="U29" s="7" t="s">
        <v>27</v>
      </c>
      <c r="V29">
        <f>SUM(V20:V27)</f>
        <v>1.5494619565217391</v>
      </c>
      <c r="X29">
        <f>SUM(X20:X27)</f>
        <v>0.43478260869565216</v>
      </c>
      <c r="Y29">
        <f>SUM(Y20:Y27)</f>
        <v>0.81039285515835002</v>
      </c>
      <c r="AC29" s="1">
        <f>SUM(AC20:AC27)</f>
        <v>2575.2405249566777</v>
      </c>
      <c r="AK29" s="19"/>
    </row>
    <row r="30" spans="1:38" x14ac:dyDescent="0.35">
      <c r="A30" t="s">
        <v>84</v>
      </c>
      <c r="B30" s="17">
        <f>Print!C18</f>
        <v>4</v>
      </c>
      <c r="C30" t="s">
        <v>40</v>
      </c>
      <c r="D30" t="s">
        <v>111</v>
      </c>
      <c r="H30" s="18" t="s">
        <v>51</v>
      </c>
      <c r="I30" s="15">
        <f t="shared" si="14"/>
        <v>515.04810499133555</v>
      </c>
      <c r="J30" s="9"/>
      <c r="K30" s="15">
        <f t="shared" si="15"/>
        <v>107.30168853986157</v>
      </c>
      <c r="N30" s="7"/>
    </row>
    <row r="31" spans="1:38" ht="16" thickBot="1" x14ac:dyDescent="0.4">
      <c r="B31" s="5" t="s">
        <v>65</v>
      </c>
      <c r="H31" s="18" t="s">
        <v>66</v>
      </c>
      <c r="I31" s="15">
        <f t="shared" si="14"/>
        <v>2402.4096952255231</v>
      </c>
      <c r="J31" s="9"/>
      <c r="K31" s="15">
        <f t="shared" si="15"/>
        <v>500.5020198386506</v>
      </c>
      <c r="N31" s="7"/>
      <c r="V31" t="s">
        <v>52</v>
      </c>
    </row>
    <row r="32" spans="1:38" x14ac:dyDescent="0.35">
      <c r="A32" s="20" t="s">
        <v>7</v>
      </c>
      <c r="B32" t="s">
        <v>8</v>
      </c>
      <c r="C32">
        <v>2.63</v>
      </c>
      <c r="D32">
        <v>0</v>
      </c>
      <c r="H32" s="18" t="s">
        <v>67</v>
      </c>
      <c r="I32" s="15">
        <f t="shared" si="14"/>
        <v>56.977196614666504</v>
      </c>
      <c r="J32" s="9"/>
      <c r="K32" s="15">
        <f t="shared" si="15"/>
        <v>11.870249294722189</v>
      </c>
      <c r="M32" s="7"/>
      <c r="V32">
        <f>SUM(V20:V22)</f>
        <v>1.0869565217391304</v>
      </c>
    </row>
    <row r="33" spans="1:29" x14ac:dyDescent="0.35">
      <c r="A33" s="18" t="s">
        <v>45</v>
      </c>
      <c r="B33" t="s">
        <v>10</v>
      </c>
      <c r="C33">
        <v>3.1</v>
      </c>
      <c r="D33">
        <v>0</v>
      </c>
      <c r="H33" s="18" t="s">
        <v>56</v>
      </c>
      <c r="I33" s="15">
        <f t="shared" si="14"/>
        <v>22.533354593370927</v>
      </c>
      <c r="J33" s="9"/>
      <c r="K33" s="15">
        <f t="shared" si="15"/>
        <v>4.6944488736189429</v>
      </c>
      <c r="N33" s="7"/>
    </row>
    <row r="34" spans="1:29" x14ac:dyDescent="0.35">
      <c r="A34" s="18" t="s">
        <v>48</v>
      </c>
      <c r="B34" t="s">
        <v>12</v>
      </c>
      <c r="C34">
        <v>2.2999999999999998</v>
      </c>
      <c r="D34">
        <v>0</v>
      </c>
      <c r="H34" s="18" t="s">
        <v>58</v>
      </c>
      <c r="I34" s="15">
        <f t="shared" si="14"/>
        <v>0</v>
      </c>
      <c r="J34" s="9"/>
      <c r="K34" s="15">
        <f t="shared" si="15"/>
        <v>0</v>
      </c>
      <c r="M34" s="7"/>
      <c r="N34" s="13"/>
    </row>
    <row r="35" spans="1:29" x14ac:dyDescent="0.35">
      <c r="A35" s="18" t="s">
        <v>51</v>
      </c>
      <c r="B35" t="s">
        <v>14</v>
      </c>
      <c r="C35">
        <v>2.2000000000000002</v>
      </c>
      <c r="D35">
        <v>0</v>
      </c>
      <c r="H35" s="18" t="s">
        <v>84</v>
      </c>
      <c r="I35" s="15">
        <f t="shared" si="14"/>
        <v>257.52405249566777</v>
      </c>
      <c r="K35" s="15">
        <f t="shared" si="15"/>
        <v>53.650844269930786</v>
      </c>
      <c r="Q35" t="s">
        <v>97</v>
      </c>
    </row>
    <row r="36" spans="1:29" ht="16" thickBot="1" x14ac:dyDescent="0.4">
      <c r="A36" s="18" t="s">
        <v>66</v>
      </c>
      <c r="B36" t="s">
        <v>20</v>
      </c>
      <c r="C36">
        <v>1</v>
      </c>
      <c r="D36">
        <v>100</v>
      </c>
      <c r="H36" s="5" t="s">
        <v>68</v>
      </c>
      <c r="Q36" t="s">
        <v>69</v>
      </c>
      <c r="R36" t="s">
        <v>1</v>
      </c>
      <c r="S36" s="13" t="s">
        <v>2</v>
      </c>
      <c r="AA36" s="7"/>
      <c r="AB36" s="7"/>
      <c r="AC36" s="7"/>
    </row>
    <row r="37" spans="1:29" x14ac:dyDescent="0.35">
      <c r="A37" s="18" t="s">
        <v>67</v>
      </c>
      <c r="B37" t="s">
        <v>22</v>
      </c>
      <c r="C37">
        <v>1.06</v>
      </c>
      <c r="D37">
        <v>70</v>
      </c>
      <c r="H37" s="20" t="s">
        <v>35</v>
      </c>
      <c r="I37">
        <f>B19</f>
        <v>10000</v>
      </c>
      <c r="Q37">
        <f>I19</f>
        <v>4800</v>
      </c>
      <c r="R37" s="1">
        <f>M21</f>
        <v>9177.5456113209239</v>
      </c>
      <c r="S37" s="1">
        <f>M19/1000</f>
        <v>1.9119886690251924</v>
      </c>
    </row>
    <row r="38" spans="1:29" x14ac:dyDescent="0.35">
      <c r="A38" s="18" t="s">
        <v>56</v>
      </c>
      <c r="B38" t="s">
        <v>24</v>
      </c>
      <c r="C38">
        <v>1.05</v>
      </c>
      <c r="D38">
        <v>70</v>
      </c>
      <c r="H38" s="20" t="s">
        <v>70</v>
      </c>
      <c r="I38">
        <f>B20+B21+B22</f>
        <v>52</v>
      </c>
      <c r="J38" t="s">
        <v>40</v>
      </c>
      <c r="Q38">
        <f>I38/100*$I$37</f>
        <v>5200</v>
      </c>
      <c r="R38">
        <f>Q38*S38</f>
        <v>13676</v>
      </c>
      <c r="S38" s="1">
        <v>2.63</v>
      </c>
    </row>
    <row r="39" spans="1:29" x14ac:dyDescent="0.35">
      <c r="A39" s="18" t="s">
        <v>58</v>
      </c>
      <c r="B39" t="s">
        <v>26</v>
      </c>
      <c r="C39">
        <v>1.135</v>
      </c>
      <c r="D39">
        <v>78.5</v>
      </c>
      <c r="H39" s="20" t="s">
        <v>71</v>
      </c>
      <c r="I39">
        <v>0</v>
      </c>
      <c r="J39" t="s">
        <v>40</v>
      </c>
      <c r="Q39">
        <f>I39/100*$I$37</f>
        <v>0</v>
      </c>
      <c r="R39">
        <f>Q39*S39</f>
        <v>0</v>
      </c>
      <c r="S39" s="1">
        <v>1.3</v>
      </c>
    </row>
    <row r="40" spans="1:29" x14ac:dyDescent="0.35">
      <c r="A40" s="18" t="s">
        <v>84</v>
      </c>
      <c r="B40" t="s">
        <v>84</v>
      </c>
      <c r="C40">
        <v>1.45</v>
      </c>
      <c r="D40">
        <f>100-54.5</f>
        <v>45.5</v>
      </c>
      <c r="H40" s="20" t="s">
        <v>73</v>
      </c>
      <c r="I40">
        <v>0</v>
      </c>
      <c r="J40" t="s">
        <v>40</v>
      </c>
      <c r="Q40">
        <f>I40/100*$I$37</f>
        <v>0</v>
      </c>
      <c r="R40">
        <f>Q40*S40</f>
        <v>0</v>
      </c>
      <c r="S40" s="1">
        <v>1.3</v>
      </c>
    </row>
    <row r="41" spans="1:29" x14ac:dyDescent="0.35">
      <c r="A41" s="18" t="s">
        <v>72</v>
      </c>
      <c r="B41" t="s">
        <v>16</v>
      </c>
      <c r="C41">
        <v>1.3</v>
      </c>
      <c r="D41">
        <v>0</v>
      </c>
      <c r="K41" t="s">
        <v>99</v>
      </c>
      <c r="L41" t="s">
        <v>108</v>
      </c>
    </row>
    <row r="42" spans="1:29" ht="16.5" thickBot="1" x14ac:dyDescent="0.45">
      <c r="A42" s="20" t="s">
        <v>74</v>
      </c>
      <c r="B42" t="s">
        <v>18</v>
      </c>
      <c r="C42">
        <v>1.3</v>
      </c>
      <c r="D42">
        <v>0</v>
      </c>
      <c r="H42" s="5" t="s">
        <v>75</v>
      </c>
      <c r="I42" t="s">
        <v>79</v>
      </c>
      <c r="J42" t="s">
        <v>83</v>
      </c>
      <c r="K42" s="7" t="s">
        <v>76</v>
      </c>
      <c r="L42" t="s">
        <v>109</v>
      </c>
      <c r="M42" t="s">
        <v>69</v>
      </c>
      <c r="O42" t="s">
        <v>98</v>
      </c>
    </row>
    <row r="43" spans="1:29" x14ac:dyDescent="0.35">
      <c r="H43" s="20" t="s">
        <v>7</v>
      </c>
      <c r="I43" s="15">
        <f>R38</f>
        <v>13676</v>
      </c>
      <c r="K43" s="15">
        <f>I43/$I$37*1000</f>
        <v>1367.6</v>
      </c>
      <c r="L43" s="1">
        <f>K43</f>
        <v>1367.6</v>
      </c>
      <c r="M43" s="1">
        <f>K43/C32</f>
        <v>520</v>
      </c>
      <c r="O43" t="s">
        <v>60</v>
      </c>
      <c r="P43" s="14">
        <f>(I47+0.3*I48+I49*0.3+I50*0.215)/(I44+I45+I46)</f>
        <v>0.37686000000000008</v>
      </c>
      <c r="T43" s="1"/>
    </row>
    <row r="44" spans="1:29" x14ac:dyDescent="0.35">
      <c r="H44" s="18" t="s">
        <v>45</v>
      </c>
      <c r="I44" s="15">
        <f>I28</f>
        <v>5923.0532074003595</v>
      </c>
      <c r="K44" s="15">
        <f t="shared" ref="K44:K51" si="16">I44/$I$37*1000</f>
        <v>592.305320740036</v>
      </c>
      <c r="L44" s="1">
        <f t="shared" ref="L44:L46" si="17">K44</f>
        <v>592.305320740036</v>
      </c>
      <c r="M44" s="1">
        <f t="shared" ref="M44:M51" si="18">K44/C33</f>
        <v>191.0662324967858</v>
      </c>
      <c r="T44" s="1"/>
    </row>
    <row r="45" spans="1:29" x14ac:dyDescent="0.35">
      <c r="B45">
        <v>6.4899999999999999E-2</v>
      </c>
      <c r="H45" s="18" t="s">
        <v>48</v>
      </c>
      <c r="I45" s="15">
        <f t="shared" ref="I45:I51" si="19">I29</f>
        <v>0</v>
      </c>
      <c r="K45" s="15">
        <f t="shared" si="16"/>
        <v>0</v>
      </c>
      <c r="L45" s="1">
        <f t="shared" si="17"/>
        <v>0</v>
      </c>
      <c r="M45" s="1">
        <f t="shared" si="18"/>
        <v>0</v>
      </c>
    </row>
    <row r="46" spans="1:29" x14ac:dyDescent="0.35">
      <c r="B46">
        <f>1.0403</f>
        <v>1.0403</v>
      </c>
      <c r="C46">
        <f>1/3*B46</f>
        <v>0.34676666666666667</v>
      </c>
      <c r="H46" s="18" t="s">
        <v>51</v>
      </c>
      <c r="I46" s="15">
        <f t="shared" si="19"/>
        <v>515.04810499133555</v>
      </c>
      <c r="K46" s="15">
        <f t="shared" si="16"/>
        <v>51.504810499133555</v>
      </c>
      <c r="L46" s="1">
        <f t="shared" si="17"/>
        <v>51.504810499133555</v>
      </c>
      <c r="M46" s="1">
        <f t="shared" si="18"/>
        <v>23.411277499606161</v>
      </c>
    </row>
    <row r="47" spans="1:29" x14ac:dyDescent="0.35">
      <c r="B47">
        <v>2.0270000000000001</v>
      </c>
      <c r="C47">
        <f>2/3*B47</f>
        <v>1.3513333333333333</v>
      </c>
      <c r="H47" s="18" t="s">
        <v>66</v>
      </c>
      <c r="I47" s="15">
        <f t="shared" si="19"/>
        <v>2402.4096952255231</v>
      </c>
      <c r="K47" s="15">
        <f>I47/$I$37*1000</f>
        <v>240.24096952255232</v>
      </c>
      <c r="L47" s="1">
        <f>(I47+0.7*I48+0.7*I49+0.785*I50+0.455*I51)/$I$37*1000</f>
        <v>257.52405249566777</v>
      </c>
      <c r="M47" s="1">
        <f t="shared" si="18"/>
        <v>240.24096952255232</v>
      </c>
    </row>
    <row r="48" spans="1:29" x14ac:dyDescent="0.35">
      <c r="H48" s="18" t="s">
        <v>67</v>
      </c>
      <c r="I48" s="15">
        <f t="shared" si="19"/>
        <v>56.977196614666504</v>
      </c>
      <c r="K48" s="15">
        <f t="shared" si="16"/>
        <v>5.6977196614666497</v>
      </c>
      <c r="L48" s="1">
        <f>K48*0.3</f>
        <v>1.7093158984399948</v>
      </c>
      <c r="M48" s="1">
        <f t="shared" si="18"/>
        <v>5.3752072277987262</v>
      </c>
    </row>
    <row r="49" spans="1:20" x14ac:dyDescent="0.35">
      <c r="H49" s="18" t="s">
        <v>81</v>
      </c>
      <c r="I49" s="15">
        <f t="shared" si="19"/>
        <v>22.533354593370927</v>
      </c>
      <c r="K49" s="15">
        <f t="shared" si="16"/>
        <v>2.2533354593370927</v>
      </c>
      <c r="L49" s="1">
        <f>K49*0.3</f>
        <v>0.67600063780112774</v>
      </c>
      <c r="M49" s="1">
        <f t="shared" si="18"/>
        <v>2.146033770797231</v>
      </c>
      <c r="T49" s="1"/>
    </row>
    <row r="50" spans="1:20" x14ac:dyDescent="0.35">
      <c r="H50" s="18" t="s">
        <v>87</v>
      </c>
      <c r="I50" s="15">
        <f t="shared" si="19"/>
        <v>0</v>
      </c>
      <c r="K50" s="15">
        <f t="shared" si="16"/>
        <v>0</v>
      </c>
      <c r="L50" s="1">
        <f>K50*0.215</f>
        <v>0</v>
      </c>
      <c r="M50" s="1">
        <f t="shared" si="18"/>
        <v>0</v>
      </c>
      <c r="T50" s="1"/>
    </row>
    <row r="51" spans="1:20" x14ac:dyDescent="0.35">
      <c r="H51" s="18" t="s">
        <v>84</v>
      </c>
      <c r="I51" s="15">
        <f t="shared" si="19"/>
        <v>257.52405249566777</v>
      </c>
      <c r="K51" s="15">
        <f t="shared" si="16"/>
        <v>25.752405249566777</v>
      </c>
      <c r="L51" s="1">
        <f>K51*0.545</f>
        <v>14.035060861013894</v>
      </c>
      <c r="M51" s="1">
        <f t="shared" si="18"/>
        <v>17.760279482459847</v>
      </c>
    </row>
    <row r="54" spans="1:20" ht="17.5" thickBot="1" x14ac:dyDescent="0.45">
      <c r="A54" s="4" t="s">
        <v>77</v>
      </c>
    </row>
    <row r="55" spans="1:20" ht="16.5" thickTop="1" thickBot="1" x14ac:dyDescent="0.4">
      <c r="A55" s="5" t="s">
        <v>78</v>
      </c>
    </row>
    <row r="56" spans="1:20" x14ac:dyDescent="0.35">
      <c r="A56" t="s">
        <v>28</v>
      </c>
      <c r="B56">
        <v>1000</v>
      </c>
    </row>
    <row r="57" spans="1:20" x14ac:dyDescent="0.35">
      <c r="A57" t="s">
        <v>7</v>
      </c>
      <c r="B57">
        <v>24.21</v>
      </c>
    </row>
    <row r="58" spans="1:20" x14ac:dyDescent="0.35">
      <c r="A58" t="s">
        <v>15</v>
      </c>
      <c r="B58">
        <v>0.86029999999999995</v>
      </c>
    </row>
    <row r="59" spans="1:20" x14ac:dyDescent="0.35">
      <c r="A59" t="s">
        <v>17</v>
      </c>
      <c r="B59">
        <v>0.86029999999999995</v>
      </c>
      <c r="I59" s="1"/>
    </row>
    <row r="60" spans="1:20" x14ac:dyDescent="0.35">
      <c r="A60" t="s">
        <v>45</v>
      </c>
      <c r="B60">
        <f>100-B61-B62</f>
        <v>79.19</v>
      </c>
    </row>
    <row r="61" spans="1:20" x14ac:dyDescent="0.35">
      <c r="A61" t="s">
        <v>48</v>
      </c>
      <c r="B61">
        <v>13.31</v>
      </c>
      <c r="J61" t="s">
        <v>2</v>
      </c>
      <c r="K61" s="1">
        <f>SUM(K43:K53)</f>
        <v>2285.3545611320924</v>
      </c>
      <c r="L61" t="s">
        <v>82</v>
      </c>
    </row>
    <row r="62" spans="1:20" x14ac:dyDescent="0.35">
      <c r="A62" t="s">
        <v>51</v>
      </c>
      <c r="B62">
        <v>7.5</v>
      </c>
    </row>
    <row r="63" spans="1:20" x14ac:dyDescent="0.35">
      <c r="A63" t="s">
        <v>19</v>
      </c>
      <c r="B63">
        <v>0.34100000000000003</v>
      </c>
    </row>
    <row r="64" spans="1:20" x14ac:dyDescent="0.35">
      <c r="A64" t="s">
        <v>61</v>
      </c>
      <c r="B64">
        <v>9.6799999999999997E-2</v>
      </c>
    </row>
    <row r="65" spans="1:4" x14ac:dyDescent="0.35">
      <c r="A65" t="s">
        <v>56</v>
      </c>
      <c r="B65">
        <v>6.5299999999999997E-2</v>
      </c>
    </row>
    <row r="66" spans="1:4" x14ac:dyDescent="0.35">
      <c r="A66" t="s">
        <v>58</v>
      </c>
      <c r="B66">
        <v>1.0403</v>
      </c>
    </row>
    <row r="69" spans="1:4" x14ac:dyDescent="0.35">
      <c r="A69" t="s">
        <v>100</v>
      </c>
    </row>
    <row r="70" spans="1:4" ht="16" thickBot="1" x14ac:dyDescent="0.4">
      <c r="B70" s="5" t="str">
        <f t="shared" ref="B70" si="20">B18</f>
        <v>Composition</v>
      </c>
    </row>
    <row r="71" spans="1:4" x14ac:dyDescent="0.35">
      <c r="A71" t="str">
        <f t="shared" ref="A71:C71" si="21">A19</f>
        <v>V</v>
      </c>
      <c r="B71">
        <f t="shared" si="21"/>
        <v>10000</v>
      </c>
      <c r="C71" t="str">
        <f t="shared" si="21"/>
        <v>mL</v>
      </c>
    </row>
    <row r="72" spans="1:4" x14ac:dyDescent="0.35">
      <c r="A72" t="str">
        <f t="shared" ref="A72:D72" si="22">A20</f>
        <v>Sand</v>
      </c>
      <c r="B72">
        <f t="shared" si="22"/>
        <v>52</v>
      </c>
      <c r="C72" t="str">
        <f t="shared" si="22"/>
        <v>%</v>
      </c>
      <c r="D72" t="str">
        <f t="shared" si="22"/>
        <v>Volume parts, all</v>
      </c>
    </row>
    <row r="73" spans="1:4" x14ac:dyDescent="0.35">
      <c r="A73" t="str">
        <f t="shared" ref="A73:D73" si="23">A21</f>
        <v>PVA 6mm</v>
      </c>
      <c r="B73">
        <f t="shared" si="23"/>
        <v>0</v>
      </c>
      <c r="C73" t="str">
        <f t="shared" si="23"/>
        <v>%</v>
      </c>
      <c r="D73" t="str">
        <f t="shared" si="23"/>
        <v>Volume parts, all</v>
      </c>
    </row>
    <row r="74" spans="1:4" x14ac:dyDescent="0.35">
      <c r="A74" t="str">
        <f t="shared" ref="A74:D74" si="24">A22</f>
        <v>PVA 12mm</v>
      </c>
      <c r="B74">
        <f t="shared" si="24"/>
        <v>0</v>
      </c>
      <c r="C74" t="str">
        <f t="shared" si="24"/>
        <v>%</v>
      </c>
      <c r="D74" t="str">
        <f t="shared" si="24"/>
        <v>Volume parts, all</v>
      </c>
    </row>
    <row r="75" spans="1:4" x14ac:dyDescent="0.35">
      <c r="A75" t="str">
        <f t="shared" ref="A75:D75" si="25">A23</f>
        <v>CEM</v>
      </c>
      <c r="B75">
        <f t="shared" si="25"/>
        <v>92</v>
      </c>
      <c r="C75" t="str">
        <f t="shared" si="25"/>
        <v>%</v>
      </c>
      <c r="D75" t="str">
        <f t="shared" si="25"/>
        <v>Weight binder</v>
      </c>
    </row>
    <row r="76" spans="1:4" x14ac:dyDescent="0.35">
      <c r="A76" t="str">
        <f t="shared" ref="A76:D76" si="26">A24</f>
        <v>FA</v>
      </c>
      <c r="B76">
        <f t="shared" si="26"/>
        <v>0</v>
      </c>
      <c r="C76" t="str">
        <f t="shared" si="26"/>
        <v>%</v>
      </c>
      <c r="D76" t="str">
        <f t="shared" si="26"/>
        <v>Weight binder</v>
      </c>
    </row>
    <row r="77" spans="1:4" x14ac:dyDescent="0.35">
      <c r="A77" t="str">
        <f t="shared" ref="A77:D77" si="27">A25</f>
        <v>MS</v>
      </c>
      <c r="B77">
        <f t="shared" si="27"/>
        <v>8</v>
      </c>
      <c r="C77" t="str">
        <f t="shared" si="27"/>
        <v>%</v>
      </c>
      <c r="D77" t="str">
        <f t="shared" si="27"/>
        <v>Weight binder</v>
      </c>
    </row>
    <row r="78" spans="1:4" x14ac:dyDescent="0.35">
      <c r="A78" t="str">
        <f t="shared" ref="A78:D78" si="28">A26</f>
        <v>Water</v>
      </c>
      <c r="B78">
        <f t="shared" si="28"/>
        <v>0.4</v>
      </c>
      <c r="C78" t="str">
        <f t="shared" si="28"/>
        <v>-</v>
      </c>
      <c r="D78" t="str">
        <f t="shared" si="28"/>
        <v>wb</v>
      </c>
    </row>
    <row r="79" spans="1:4" x14ac:dyDescent="0.35">
      <c r="A79" t="str">
        <f t="shared" ref="A79:D79" si="29">A27</f>
        <v>SP</v>
      </c>
      <c r="B79">
        <f t="shared" si="29"/>
        <v>0.88500000000000001</v>
      </c>
      <c r="C79" t="str">
        <f t="shared" si="29"/>
        <v>%</v>
      </c>
      <c r="D79" t="str">
        <f t="shared" si="29"/>
        <v>weight_solution_adm/weight_dry_binder</v>
      </c>
    </row>
    <row r="80" spans="1:4" x14ac:dyDescent="0.35">
      <c r="A80" t="str">
        <f t="shared" ref="A80:D80" si="30">A28</f>
        <v>RT</v>
      </c>
      <c r="B80">
        <f t="shared" si="30"/>
        <v>0.35</v>
      </c>
      <c r="C80" t="str">
        <f t="shared" si="30"/>
        <v>%</v>
      </c>
      <c r="D80" t="str">
        <f t="shared" si="30"/>
        <v>weight_solution_adm/weight_dry_binder</v>
      </c>
    </row>
    <row r="81" spans="1:4" x14ac:dyDescent="0.35">
      <c r="A81" t="str">
        <f t="shared" ref="A81:D81" si="31">A29</f>
        <v>X-Seed 100</v>
      </c>
      <c r="B81">
        <f t="shared" si="31"/>
        <v>0</v>
      </c>
      <c r="C81" t="str">
        <f t="shared" si="31"/>
        <v>%</v>
      </c>
      <c r="D81" t="str">
        <f t="shared" si="31"/>
        <v>weight_solution_adm/weight_dry_binder</v>
      </c>
    </row>
    <row r="82" spans="1:4" x14ac:dyDescent="0.35">
      <c r="A82" t="str">
        <f t="shared" ref="A82:D82" si="32">A30</f>
        <v>C-100</v>
      </c>
      <c r="B82">
        <f t="shared" si="32"/>
        <v>4</v>
      </c>
      <c r="C82" t="str">
        <f t="shared" si="32"/>
        <v>%</v>
      </c>
      <c r="D82" t="str">
        <f t="shared" si="32"/>
        <v>weight_solution_adm/weight_dry_binder</v>
      </c>
    </row>
    <row r="84" spans="1:4" ht="16" thickBot="1" x14ac:dyDescent="0.4">
      <c r="A84" s="5" t="s">
        <v>75</v>
      </c>
      <c r="B84" t="s">
        <v>39</v>
      </c>
      <c r="C84">
        <f>B71/1000</f>
        <v>10</v>
      </c>
      <c r="D84" t="s">
        <v>80</v>
      </c>
    </row>
    <row r="85" spans="1:4" x14ac:dyDescent="0.35">
      <c r="A85" s="18" t="str">
        <f t="shared" ref="A85:A93" si="33">H43</f>
        <v>Sand</v>
      </c>
      <c r="B85" s="21">
        <f t="shared" ref="B85:B93" si="34">I43</f>
        <v>13676</v>
      </c>
    </row>
    <row r="86" spans="1:4" x14ac:dyDescent="0.35">
      <c r="A86" s="18" t="str">
        <f t="shared" si="33"/>
        <v>CEM</v>
      </c>
      <c r="B86" s="21">
        <f t="shared" si="34"/>
        <v>5923.0532074003595</v>
      </c>
    </row>
    <row r="87" spans="1:4" x14ac:dyDescent="0.35">
      <c r="A87" s="18" t="str">
        <f t="shared" si="33"/>
        <v>FA</v>
      </c>
      <c r="B87" s="21">
        <f t="shared" si="34"/>
        <v>0</v>
      </c>
    </row>
    <row r="88" spans="1:4" x14ac:dyDescent="0.35">
      <c r="A88" s="18" t="str">
        <f t="shared" si="33"/>
        <v>MS</v>
      </c>
      <c r="B88" s="21">
        <f t="shared" si="34"/>
        <v>515.04810499133555</v>
      </c>
    </row>
    <row r="89" spans="1:4" x14ac:dyDescent="0.35">
      <c r="A89" s="18" t="str">
        <f t="shared" si="33"/>
        <v>H2O</v>
      </c>
      <c r="B89" s="21">
        <f t="shared" si="34"/>
        <v>2402.4096952255231</v>
      </c>
    </row>
    <row r="90" spans="1:4" x14ac:dyDescent="0.35">
      <c r="A90" s="18" t="str">
        <f t="shared" si="33"/>
        <v>ACE30</v>
      </c>
      <c r="B90" s="1">
        <f t="shared" si="34"/>
        <v>56.977196614666504</v>
      </c>
    </row>
    <row r="91" spans="1:4" x14ac:dyDescent="0.35">
      <c r="A91" s="18" t="str">
        <f t="shared" si="33"/>
        <v>Sucrose</v>
      </c>
      <c r="B91" s="1">
        <f t="shared" si="34"/>
        <v>22.533354593370927</v>
      </c>
    </row>
    <row r="92" spans="1:4" x14ac:dyDescent="0.35">
      <c r="A92" s="18" t="str">
        <f t="shared" si="33"/>
        <v>X-Seed</v>
      </c>
      <c r="B92" s="1">
        <f t="shared" si="34"/>
        <v>0</v>
      </c>
    </row>
    <row r="93" spans="1:4" x14ac:dyDescent="0.35">
      <c r="A93" s="18" t="str">
        <f t="shared" si="33"/>
        <v>C-100</v>
      </c>
      <c r="B93" s="1">
        <f t="shared" si="34"/>
        <v>257.52405249566777</v>
      </c>
    </row>
  </sheetData>
  <phoneticPr fontId="1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3"/>
  <sheetViews>
    <sheetView tabSelected="1" zoomScale="85" zoomScaleNormal="85" workbookViewId="0">
      <selection activeCell="C2" sqref="C2"/>
    </sheetView>
  </sheetViews>
  <sheetFormatPr defaultColWidth="11" defaultRowHeight="15.5" x14ac:dyDescent="0.35"/>
  <cols>
    <col min="1" max="1" width="18.83203125" customWidth="1"/>
    <col min="2" max="2" width="28.1640625" customWidth="1"/>
    <col min="3" max="3" width="16.25" bestFit="1" customWidth="1"/>
    <col min="4" max="4" width="7.5" customWidth="1"/>
    <col min="6" max="6" width="15.08203125" customWidth="1"/>
    <col min="8" max="8" width="9.6640625" customWidth="1"/>
    <col min="9" max="9" width="11.58203125" customWidth="1"/>
    <col min="10" max="10" width="6.58203125" customWidth="1"/>
    <col min="13" max="13" width="11.5" customWidth="1"/>
  </cols>
  <sheetData>
    <row r="1" spans="1:20" x14ac:dyDescent="0.35">
      <c r="C1" t="str">
        <f>'M6'!B70</f>
        <v>Composition</v>
      </c>
      <c r="H1" s="31"/>
      <c r="I1" s="32" t="s">
        <v>117</v>
      </c>
      <c r="J1" s="32"/>
      <c r="K1" s="32"/>
      <c r="L1" s="32"/>
      <c r="M1" s="32"/>
      <c r="N1" s="31"/>
    </row>
    <row r="2" spans="1:20" x14ac:dyDescent="0.35">
      <c r="A2" t="s">
        <v>69</v>
      </c>
      <c r="C2" s="39">
        <v>10000</v>
      </c>
      <c r="D2" t="str">
        <f>'M6'!C71</f>
        <v>mL</v>
      </c>
      <c r="H2" s="31"/>
      <c r="I2" s="33" t="s">
        <v>118</v>
      </c>
      <c r="J2" s="33"/>
      <c r="K2" s="33"/>
      <c r="L2" s="33"/>
      <c r="M2" s="33"/>
      <c r="N2" s="31"/>
    </row>
    <row r="3" spans="1:20" x14ac:dyDescent="0.35">
      <c r="C3" s="17"/>
      <c r="H3" s="31"/>
      <c r="I3" s="33"/>
      <c r="J3" s="33"/>
      <c r="K3" s="33"/>
      <c r="L3" s="33"/>
      <c r="M3" s="33"/>
      <c r="N3" s="31"/>
    </row>
    <row r="4" spans="1:20" x14ac:dyDescent="0.35">
      <c r="A4" s="37" t="s">
        <v>135</v>
      </c>
      <c r="C4" s="36"/>
      <c r="H4" s="31"/>
      <c r="I4" s="33"/>
      <c r="J4" s="33"/>
      <c r="K4" s="33"/>
      <c r="L4" s="33"/>
      <c r="M4" s="33"/>
      <c r="N4" s="31"/>
    </row>
    <row r="5" spans="1:20" x14ac:dyDescent="0.35">
      <c r="A5" t="str">
        <f>'M6'!A72</f>
        <v>Sand</v>
      </c>
      <c r="B5" t="s">
        <v>8</v>
      </c>
      <c r="C5" s="17">
        <v>52</v>
      </c>
      <c r="D5" t="str">
        <f>'M6'!C72</f>
        <v>%</v>
      </c>
      <c r="E5" t="str">
        <f>'M6'!D72</f>
        <v>Volume parts, all</v>
      </c>
      <c r="H5" s="31"/>
      <c r="I5" s="33" t="s">
        <v>119</v>
      </c>
      <c r="J5" s="33"/>
      <c r="K5" s="33"/>
      <c r="L5" s="33"/>
      <c r="M5" s="33"/>
      <c r="N5" s="31"/>
    </row>
    <row r="6" spans="1:20" hidden="1" x14ac:dyDescent="0.35">
      <c r="C6" s="36"/>
      <c r="H6" s="31"/>
      <c r="I6" s="33" t="s">
        <v>121</v>
      </c>
      <c r="J6" s="33"/>
      <c r="K6" s="33"/>
      <c r="L6" s="33"/>
      <c r="M6" s="33"/>
      <c r="N6" s="31"/>
    </row>
    <row r="7" spans="1:20" hidden="1" x14ac:dyDescent="0.35">
      <c r="C7" s="36"/>
      <c r="H7" s="31"/>
      <c r="I7" s="33" t="s">
        <v>120</v>
      </c>
      <c r="J7" s="33"/>
      <c r="K7" s="33"/>
      <c r="L7" s="33"/>
      <c r="M7" s="33"/>
      <c r="N7" s="31"/>
    </row>
    <row r="8" spans="1:20" x14ac:dyDescent="0.35">
      <c r="A8" t="s">
        <v>9</v>
      </c>
      <c r="B8" t="s">
        <v>128</v>
      </c>
      <c r="C8" s="17">
        <f>100-C9-C10</f>
        <v>92</v>
      </c>
      <c r="D8" t="str">
        <f>'M6'!C75</f>
        <v>%</v>
      </c>
      <c r="E8" t="str">
        <f>'M6'!D75</f>
        <v>Weight binder</v>
      </c>
      <c r="H8" s="31"/>
      <c r="I8" s="33" t="s">
        <v>122</v>
      </c>
      <c r="J8" s="33"/>
      <c r="K8" s="33"/>
      <c r="L8" s="33"/>
      <c r="M8" s="33"/>
      <c r="N8" s="31"/>
      <c r="Q8">
        <v>15</v>
      </c>
      <c r="R8">
        <v>15</v>
      </c>
      <c r="S8">
        <v>2</v>
      </c>
      <c r="T8">
        <f>SUM(Q8*R8*S8)</f>
        <v>450</v>
      </c>
    </row>
    <row r="9" spans="1:20" hidden="1" x14ac:dyDescent="0.35">
      <c r="C9" s="36"/>
      <c r="H9" s="31"/>
      <c r="I9" s="33" t="s">
        <v>123</v>
      </c>
      <c r="J9" s="33"/>
      <c r="K9" s="33"/>
      <c r="L9" s="33"/>
      <c r="M9" s="33"/>
      <c r="N9" s="31"/>
    </row>
    <row r="10" spans="1:20" x14ac:dyDescent="0.35">
      <c r="A10" t="s">
        <v>129</v>
      </c>
      <c r="B10" t="s">
        <v>133</v>
      </c>
      <c r="C10" s="17">
        <v>8</v>
      </c>
      <c r="D10" t="str">
        <f>'M6'!C77</f>
        <v>%</v>
      </c>
      <c r="E10" t="str">
        <f>'M6'!D77</f>
        <v>Weight binder</v>
      </c>
      <c r="H10" s="31"/>
      <c r="I10" s="33"/>
      <c r="J10" s="33"/>
      <c r="K10" s="33"/>
      <c r="L10" s="33"/>
      <c r="M10" s="33"/>
      <c r="N10" s="31"/>
    </row>
    <row r="11" spans="1:20" x14ac:dyDescent="0.35">
      <c r="C11" s="36"/>
      <c r="H11" s="31"/>
      <c r="I11" s="33"/>
      <c r="J11" s="33"/>
      <c r="K11" s="33"/>
      <c r="L11" s="33"/>
      <c r="M11" s="33"/>
      <c r="N11" s="31"/>
    </row>
    <row r="12" spans="1:20" x14ac:dyDescent="0.35">
      <c r="A12" s="37" t="s">
        <v>136</v>
      </c>
      <c r="C12" s="36"/>
      <c r="H12" s="31"/>
      <c r="I12" s="33"/>
      <c r="J12" s="33"/>
      <c r="K12" s="33"/>
      <c r="L12" s="33"/>
      <c r="M12" s="33"/>
      <c r="N12" s="31"/>
    </row>
    <row r="13" spans="1:20" x14ac:dyDescent="0.35">
      <c r="A13" t="str">
        <f>'M6'!A78</f>
        <v>Water</v>
      </c>
      <c r="C13" s="17">
        <v>0.4</v>
      </c>
      <c r="D13" t="str">
        <f>'M6'!C78</f>
        <v>-</v>
      </c>
      <c r="E13" t="str">
        <f>'M6'!D78</f>
        <v>wb</v>
      </c>
      <c r="H13" s="31"/>
      <c r="I13" s="33"/>
      <c r="J13" s="33"/>
      <c r="K13" s="33"/>
      <c r="L13" s="33"/>
      <c r="M13" s="33"/>
      <c r="N13" s="31"/>
    </row>
    <row r="14" spans="1:20" x14ac:dyDescent="0.35">
      <c r="A14" t="s">
        <v>21</v>
      </c>
      <c r="B14" t="s">
        <v>130</v>
      </c>
      <c r="C14" s="17">
        <v>0.88500000000000001</v>
      </c>
      <c r="D14" t="str">
        <f>'M6'!C79</f>
        <v>%</v>
      </c>
      <c r="E14" t="str">
        <f>'M6'!D79</f>
        <v>weight_solution_adm/weight_dry_binder</v>
      </c>
      <c r="H14" s="31"/>
      <c r="N14" s="31"/>
    </row>
    <row r="15" spans="1:20" x14ac:dyDescent="0.35">
      <c r="A15" t="s">
        <v>81</v>
      </c>
      <c r="B15" t="s">
        <v>131</v>
      </c>
      <c r="C15" s="26">
        <f>0.105/0.3</f>
        <v>0.35</v>
      </c>
      <c r="D15" t="str">
        <f>'M6'!C80</f>
        <v>%</v>
      </c>
      <c r="E15" t="str">
        <f>'M6'!D80</f>
        <v>weight_solution_adm/weight_dry_binder</v>
      </c>
      <c r="H15" s="31"/>
    </row>
    <row r="16" spans="1:20" x14ac:dyDescent="0.35">
      <c r="C16" s="38"/>
      <c r="H16" s="31"/>
    </row>
    <row r="17" spans="1:13" x14ac:dyDescent="0.35">
      <c r="A17" s="37" t="s">
        <v>137</v>
      </c>
      <c r="C17" s="36"/>
      <c r="H17" s="31"/>
    </row>
    <row r="18" spans="1:13" x14ac:dyDescent="0.35">
      <c r="A18" t="s">
        <v>25</v>
      </c>
      <c r="B18" t="s">
        <v>132</v>
      </c>
      <c r="C18" s="17">
        <v>4</v>
      </c>
      <c r="D18" t="str">
        <f>'M6'!C82</f>
        <v>%</v>
      </c>
      <c r="E18" t="str">
        <f>'M6'!D82</f>
        <v>weight_solution_adm/weight_dry_binder</v>
      </c>
      <c r="H18" s="31"/>
    </row>
    <row r="19" spans="1:13" x14ac:dyDescent="0.35">
      <c r="H19" s="31"/>
    </row>
    <row r="20" spans="1:13" x14ac:dyDescent="0.35">
      <c r="A20" t="str">
        <f>'M6'!A84</f>
        <v>Recipe</v>
      </c>
      <c r="C20" t="str">
        <f>'M6'!B84</f>
        <v>Mass [g]</v>
      </c>
      <c r="D20">
        <f>'M6'!C84</f>
        <v>10</v>
      </c>
      <c r="E20" t="str">
        <f>'M6'!D84</f>
        <v>L</v>
      </c>
      <c r="F20" s="29" t="s">
        <v>110</v>
      </c>
      <c r="G20" t="s">
        <v>82</v>
      </c>
      <c r="H20" s="31"/>
      <c r="I20" s="33" t="s">
        <v>114</v>
      </c>
      <c r="J20" s="33" t="s">
        <v>116</v>
      </c>
      <c r="K20" s="33" t="s">
        <v>115</v>
      </c>
      <c r="L20" s="33" t="s">
        <v>124</v>
      </c>
      <c r="M20" s="33"/>
    </row>
    <row r="21" spans="1:13" x14ac:dyDescent="0.35">
      <c r="A21" s="37" t="s">
        <v>135</v>
      </c>
      <c r="F21" s="29"/>
      <c r="H21" s="31"/>
      <c r="I21" s="33"/>
      <c r="J21" s="33"/>
      <c r="K21" s="33"/>
      <c r="L21" s="33"/>
      <c r="M21" s="33"/>
    </row>
    <row r="22" spans="1:13" x14ac:dyDescent="0.35">
      <c r="A22" t="s">
        <v>7</v>
      </c>
      <c r="B22" t="s">
        <v>8</v>
      </c>
      <c r="C22" s="27">
        <f>'M6'!B85</f>
        <v>13676</v>
      </c>
      <c r="F22" s="30">
        <f>'M6'!L43</f>
        <v>1367.6</v>
      </c>
      <c r="H22" s="31"/>
      <c r="I22" s="33"/>
      <c r="J22" s="33">
        <v>1</v>
      </c>
      <c r="K22" s="34" t="s">
        <v>113</v>
      </c>
      <c r="L22" s="35" t="s">
        <v>125</v>
      </c>
      <c r="M22" s="33"/>
    </row>
    <row r="23" spans="1:13" x14ac:dyDescent="0.35">
      <c r="A23" t="s">
        <v>9</v>
      </c>
      <c r="B23" t="s">
        <v>128</v>
      </c>
      <c r="C23" s="27">
        <f>'M6'!B86</f>
        <v>5923.0532074003595</v>
      </c>
      <c r="F23" s="30">
        <f>'M6'!L44</f>
        <v>592.305320740036</v>
      </c>
      <c r="H23" s="31"/>
      <c r="I23" s="33"/>
      <c r="J23" s="33">
        <f>SUM(J22+1)</f>
        <v>2</v>
      </c>
      <c r="K23" s="34" t="s">
        <v>113</v>
      </c>
      <c r="L23" s="35" t="s">
        <v>125</v>
      </c>
      <c r="M23" s="33"/>
    </row>
    <row r="24" spans="1:13" hidden="1" x14ac:dyDescent="0.35">
      <c r="C24" s="27"/>
      <c r="F24" s="30">
        <f>'M6'!L45</f>
        <v>0</v>
      </c>
      <c r="H24" s="31"/>
      <c r="I24" s="33"/>
      <c r="J24" s="33">
        <f t="shared" ref="J24:J37" si="0">SUM(J23+1)</f>
        <v>3</v>
      </c>
      <c r="K24" s="34" t="s">
        <v>113</v>
      </c>
      <c r="L24" s="35" t="s">
        <v>125</v>
      </c>
      <c r="M24" s="33"/>
    </row>
    <row r="25" spans="1:13" x14ac:dyDescent="0.35">
      <c r="A25" t="s">
        <v>129</v>
      </c>
      <c r="B25" t="s">
        <v>134</v>
      </c>
      <c r="C25" s="27">
        <f>'M6'!B88</f>
        <v>515.04810499133555</v>
      </c>
      <c r="F25" s="30">
        <f>'M6'!L46</f>
        <v>51.504810499133555</v>
      </c>
      <c r="H25" s="31"/>
      <c r="I25" s="33"/>
      <c r="J25" s="33">
        <f t="shared" si="0"/>
        <v>4</v>
      </c>
      <c r="K25" s="34" t="s">
        <v>113</v>
      </c>
      <c r="L25" s="35" t="s">
        <v>125</v>
      </c>
      <c r="M25" s="33"/>
    </row>
    <row r="26" spans="1:13" x14ac:dyDescent="0.35">
      <c r="A26" s="37" t="s">
        <v>136</v>
      </c>
      <c r="C26" s="27"/>
      <c r="F26" s="30"/>
      <c r="H26" s="31"/>
      <c r="I26" s="33"/>
      <c r="J26" s="33"/>
      <c r="K26" s="34"/>
      <c r="L26" s="35"/>
      <c r="M26" s="33"/>
    </row>
    <row r="27" spans="1:13" x14ac:dyDescent="0.35">
      <c r="A27" t="s">
        <v>19</v>
      </c>
      <c r="C27" s="27">
        <f>'M6'!B89</f>
        <v>2402.4096952255231</v>
      </c>
      <c r="F27" s="30">
        <f>'M6'!L47</f>
        <v>257.52405249566777</v>
      </c>
      <c r="H27" s="31"/>
      <c r="I27" s="33"/>
      <c r="J27" s="33">
        <f>SUM(J25+1)</f>
        <v>5</v>
      </c>
      <c r="K27" s="34" t="s">
        <v>113</v>
      </c>
      <c r="L27" s="35" t="s">
        <v>125</v>
      </c>
      <c r="M27" s="33"/>
    </row>
    <row r="28" spans="1:13" x14ac:dyDescent="0.35">
      <c r="A28" t="s">
        <v>21</v>
      </c>
      <c r="B28" t="s">
        <v>130</v>
      </c>
      <c r="C28" s="23">
        <f>'M6'!B90</f>
        <v>56.977196614666504</v>
      </c>
      <c r="F28" s="30">
        <f>'M6'!L48</f>
        <v>1.7093158984399948</v>
      </c>
      <c r="H28" s="31"/>
      <c r="I28" s="33"/>
      <c r="J28" s="33">
        <f t="shared" si="0"/>
        <v>6</v>
      </c>
      <c r="K28" s="34" t="s">
        <v>113</v>
      </c>
      <c r="L28" s="35" t="s">
        <v>125</v>
      </c>
      <c r="M28" s="33"/>
    </row>
    <row r="29" spans="1:13" x14ac:dyDescent="0.35">
      <c r="A29" t="str">
        <f>'M6'!A91</f>
        <v>Sucrose</v>
      </c>
      <c r="B29" t="s">
        <v>131</v>
      </c>
      <c r="C29" s="23">
        <f>'M6'!B91</f>
        <v>22.533354593370927</v>
      </c>
      <c r="F29" s="30">
        <f>'M6'!L49</f>
        <v>0.67600063780112774</v>
      </c>
      <c r="H29" s="31"/>
      <c r="I29" s="33"/>
      <c r="J29" s="33">
        <f t="shared" si="0"/>
        <v>7</v>
      </c>
      <c r="K29" s="34" t="s">
        <v>113</v>
      </c>
      <c r="L29" s="35" t="s">
        <v>125</v>
      </c>
      <c r="M29" s="33"/>
    </row>
    <row r="30" spans="1:13" x14ac:dyDescent="0.35">
      <c r="A30" s="37" t="s">
        <v>137</v>
      </c>
      <c r="C30" s="23"/>
      <c r="F30" s="30">
        <f>'M6'!L50</f>
        <v>0</v>
      </c>
      <c r="H30" s="31"/>
      <c r="I30" s="33"/>
      <c r="J30" s="33">
        <f t="shared" si="0"/>
        <v>8</v>
      </c>
      <c r="K30" s="34" t="s">
        <v>113</v>
      </c>
      <c r="L30" s="35" t="s">
        <v>125</v>
      </c>
      <c r="M30" s="33"/>
    </row>
    <row r="31" spans="1:13" x14ac:dyDescent="0.35">
      <c r="A31" t="s">
        <v>25</v>
      </c>
      <c r="B31" t="s">
        <v>132</v>
      </c>
      <c r="C31" s="23">
        <f>'M6'!B93</f>
        <v>257.52405249566777</v>
      </c>
      <c r="F31" s="30">
        <f>'M6'!L51</f>
        <v>14.035060861013894</v>
      </c>
      <c r="H31" s="31"/>
      <c r="I31" s="33"/>
      <c r="J31" s="33">
        <f t="shared" si="0"/>
        <v>9</v>
      </c>
      <c r="K31" s="34" t="s">
        <v>113</v>
      </c>
      <c r="L31" s="35" t="s">
        <v>125</v>
      </c>
      <c r="M31" s="33"/>
    </row>
    <row r="32" spans="1:13" x14ac:dyDescent="0.35">
      <c r="F32" s="1"/>
      <c r="H32" s="31"/>
      <c r="I32" s="33"/>
      <c r="J32" s="33">
        <f t="shared" si="0"/>
        <v>10</v>
      </c>
      <c r="K32" s="34" t="s">
        <v>113</v>
      </c>
      <c r="L32" s="35" t="s">
        <v>125</v>
      </c>
      <c r="M32" s="33"/>
    </row>
    <row r="33" spans="1:14" x14ac:dyDescent="0.35">
      <c r="A33" t="s">
        <v>101</v>
      </c>
      <c r="C33" s="21">
        <f>SUM(C22:C31)</f>
        <v>22853.545611320926</v>
      </c>
      <c r="D33" t="s">
        <v>2</v>
      </c>
      <c r="E33" s="1">
        <f>C33/C2</f>
        <v>2.2853545611320927</v>
      </c>
      <c r="F33" t="s">
        <v>102</v>
      </c>
      <c r="H33" s="31"/>
      <c r="I33" s="33"/>
      <c r="J33" s="33">
        <f t="shared" si="0"/>
        <v>11</v>
      </c>
      <c r="K33" s="34" t="s">
        <v>113</v>
      </c>
      <c r="L33" s="35" t="s">
        <v>125</v>
      </c>
      <c r="M33" s="33"/>
    </row>
    <row r="34" spans="1:14" x14ac:dyDescent="0.35">
      <c r="A34" t="s">
        <v>126</v>
      </c>
      <c r="C34" s="21"/>
      <c r="D34">
        <v>24.53</v>
      </c>
      <c r="E34" s="1" t="s">
        <v>127</v>
      </c>
      <c r="H34" s="31"/>
      <c r="I34" s="33"/>
      <c r="J34" s="33"/>
      <c r="K34" s="34"/>
      <c r="L34" s="35"/>
      <c r="M34" s="33"/>
    </row>
    <row r="35" spans="1:14" x14ac:dyDescent="0.35">
      <c r="H35" s="31"/>
      <c r="I35" s="33"/>
      <c r="J35" s="33">
        <f>SUM(J33+1)</f>
        <v>12</v>
      </c>
      <c r="K35" s="34" t="s">
        <v>113</v>
      </c>
      <c r="L35" s="35" t="s">
        <v>125</v>
      </c>
      <c r="M35" s="33"/>
    </row>
    <row r="36" spans="1:14" x14ac:dyDescent="0.35">
      <c r="A36" t="s">
        <v>103</v>
      </c>
      <c r="D36" s="21">
        <f>C33-SUM(C30:C31)</f>
        <v>22596.021558825258</v>
      </c>
      <c r="E36" t="s">
        <v>79</v>
      </c>
      <c r="H36" s="31"/>
      <c r="I36" s="33"/>
      <c r="J36" s="33">
        <f t="shared" si="0"/>
        <v>13</v>
      </c>
      <c r="K36" s="34" t="s">
        <v>113</v>
      </c>
      <c r="L36" s="35" t="s">
        <v>125</v>
      </c>
      <c r="M36" s="33"/>
    </row>
    <row r="37" spans="1:14" x14ac:dyDescent="0.35">
      <c r="A37" t="s">
        <v>107</v>
      </c>
      <c r="D37" s="1">
        <f>SUM(C30:C31)</f>
        <v>257.52405249566777</v>
      </c>
      <c r="E37" t="s">
        <v>79</v>
      </c>
      <c r="H37" s="31"/>
      <c r="I37" s="33"/>
      <c r="J37" s="33">
        <f t="shared" si="0"/>
        <v>14</v>
      </c>
      <c r="K37" s="34" t="s">
        <v>113</v>
      </c>
      <c r="L37" s="35" t="s">
        <v>125</v>
      </c>
      <c r="M37" s="33"/>
    </row>
    <row r="38" spans="1:14" x14ac:dyDescent="0.35">
      <c r="H38" s="31"/>
      <c r="I38" s="33"/>
      <c r="J38" s="33"/>
      <c r="K38" s="33"/>
      <c r="L38" s="33"/>
      <c r="M38" s="33"/>
    </row>
    <row r="39" spans="1:14" x14ac:dyDescent="0.35">
      <c r="A39" t="s">
        <v>104</v>
      </c>
      <c r="D39" s="26">
        <v>0.1</v>
      </c>
      <c r="E39" t="s">
        <v>80</v>
      </c>
      <c r="F39" t="s">
        <v>104</v>
      </c>
      <c r="H39" s="26">
        <v>0.5</v>
      </c>
      <c r="I39" t="s">
        <v>80</v>
      </c>
      <c r="J39" s="33"/>
      <c r="K39" s="33"/>
      <c r="L39" s="33"/>
      <c r="M39" s="33"/>
    </row>
    <row r="40" spans="1:14" x14ac:dyDescent="0.35">
      <c r="A40" t="s">
        <v>105</v>
      </c>
      <c r="D40" s="28">
        <f>D39*E33</f>
        <v>0.22853545611320927</v>
      </c>
      <c r="E40" t="s">
        <v>106</v>
      </c>
      <c r="F40" t="s">
        <v>105</v>
      </c>
      <c r="H40" s="28">
        <f>H39*E33</f>
        <v>1.1426772805660463</v>
      </c>
      <c r="I40" t="s">
        <v>106</v>
      </c>
      <c r="J40" s="33"/>
      <c r="K40" s="33"/>
      <c r="L40" s="33"/>
      <c r="M40" s="33"/>
    </row>
    <row r="41" spans="1:14" x14ac:dyDescent="0.35">
      <c r="A41" t="s">
        <v>112</v>
      </c>
      <c r="D41" s="23">
        <f>D39*$D$34</f>
        <v>2.4530000000000003</v>
      </c>
      <c r="E41" t="s">
        <v>79</v>
      </c>
      <c r="F41" t="s">
        <v>112</v>
      </c>
      <c r="H41" s="23">
        <f>H39*$D$34</f>
        <v>12.265000000000001</v>
      </c>
      <c r="I41" t="s">
        <v>79</v>
      </c>
      <c r="J41" s="33"/>
      <c r="K41" s="33"/>
      <c r="L41" s="33"/>
      <c r="M41" s="33"/>
    </row>
    <row r="42" spans="1:14" x14ac:dyDescent="0.35">
      <c r="H42" s="31"/>
      <c r="I42" s="33"/>
      <c r="J42" s="33"/>
      <c r="K42" s="33"/>
      <c r="L42" s="33"/>
      <c r="M42" s="33"/>
    </row>
    <row r="43" spans="1:14" x14ac:dyDescent="0.35">
      <c r="A43" t="s">
        <v>104</v>
      </c>
      <c r="D43" s="26">
        <v>0.2</v>
      </c>
      <c r="E43" t="s">
        <v>80</v>
      </c>
      <c r="F43" t="s">
        <v>104</v>
      </c>
      <c r="H43" s="26">
        <v>0.6</v>
      </c>
      <c r="I43" t="s">
        <v>80</v>
      </c>
      <c r="J43" s="33"/>
      <c r="K43" s="33"/>
      <c r="L43" s="33"/>
      <c r="M43" s="33"/>
    </row>
    <row r="44" spans="1:14" x14ac:dyDescent="0.35">
      <c r="A44" t="s">
        <v>105</v>
      </c>
      <c r="D44" s="28">
        <f>D43*E33</f>
        <v>0.45707091222641855</v>
      </c>
      <c r="E44" t="s">
        <v>106</v>
      </c>
      <c r="F44" t="s">
        <v>105</v>
      </c>
      <c r="H44" s="28">
        <f>H43*E33</f>
        <v>1.3712127366792555</v>
      </c>
      <c r="I44" t="s">
        <v>106</v>
      </c>
      <c r="J44" s="33"/>
      <c r="K44" s="33"/>
      <c r="L44" s="33"/>
      <c r="M44" s="33"/>
    </row>
    <row r="45" spans="1:14" x14ac:dyDescent="0.35">
      <c r="A45" t="s">
        <v>107</v>
      </c>
      <c r="D45" s="23">
        <f>D43*$D$34</f>
        <v>4.9060000000000006</v>
      </c>
      <c r="E45" t="s">
        <v>79</v>
      </c>
      <c r="F45" t="s">
        <v>112</v>
      </c>
      <c r="H45" s="23">
        <f>H43*$D$34</f>
        <v>14.718</v>
      </c>
      <c r="I45" t="s">
        <v>79</v>
      </c>
      <c r="J45" s="33"/>
      <c r="K45" s="33"/>
      <c r="L45" s="33"/>
      <c r="M45" s="33"/>
      <c r="N45" s="31"/>
    </row>
    <row r="46" spans="1:14" x14ac:dyDescent="0.35">
      <c r="H46" s="31"/>
      <c r="I46" s="31"/>
      <c r="J46" s="31"/>
      <c r="K46" s="31"/>
      <c r="L46" s="31"/>
      <c r="M46" s="31"/>
      <c r="N46" s="31"/>
    </row>
    <row r="47" spans="1:14" x14ac:dyDescent="0.35">
      <c r="A47" t="s">
        <v>104</v>
      </c>
      <c r="D47" s="26">
        <v>0.3</v>
      </c>
      <c r="E47" t="s">
        <v>80</v>
      </c>
      <c r="F47" t="s">
        <v>104</v>
      </c>
      <c r="H47" s="26">
        <v>0.8</v>
      </c>
      <c r="I47" t="s">
        <v>80</v>
      </c>
      <c r="J47" s="31"/>
      <c r="K47" s="31"/>
      <c r="L47" s="31"/>
      <c r="M47" s="31"/>
      <c r="N47" s="31"/>
    </row>
    <row r="48" spans="1:14" x14ac:dyDescent="0.35">
      <c r="A48" t="s">
        <v>105</v>
      </c>
      <c r="D48" s="28">
        <f>D47*E33</f>
        <v>0.68560636833962774</v>
      </c>
      <c r="E48" t="s">
        <v>106</v>
      </c>
      <c r="F48" t="s">
        <v>105</v>
      </c>
      <c r="H48" s="28">
        <f>H47*E33</f>
        <v>1.8282836489056742</v>
      </c>
      <c r="I48" t="s">
        <v>106</v>
      </c>
    </row>
    <row r="49" spans="1:9" x14ac:dyDescent="0.35">
      <c r="A49" t="s">
        <v>112</v>
      </c>
      <c r="D49" s="23">
        <f>D47*$D$34</f>
        <v>7.359</v>
      </c>
      <c r="E49" t="s">
        <v>79</v>
      </c>
      <c r="F49" t="s">
        <v>112</v>
      </c>
      <c r="H49" s="23">
        <f>H47*$D$34</f>
        <v>19.624000000000002</v>
      </c>
      <c r="I49" t="s">
        <v>79</v>
      </c>
    </row>
    <row r="50" spans="1:9" x14ac:dyDescent="0.35">
      <c r="H50" s="31"/>
      <c r="I50" s="33"/>
    </row>
    <row r="51" spans="1:9" x14ac:dyDescent="0.35">
      <c r="A51" t="s">
        <v>104</v>
      </c>
      <c r="D51" s="26">
        <v>0.4</v>
      </c>
      <c r="E51" t="s">
        <v>80</v>
      </c>
      <c r="F51" t="s">
        <v>104</v>
      </c>
      <c r="H51" s="26">
        <v>1</v>
      </c>
      <c r="I51" t="s">
        <v>80</v>
      </c>
    </row>
    <row r="52" spans="1:9" x14ac:dyDescent="0.35">
      <c r="A52" t="s">
        <v>105</v>
      </c>
      <c r="D52" s="28">
        <f>D51*E33</f>
        <v>0.91414182445283709</v>
      </c>
      <c r="E52" t="s">
        <v>106</v>
      </c>
      <c r="F52" t="s">
        <v>105</v>
      </c>
      <c r="H52" s="28">
        <f>H51*E33</f>
        <v>2.2853545611320927</v>
      </c>
      <c r="I52" t="s">
        <v>106</v>
      </c>
    </row>
    <row r="53" spans="1:9" x14ac:dyDescent="0.35">
      <c r="A53" t="s">
        <v>107</v>
      </c>
      <c r="D53" s="23">
        <f>D51*$D$34</f>
        <v>9.8120000000000012</v>
      </c>
      <c r="E53" t="s">
        <v>79</v>
      </c>
      <c r="F53" t="s">
        <v>112</v>
      </c>
      <c r="H53" s="23">
        <f>H51*$D$34</f>
        <v>24.53</v>
      </c>
      <c r="I53" t="s">
        <v>79</v>
      </c>
    </row>
  </sheetData>
  <phoneticPr fontId="14" type="noConversion"/>
  <pageMargins left="0.75" right="0.75" top="1" bottom="1" header="0.5" footer="0.5"/>
  <pageSetup paperSize="9" scale="59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M6</vt:lpstr>
      <vt:lpstr>Print</vt:lpstr>
      <vt:lpstr>Print!Print_Area</vt:lpstr>
    </vt:vector>
  </TitlesOfParts>
  <Company>ETH Zürich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 Reiter</dc:creator>
  <cp:lastModifiedBy>joburger</cp:lastModifiedBy>
  <cp:lastPrinted>2019-10-24T07:10:32Z</cp:lastPrinted>
  <dcterms:created xsi:type="dcterms:W3CDTF">2014-06-18T08:59:12Z</dcterms:created>
  <dcterms:modified xsi:type="dcterms:W3CDTF">2019-10-24T10:14:06Z</dcterms:modified>
</cp:coreProperties>
</file>