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ERCADOS FINANCIEROS Y VALUACIÓN DE INSTRUMENTOS\"/>
    </mc:Choice>
  </mc:AlternateContent>
  <xr:revisionPtr revIDLastSave="0" documentId="13_ncr:1_{87EC2CB6-9ED6-44D3-BE92-34E271C9C75B}" xr6:coauthVersionLast="47" xr6:coauthVersionMax="47" xr10:uidLastSave="{00000000-0000-0000-0000-000000000000}"/>
  <bookViews>
    <workbookView xWindow="-120" yWindow="-120" windowWidth="20730" windowHeight="11160" xr2:uid="{DCEF041E-3A35-403B-A08D-A281BFEBA79E}"/>
  </bookViews>
  <sheets>
    <sheet name="E10" sheetId="1" r:id="rId1"/>
    <sheet name="E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M5" i="1"/>
  <c r="M4" i="1" a="1"/>
  <c r="M4" i="1" s="1"/>
  <c r="J10" i="1"/>
  <c r="J11" i="1"/>
  <c r="J12" i="1"/>
  <c r="J13" i="1"/>
  <c r="J14" i="1"/>
  <c r="J15" i="1"/>
  <c r="J16" i="1"/>
  <c r="J17" i="1"/>
  <c r="J9" i="1"/>
  <c r="H9" i="1"/>
  <c r="I17" i="1"/>
  <c r="I10" i="1"/>
  <c r="I11" i="1"/>
  <c r="I12" i="1"/>
  <c r="I13" i="1"/>
  <c r="I14" i="1"/>
  <c r="I15" i="1"/>
  <c r="I16" i="1"/>
  <c r="I9" i="1"/>
  <c r="M3" i="1"/>
  <c r="L4" i="1"/>
  <c r="H10" i="1"/>
  <c r="H11" i="1"/>
  <c r="H12" i="1"/>
  <c r="H13" i="1"/>
  <c r="H14" i="1"/>
  <c r="H15" i="1"/>
  <c r="H16" i="1"/>
  <c r="H17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K9" i="1"/>
  <c r="J4" i="1"/>
  <c r="J5" i="1"/>
  <c r="H4" i="1"/>
  <c r="G4" i="1"/>
  <c r="G5" i="1"/>
  <c r="A9" i="1"/>
  <c r="J3" i="1"/>
  <c r="B3" i="1"/>
  <c r="G3" i="1"/>
  <c r="L20" i="1"/>
  <c r="L10" i="1"/>
  <c r="L11" i="1"/>
  <c r="L12" i="1"/>
  <c r="L13" i="1"/>
  <c r="L14" i="1"/>
  <c r="L15" i="1"/>
  <c r="L16" i="1"/>
  <c r="L17" i="1"/>
  <c r="L18" i="1"/>
  <c r="L19" i="1"/>
  <c r="K28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L9" i="1"/>
  <c r="D3" i="1"/>
  <c r="K3" i="1"/>
  <c r="L3" i="1" s="1"/>
  <c r="I3" i="1"/>
  <c r="I17" i="2"/>
  <c r="F15" i="2"/>
  <c r="F16" i="2"/>
  <c r="F17" i="2"/>
  <c r="F14" i="2"/>
  <c r="D15" i="2"/>
  <c r="D16" i="2"/>
  <c r="D17" i="2"/>
  <c r="D14" i="2"/>
  <c r="O10" i="2"/>
  <c r="O9" i="2"/>
  <c r="O8" i="2"/>
  <c r="N9" i="2"/>
  <c r="N8" i="2"/>
  <c r="M9" i="2"/>
  <c r="M8" i="2"/>
  <c r="L10" i="2"/>
  <c r="L9" i="2"/>
  <c r="L8" i="2"/>
  <c r="K9" i="2"/>
  <c r="K8" i="2"/>
  <c r="H2" i="1"/>
  <c r="J2" i="1" s="1"/>
  <c r="F9" i="2"/>
  <c r="F8" i="2"/>
  <c r="D9" i="2"/>
  <c r="H9" i="2" s="1"/>
  <c r="I9" i="2" s="1"/>
  <c r="J9" i="2" s="1"/>
  <c r="D8" i="2"/>
  <c r="H8" i="2" s="1"/>
  <c r="I8" i="2" s="1"/>
  <c r="J8" i="2" s="1"/>
  <c r="B4" i="2"/>
  <c r="A4" i="2"/>
  <c r="H3" i="1"/>
  <c r="P10" i="1"/>
  <c r="P11" i="1"/>
  <c r="P12" i="1"/>
  <c r="P13" i="1"/>
  <c r="P14" i="1"/>
  <c r="P15" i="1"/>
  <c r="P16" i="1"/>
  <c r="P17" i="1"/>
  <c r="P18" i="1"/>
  <c r="P19" i="1"/>
  <c r="P20" i="1"/>
  <c r="P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9" i="1"/>
  <c r="M2" i="1" s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9" i="1"/>
  <c r="D4" i="1"/>
  <c r="D2" i="1"/>
  <c r="C3" i="1"/>
  <c r="B4" i="1"/>
  <c r="C4" i="1" s="1"/>
  <c r="B2" i="1"/>
  <c r="C2" i="1" s="1"/>
  <c r="F3" i="1"/>
  <c r="F4" i="1"/>
  <c r="F2" i="1"/>
  <c r="G2" i="1" s="1"/>
  <c r="I2" i="1" l="1"/>
  <c r="K2" i="1" s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<sst xmlns="http://schemas.openxmlformats.org/spreadsheetml/2006/main" count="55" uniqueCount="52">
  <si>
    <t>Tasas anuales</t>
  </si>
  <si>
    <t>Tasas de rendimineto</t>
  </si>
  <si>
    <t>Factor de Descuento</t>
  </si>
  <si>
    <t>TC=</t>
  </si>
  <si>
    <t>Valor del cupón</t>
  </si>
  <si>
    <t>VN=</t>
  </si>
  <si>
    <t>Precio del Bono con sus determinados periodos de cuponación</t>
  </si>
  <si>
    <t>Duración</t>
  </si>
  <si>
    <t>Periodos de Cuponación(T)</t>
  </si>
  <si>
    <t>Anualidad temporal (T)</t>
  </si>
  <si>
    <t>Anualidad Creciente Temporal (T)</t>
  </si>
  <si>
    <t>DM</t>
  </si>
  <si>
    <t>t</t>
  </si>
  <si>
    <t>t+1</t>
  </si>
  <si>
    <t>V1</t>
  </si>
  <si>
    <t>V2</t>
  </si>
  <si>
    <t>Convexidad</t>
  </si>
  <si>
    <t>Bono A</t>
  </si>
  <si>
    <t>Bono B</t>
  </si>
  <si>
    <t>TC</t>
  </si>
  <si>
    <t>Periodos de cuponación</t>
  </si>
  <si>
    <t>VN</t>
  </si>
  <si>
    <t>ianual</t>
  </si>
  <si>
    <t>Tasa de rendimiento efectiva</t>
  </si>
  <si>
    <t xml:space="preserve"> </t>
  </si>
  <si>
    <t>Valuación a tiempo 0</t>
  </si>
  <si>
    <t xml:space="preserve">Plazo </t>
  </si>
  <si>
    <t>Plazo</t>
  </si>
  <si>
    <t>Días entre cupón</t>
  </si>
  <si>
    <t>Tasa i</t>
  </si>
  <si>
    <t>Tasa r</t>
  </si>
  <si>
    <t>Precio</t>
  </si>
  <si>
    <t>Portafolio</t>
  </si>
  <si>
    <t>$ cupon</t>
  </si>
  <si>
    <t>Factor de descuento</t>
  </si>
  <si>
    <t>Anualidad</t>
  </si>
  <si>
    <t># Cupones(T)</t>
  </si>
  <si>
    <t>Anualidad Creciente</t>
  </si>
  <si>
    <t>Ponderador</t>
  </si>
  <si>
    <t>Duración en distintos periodos de tiempo</t>
  </si>
  <si>
    <t>Duración comparable</t>
  </si>
  <si>
    <t>Tiempos</t>
  </si>
  <si>
    <t>v^(t+2)</t>
  </si>
  <si>
    <t>T_t</t>
  </si>
  <si>
    <t>Convexidad=</t>
  </si>
  <si>
    <t>F_t 1</t>
  </si>
  <si>
    <t>F_t 2</t>
  </si>
  <si>
    <t>k</t>
  </si>
  <si>
    <t>t_k</t>
  </si>
  <si>
    <t>F_t_k</t>
  </si>
  <si>
    <t>v^t_k</t>
  </si>
  <si>
    <t>t_k 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</si>
</sst>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"/>
    <numFmt numFmtId="166" formatCode="0.00000"/>
    <numFmt numFmtId="167" formatCode="0.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  <xf numFmtId="9" fontId="0" fillId="0" borderId="0" xfId="1" applyFont="1"/>
    <xf numFmtId="2" fontId="0" fillId="0" borderId="0" xfId="1" applyNumberFormat="1" applyFont="1"/>
    <xf numFmtId="165" fontId="0" fillId="0" borderId="0" xfId="1" applyNumberFormat="1" applyFon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65" fontId="0" fillId="3" borderId="0" xfId="0" applyNumberFormat="1" applyFill="1"/>
    <xf numFmtId="164" fontId="0" fillId="3" borderId="0" xfId="1" applyNumberFormat="1" applyFont="1" applyFill="1"/>
    <xf numFmtId="166" fontId="0" fillId="0" borderId="0" xfId="0" applyNumberFormat="1"/>
    <xf numFmtId="16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1E5E-83E6-4655-9B18-13BA1BA50452}">
  <dimension ref="A1:P28"/>
  <sheetViews>
    <sheetView tabSelected="1" topLeftCell="E1" workbookViewId="0">
      <selection activeCell="L4" sqref="L4"/>
    </sheetView>
  </sheetViews>
  <sheetFormatPr baseColWidth="10" defaultRowHeight="15" x14ac:dyDescent="0.25"/>
  <cols>
    <col min="3" max="3" width="32.140625" customWidth="1"/>
    <col min="4" max="4" width="20.5703125" customWidth="1"/>
    <col min="5" max="9" width="22.140625" customWidth="1"/>
    <col min="10" max="10" width="21.28515625" customWidth="1"/>
    <col min="11" max="11" width="19.7109375" customWidth="1"/>
    <col min="13" max="13" width="13" customWidth="1"/>
  </cols>
  <sheetData>
    <row r="1" spans="1:16" ht="40.5" customHeight="1" x14ac:dyDescent="0.25">
      <c r="A1" s="1">
        <v>46312</v>
      </c>
      <c r="C1" t="s">
        <v>8</v>
      </c>
      <c r="D1" t="s">
        <v>4</v>
      </c>
      <c r="E1" t="s">
        <v>0</v>
      </c>
      <c r="F1" t="s">
        <v>1</v>
      </c>
      <c r="G1" t="s">
        <v>2</v>
      </c>
      <c r="H1" t="s">
        <v>9</v>
      </c>
      <c r="I1" t="s">
        <v>10</v>
      </c>
      <c r="J1" s="4" t="s">
        <v>6</v>
      </c>
      <c r="K1" t="s">
        <v>7</v>
      </c>
      <c r="L1" t="s">
        <v>11</v>
      </c>
      <c r="M1" t="s">
        <v>16</v>
      </c>
    </row>
    <row r="2" spans="1:16" x14ac:dyDescent="0.25">
      <c r="A2" s="1">
        <v>42712</v>
      </c>
      <c r="B2">
        <f>$A$1-A2</f>
        <v>3600</v>
      </c>
      <c r="C2">
        <f>B2/180</f>
        <v>20</v>
      </c>
      <c r="D2" s="3">
        <f>$B$6*$B$7*(1/2)</f>
        <v>3.6249999999999996</v>
      </c>
      <c r="E2" s="2">
        <v>5.2699999999999997E-2</v>
      </c>
      <c r="F2" s="2">
        <f>-1+(1+E2)^(1/2)</f>
        <v>2.6011695839769589E-2</v>
      </c>
      <c r="G2">
        <f>(1+F2)^(-1)</f>
        <v>0.9746477589434499</v>
      </c>
      <c r="H2">
        <f>(1-(G2^(ROUNDDOWN(C2,0))))/F2</f>
        <v>15.441211643829284</v>
      </c>
      <c r="I2">
        <f>((H2*G2^(-1))-(C2*G2^(C2)))/(F2)</f>
        <v>149.00626940732101</v>
      </c>
      <c r="J2">
        <f xml:space="preserve"> (D2*H2)+($B$6*G2^(C2))</f>
        <v>115.80918214120156</v>
      </c>
      <c r="K2">
        <f>((D2*I2)+(C2*$B$6*G2^(C2)))/J2</f>
        <v>14.997459554893341</v>
      </c>
      <c r="L2">
        <f>K2*G2</f>
        <v>14.617240345021825</v>
      </c>
      <c r="M2">
        <f>SUMPRODUCT(K9:K28,M9:M28,N9:N28,O9:O28)/J2</f>
        <v>268.38903997279277</v>
      </c>
    </row>
    <row r="3" spans="1:16" x14ac:dyDescent="0.25">
      <c r="A3" s="10">
        <v>44152</v>
      </c>
      <c r="B3" s="11">
        <f>$A$1-A3</f>
        <v>2160</v>
      </c>
      <c r="C3" s="11">
        <f t="shared" ref="C3:C4" si="0">B3/180</f>
        <v>12</v>
      </c>
      <c r="D3" s="12">
        <f>$B$6*$B$7*(1/2)</f>
        <v>3.6249999999999996</v>
      </c>
      <c r="E3" s="13">
        <v>4.2500000000000003E-2</v>
      </c>
      <c r="F3" s="13">
        <f t="shared" ref="F3:F4" si="1">-1+(1+E3)^(1/2)</f>
        <v>2.1028892833106827E-2</v>
      </c>
      <c r="G3" s="11">
        <f>(1+F3)^(-1)</f>
        <v>0.97940421374878361</v>
      </c>
      <c r="H3" s="11">
        <f t="shared" ref="H3" si="2">(1-(G3^(ROUNDDOWN(C3,0))))/F3</f>
        <v>10.508824767266439</v>
      </c>
      <c r="I3" s="11">
        <f>((H3*G3^(-1))-(C3*G3^(C3)))/(F3)</f>
        <v>65.703940100777544</v>
      </c>
      <c r="J3" s="11">
        <f>(D3*H3)+($B$6*G3^(C3))</f>
        <v>115.99559479806636</v>
      </c>
      <c r="K3" s="11">
        <f>((D3*I3)+(C3*$B$6*G3^(C3)))/J3</f>
        <v>10.112367155908393</v>
      </c>
      <c r="L3" s="11">
        <f>K3*G3</f>
        <v>9.9040950034714825</v>
      </c>
      <c r="M3" s="11">
        <f>SUMPRODUCT(L9:L20,M9:M20,N9:N20,P9:P20)/J3</f>
        <v>118.52290508642342</v>
      </c>
    </row>
    <row r="4" spans="1:16" x14ac:dyDescent="0.25">
      <c r="A4" s="1">
        <v>44866</v>
      </c>
      <c r="B4">
        <f t="shared" ref="B4" si="3">$A$1-A4</f>
        <v>1446</v>
      </c>
      <c r="C4" s="14">
        <f t="shared" si="0"/>
        <v>8.0333333333333332</v>
      </c>
      <c r="D4" s="3">
        <f t="shared" ref="D4" si="4">$B$6*$B$7*(1/2)</f>
        <v>3.6249999999999996</v>
      </c>
      <c r="E4" s="2">
        <v>9.2600000000000002E-2</v>
      </c>
      <c r="F4" s="2">
        <f t="shared" si="1"/>
        <v>4.5275083411060679E-2</v>
      </c>
      <c r="G4">
        <f>(1+F4)^(-1)</f>
        <v>0.95668596321715249</v>
      </c>
      <c r="H4">
        <f>(1-(G4^(ROUNDDOWN(C4,0))))/F4</f>
        <v>6.5884795057489161</v>
      </c>
      <c r="J4" s="11">
        <f>(D4*H4)+($B$6*G4^(C4))</f>
        <v>93.950346670959746</v>
      </c>
      <c r="K4">
        <f>SUMPRODUCT(F9:F17,G9:G17,H9:H17)/J5</f>
        <v>7.0778579528024927</v>
      </c>
      <c r="L4" s="11">
        <f>K4*G4</f>
        <v>6.7712873530910356</v>
      </c>
      <c r="M4" t="e" cm="1">
        <f t="array" ref="M4">SUMAPRO</f>
        <v>#NAME?</v>
      </c>
    </row>
    <row r="5" spans="1:16" x14ac:dyDescent="0.25">
      <c r="A5" s="1"/>
      <c r="E5" s="2"/>
      <c r="F5" s="2"/>
      <c r="G5" s="15">
        <f>$G$4^(A9)</f>
        <v>0.99852508580696053</v>
      </c>
      <c r="J5">
        <f>(((D4*H4)+($B$6*G4^(ROUNDDOWN(C4,0))))+(A9*D4))*G5</f>
        <v>94.035776058485553</v>
      </c>
      <c r="M5">
        <f>SUMPRODUCT(F9:F17,I9:I17,G9:G17,J9:J17)/J5</f>
        <v>55.993365520979999</v>
      </c>
    </row>
    <row r="6" spans="1:16" x14ac:dyDescent="0.25">
      <c r="A6" t="s">
        <v>5</v>
      </c>
      <c r="B6">
        <v>100</v>
      </c>
    </row>
    <row r="7" spans="1:16" x14ac:dyDescent="0.25">
      <c r="A7" t="s">
        <v>3</v>
      </c>
      <c r="B7" s="2">
        <v>7.2499999999999995E-2</v>
      </c>
    </row>
    <row r="8" spans="1:16" x14ac:dyDescent="0.25">
      <c r="E8" t="s">
        <v>47</v>
      </c>
      <c r="F8" s="14" t="s">
        <v>48</v>
      </c>
      <c r="G8" t="s">
        <v>49</v>
      </c>
      <c r="H8" t="s">
        <v>50</v>
      </c>
      <c r="I8" t="s">
        <v>51</v>
      </c>
      <c r="K8" t="s">
        <v>45</v>
      </c>
      <c r="L8" t="s">
        <v>46</v>
      </c>
      <c r="M8" t="s">
        <v>12</v>
      </c>
      <c r="N8" t="s">
        <v>13</v>
      </c>
      <c r="O8" t="s">
        <v>14</v>
      </c>
      <c r="P8" t="s">
        <v>15</v>
      </c>
    </row>
    <row r="9" spans="1:16" x14ac:dyDescent="0.25">
      <c r="A9" s="14">
        <f>C4-ROUNDDOWN(C4,0)</f>
        <v>3.3333333333333215E-2</v>
      </c>
      <c r="C9" s="5"/>
      <c r="E9">
        <v>0</v>
      </c>
      <c r="F9">
        <f>E9+$A$9</f>
        <v>3.3333333333333215E-2</v>
      </c>
      <c r="G9">
        <f>$D$2</f>
        <v>3.6249999999999996</v>
      </c>
      <c r="H9">
        <f>$G$4^(F9)</f>
        <v>0.99852508580696053</v>
      </c>
      <c r="I9" s="14">
        <f>F9+1</f>
        <v>1.0333333333333332</v>
      </c>
      <c r="J9" s="3">
        <f>$G$4^(F9+2)</f>
        <v>0.91389811990386294</v>
      </c>
      <c r="K9">
        <f>$B$6*$B$7*(1/2)</f>
        <v>3.6249999999999996</v>
      </c>
      <c r="L9">
        <f>$B$6*$B$7*(1/2)</f>
        <v>3.6249999999999996</v>
      </c>
      <c r="M9">
        <v>1</v>
      </c>
      <c r="N9">
        <f>M9+1</f>
        <v>2</v>
      </c>
      <c r="O9">
        <f>$G$2^(M9+2)</f>
        <v>0.92585519040890085</v>
      </c>
      <c r="P9">
        <f>$G$3^(M9+2)</f>
        <v>0.93947646402761031</v>
      </c>
    </row>
    <row r="10" spans="1:16" x14ac:dyDescent="0.25">
      <c r="E10">
        <v>1</v>
      </c>
      <c r="F10">
        <f t="shared" ref="F10:F17" si="5">E10+$A$9</f>
        <v>1.0333333333333332</v>
      </c>
      <c r="G10">
        <f t="shared" ref="G10:G16" si="6">$D$2</f>
        <v>3.6249999999999996</v>
      </c>
      <c r="H10">
        <f t="shared" ref="H10:H17" si="7">$G$4^(F10)</f>
        <v>0.95527493351172188</v>
      </c>
      <c r="I10" s="14">
        <f t="shared" ref="I10:I16" si="8">F10+1</f>
        <v>2.0333333333333332</v>
      </c>
      <c r="J10" s="3">
        <f t="shared" ref="J10:J17" si="9">$G$4^(F10+2)</f>
        <v>0.87431350312257183</v>
      </c>
      <c r="K10">
        <f t="shared" ref="K10:L27" si="10">$B$6*$B$7*(1/2)</f>
        <v>3.6249999999999996</v>
      </c>
      <c r="L10">
        <f t="shared" si="10"/>
        <v>3.6249999999999996</v>
      </c>
      <c r="M10">
        <v>2</v>
      </c>
      <c r="N10">
        <f t="shared" ref="N10:N28" si="11">M10+1</f>
        <v>3</v>
      </c>
      <c r="O10">
        <f t="shared" ref="O10:O28" si="12">$G$2^(M10+2)</f>
        <v>0.9023826864381963</v>
      </c>
      <c r="P10">
        <f t="shared" ref="P10:P20" si="13">$G$3^(M10+2)</f>
        <v>0.92012720758644906</v>
      </c>
    </row>
    <row r="11" spans="1:16" x14ac:dyDescent="0.25">
      <c r="E11">
        <v>2</v>
      </c>
      <c r="F11">
        <f t="shared" si="5"/>
        <v>2.0333333333333332</v>
      </c>
      <c r="G11">
        <f t="shared" si="6"/>
        <v>3.6249999999999996</v>
      </c>
      <c r="H11">
        <f t="shared" si="7"/>
        <v>0.91389811990386294</v>
      </c>
      <c r="I11" s="14">
        <f t="shared" si="8"/>
        <v>3.0333333333333332</v>
      </c>
      <c r="J11" s="3">
        <f t="shared" si="9"/>
        <v>0.83644345588858049</v>
      </c>
      <c r="K11">
        <f t="shared" si="10"/>
        <v>3.6249999999999996</v>
      </c>
      <c r="L11">
        <f t="shared" si="10"/>
        <v>3.6249999999999996</v>
      </c>
      <c r="M11">
        <v>3</v>
      </c>
      <c r="N11">
        <f t="shared" si="11"/>
        <v>4</v>
      </c>
      <c r="O11">
        <f t="shared" si="12"/>
        <v>0.8795052630463579</v>
      </c>
      <c r="P11">
        <f t="shared" si="13"/>
        <v>0.90117646429506992</v>
      </c>
    </row>
    <row r="12" spans="1:16" x14ac:dyDescent="0.25">
      <c r="E12">
        <v>3</v>
      </c>
      <c r="F12">
        <f t="shared" si="5"/>
        <v>3.0333333333333332</v>
      </c>
      <c r="G12">
        <f t="shared" si="6"/>
        <v>3.6249999999999996</v>
      </c>
      <c r="H12">
        <f t="shared" si="7"/>
        <v>0.87431350312257183</v>
      </c>
      <c r="I12" s="14">
        <f t="shared" si="8"/>
        <v>4.0333333333333332</v>
      </c>
      <c r="J12" s="3">
        <f t="shared" si="9"/>
        <v>0.80021371327345037</v>
      </c>
      <c r="K12">
        <f t="shared" si="10"/>
        <v>3.6249999999999996</v>
      </c>
      <c r="L12">
        <f t="shared" si="10"/>
        <v>3.6249999999999996</v>
      </c>
      <c r="M12">
        <v>4</v>
      </c>
      <c r="N12">
        <f t="shared" si="11"/>
        <v>5</v>
      </c>
      <c r="O12">
        <f t="shared" si="12"/>
        <v>0.85720783360710207</v>
      </c>
      <c r="P12">
        <f t="shared" si="13"/>
        <v>0.8826160264618218</v>
      </c>
    </row>
    <row r="13" spans="1:16" x14ac:dyDescent="0.25">
      <c r="E13">
        <v>4</v>
      </c>
      <c r="F13">
        <f t="shared" si="5"/>
        <v>4.0333333333333332</v>
      </c>
      <c r="G13">
        <f t="shared" si="6"/>
        <v>3.6249999999999996</v>
      </c>
      <c r="H13">
        <f t="shared" si="7"/>
        <v>0.83644345588858049</v>
      </c>
      <c r="I13" s="14">
        <f t="shared" si="8"/>
        <v>5.0333333333333332</v>
      </c>
      <c r="J13" s="3">
        <f t="shared" si="9"/>
        <v>0.76555322706258522</v>
      </c>
      <c r="K13">
        <f t="shared" si="10"/>
        <v>3.6249999999999996</v>
      </c>
      <c r="L13">
        <f t="shared" si="10"/>
        <v>3.6249999999999996</v>
      </c>
      <c r="M13">
        <v>5</v>
      </c>
      <c r="N13">
        <f t="shared" si="11"/>
        <v>6</v>
      </c>
      <c r="O13">
        <f t="shared" si="12"/>
        <v>0.83547569397393173</v>
      </c>
      <c r="P13">
        <f t="shared" si="13"/>
        <v>0.86443785543891616</v>
      </c>
    </row>
    <row r="14" spans="1:16" x14ac:dyDescent="0.25">
      <c r="E14">
        <v>5</v>
      </c>
      <c r="F14">
        <f t="shared" si="5"/>
        <v>5.0333333333333332</v>
      </c>
      <c r="G14">
        <f t="shared" si="6"/>
        <v>3.6249999999999996</v>
      </c>
      <c r="H14">
        <f t="shared" si="7"/>
        <v>0.80021371327345037</v>
      </c>
      <c r="I14" s="14">
        <f t="shared" si="8"/>
        <v>6.0333333333333332</v>
      </c>
      <c r="J14" s="3">
        <f t="shared" si="9"/>
        <v>0.73239402642636875</v>
      </c>
      <c r="K14">
        <f t="shared" si="10"/>
        <v>3.6249999999999996</v>
      </c>
      <c r="L14">
        <f t="shared" si="10"/>
        <v>3.6249999999999996</v>
      </c>
      <c r="M14">
        <v>6</v>
      </c>
      <c r="N14">
        <f t="shared" si="11"/>
        <v>7</v>
      </c>
      <c r="O14">
        <f t="shared" si="12"/>
        <v>0.81429451278341614</v>
      </c>
      <c r="P14">
        <f t="shared" si="13"/>
        <v>0.84663407814083635</v>
      </c>
    </row>
    <row r="15" spans="1:16" x14ac:dyDescent="0.25">
      <c r="E15">
        <v>6</v>
      </c>
      <c r="F15">
        <f t="shared" si="5"/>
        <v>6.0333333333333332</v>
      </c>
      <c r="G15">
        <f t="shared" si="6"/>
        <v>3.6249999999999996</v>
      </c>
      <c r="H15">
        <f t="shared" si="7"/>
        <v>0.76555322706258522</v>
      </c>
      <c r="I15" s="14">
        <f t="shared" si="8"/>
        <v>7.0333333333333332</v>
      </c>
      <c r="J15" s="3">
        <f t="shared" si="9"/>
        <v>0.7006710846261992</v>
      </c>
      <c r="K15">
        <f t="shared" si="10"/>
        <v>3.6249999999999996</v>
      </c>
      <c r="L15">
        <f t="shared" si="10"/>
        <v>3.6249999999999996</v>
      </c>
      <c r="M15">
        <v>7</v>
      </c>
      <c r="N15">
        <f t="shared" si="11"/>
        <v>8</v>
      </c>
      <c r="O15">
        <f t="shared" si="12"/>
        <v>0.79365032200430496</v>
      </c>
      <c r="P15">
        <f t="shared" si="13"/>
        <v>0.82919698363445205</v>
      </c>
    </row>
    <row r="16" spans="1:16" x14ac:dyDescent="0.25">
      <c r="E16">
        <v>7</v>
      </c>
      <c r="F16">
        <f t="shared" si="5"/>
        <v>7.0333333333333332</v>
      </c>
      <c r="G16">
        <f t="shared" si="6"/>
        <v>3.6249999999999996</v>
      </c>
      <c r="H16">
        <f t="shared" si="7"/>
        <v>0.73239402642636875</v>
      </c>
      <c r="I16" s="14">
        <f t="shared" si="8"/>
        <v>8.0333333333333332</v>
      </c>
      <c r="J16" s="3">
        <f t="shared" si="9"/>
        <v>0.67032219149402239</v>
      </c>
      <c r="K16">
        <f t="shared" si="10"/>
        <v>3.6249999999999996</v>
      </c>
      <c r="L16">
        <f t="shared" si="10"/>
        <v>3.6249999999999996</v>
      </c>
      <c r="M16">
        <v>8</v>
      </c>
      <c r="N16">
        <f t="shared" si="11"/>
        <v>9</v>
      </c>
      <c r="O16">
        <f t="shared" si="12"/>
        <v>0.77352950772624318</v>
      </c>
      <c r="P16">
        <f t="shared" si="13"/>
        <v>0.81211901979936352</v>
      </c>
    </row>
    <row r="17" spans="5:16" x14ac:dyDescent="0.25">
      <c r="E17">
        <v>8</v>
      </c>
      <c r="F17">
        <f t="shared" si="5"/>
        <v>8.0333333333333332</v>
      </c>
      <c r="G17">
        <f>$D$2+100</f>
        <v>103.625</v>
      </c>
      <c r="H17">
        <f t="shared" si="7"/>
        <v>0.7006710846261992</v>
      </c>
      <c r="I17" s="14">
        <f>F17+1</f>
        <v>9.0333333333333332</v>
      </c>
      <c r="J17" s="3">
        <f t="shared" si="9"/>
        <v>0.64128783143529133</v>
      </c>
      <c r="K17">
        <f t="shared" si="10"/>
        <v>3.6249999999999996</v>
      </c>
      <c r="L17">
        <f t="shared" si="10"/>
        <v>3.6249999999999996</v>
      </c>
      <c r="M17">
        <v>9</v>
      </c>
      <c r="N17">
        <f t="shared" si="11"/>
        <v>10</v>
      </c>
      <c r="O17">
        <f t="shared" si="12"/>
        <v>0.75391880118201293</v>
      </c>
      <c r="P17">
        <f t="shared" si="13"/>
        <v>0.79539279005702845</v>
      </c>
    </row>
    <row r="18" spans="5:16" x14ac:dyDescent="0.25">
      <c r="K18">
        <f t="shared" si="10"/>
        <v>3.6249999999999996</v>
      </c>
      <c r="L18">
        <f t="shared" si="10"/>
        <v>3.6249999999999996</v>
      </c>
      <c r="M18">
        <v>10</v>
      </c>
      <c r="N18">
        <f t="shared" si="11"/>
        <v>11</v>
      </c>
      <c r="O18">
        <f t="shared" si="12"/>
        <v>0.73480526999738127</v>
      </c>
      <c r="P18">
        <f t="shared" si="13"/>
        <v>0.77901105016725525</v>
      </c>
    </row>
    <row r="19" spans="5:16" x14ac:dyDescent="0.25">
      <c r="K19">
        <f t="shared" si="10"/>
        <v>3.6249999999999996</v>
      </c>
      <c r="L19">
        <f t="shared" si="10"/>
        <v>3.6249999999999996</v>
      </c>
      <c r="M19">
        <v>11</v>
      </c>
      <c r="N19">
        <f t="shared" si="11"/>
        <v>12</v>
      </c>
      <c r="O19">
        <f t="shared" si="12"/>
        <v>0.71617630966278423</v>
      </c>
      <c r="P19">
        <f t="shared" si="13"/>
        <v>0.76296670509067488</v>
      </c>
    </row>
    <row r="20" spans="5:16" x14ac:dyDescent="0.25">
      <c r="K20">
        <f t="shared" si="10"/>
        <v>3.6249999999999996</v>
      </c>
      <c r="L20">
        <f>$B$6*$B$7*(1/2)+100</f>
        <v>103.625</v>
      </c>
      <c r="M20">
        <v>12</v>
      </c>
      <c r="N20">
        <f t="shared" si="11"/>
        <v>13</v>
      </c>
      <c r="O20">
        <f t="shared" si="12"/>
        <v>0.69801963522122279</v>
      </c>
      <c r="P20">
        <f t="shared" si="13"/>
        <v>0.74725280591583254</v>
      </c>
    </row>
    <row r="21" spans="5:16" x14ac:dyDescent="0.25">
      <c r="K21">
        <f t="shared" si="10"/>
        <v>3.6249999999999996</v>
      </c>
      <c r="M21">
        <v>13</v>
      </c>
      <c r="N21">
        <f t="shared" si="11"/>
        <v>14</v>
      </c>
      <c r="O21">
        <f t="shared" si="12"/>
        <v>0.68032327316688923</v>
      </c>
    </row>
    <row r="22" spans="5:16" x14ac:dyDescent="0.25">
      <c r="K22">
        <f t="shared" si="10"/>
        <v>3.6249999999999996</v>
      </c>
      <c r="M22">
        <v>14</v>
      </c>
      <c r="N22">
        <f t="shared" si="11"/>
        <v>15</v>
      </c>
      <c r="O22">
        <f t="shared" si="12"/>
        <v>0.66307555354918102</v>
      </c>
    </row>
    <row r="23" spans="5:16" x14ac:dyDescent="0.25">
      <c r="K23">
        <f t="shared" si="10"/>
        <v>3.6249999999999996</v>
      </c>
      <c r="M23">
        <v>15</v>
      </c>
      <c r="N23">
        <f t="shared" si="11"/>
        <v>16</v>
      </c>
      <c r="O23">
        <f t="shared" si="12"/>
        <v>0.64626510227689682</v>
      </c>
    </row>
    <row r="24" spans="5:16" x14ac:dyDescent="0.25">
      <c r="K24">
        <f t="shared" si="10"/>
        <v>3.6249999999999996</v>
      </c>
      <c r="M24">
        <v>16</v>
      </c>
      <c r="N24">
        <f t="shared" si="11"/>
        <v>17</v>
      </c>
      <c r="O24">
        <f t="shared" si="12"/>
        <v>0.62988083361753688</v>
      </c>
    </row>
    <row r="25" spans="5:16" x14ac:dyDescent="0.25">
      <c r="K25">
        <f t="shared" si="10"/>
        <v>3.6249999999999996</v>
      </c>
      <c r="M25">
        <v>17</v>
      </c>
      <c r="N25">
        <f t="shared" si="11"/>
        <v>18</v>
      </c>
      <c r="O25">
        <f t="shared" si="12"/>
        <v>0.61391194288676432</v>
      </c>
    </row>
    <row r="26" spans="5:16" x14ac:dyDescent="0.25">
      <c r="K26">
        <f t="shared" si="10"/>
        <v>3.6249999999999996</v>
      </c>
      <c r="M26">
        <v>18</v>
      </c>
      <c r="N26">
        <f t="shared" si="11"/>
        <v>19</v>
      </c>
      <c r="O26">
        <f t="shared" si="12"/>
        <v>0.59834789932320409</v>
      </c>
    </row>
    <row r="27" spans="5:16" x14ac:dyDescent="0.25">
      <c r="K27">
        <f t="shared" si="10"/>
        <v>3.6249999999999996</v>
      </c>
      <c r="M27">
        <v>19</v>
      </c>
      <c r="N27">
        <f t="shared" si="11"/>
        <v>20</v>
      </c>
      <c r="O27">
        <f t="shared" si="12"/>
        <v>0.58317843914388179</v>
      </c>
    </row>
    <row r="28" spans="5:16" x14ac:dyDescent="0.25">
      <c r="K28">
        <f>$B$6*$B$7*(1/2)+100</f>
        <v>103.625</v>
      </c>
      <c r="M28">
        <v>20</v>
      </c>
      <c r="N28">
        <f t="shared" si="11"/>
        <v>21</v>
      </c>
      <c r="O28">
        <f t="shared" si="12"/>
        <v>0.56839355877572351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410F-6476-4BDC-811B-B93222E49104}">
  <dimension ref="A1:O17"/>
  <sheetViews>
    <sheetView workbookViewId="0">
      <selection activeCell="K20" sqref="K20"/>
    </sheetView>
  </sheetViews>
  <sheetFormatPr baseColWidth="10" defaultRowHeight="15" x14ac:dyDescent="0.25"/>
  <cols>
    <col min="1" max="1" width="14.140625" customWidth="1"/>
    <col min="3" max="3" width="17.7109375" customWidth="1"/>
    <col min="4" max="4" width="12.28515625" customWidth="1"/>
    <col min="8" max="8" width="13.42578125" customWidth="1"/>
    <col min="9" max="11" width="19.85546875" customWidth="1"/>
    <col min="12" max="12" width="15.7109375" customWidth="1"/>
    <col min="13" max="13" width="12.7109375" customWidth="1"/>
    <col min="14" max="14" width="17.28515625" customWidth="1"/>
    <col min="15" max="15" width="20" customWidth="1"/>
  </cols>
  <sheetData>
    <row r="1" spans="1:15" x14ac:dyDescent="0.25">
      <c r="A1" t="s">
        <v>17</v>
      </c>
      <c r="B1" t="s">
        <v>18</v>
      </c>
      <c r="E1" t="s">
        <v>21</v>
      </c>
      <c r="G1">
        <v>100</v>
      </c>
    </row>
    <row r="2" spans="1:15" x14ac:dyDescent="0.25">
      <c r="A2" s="6">
        <v>0.1</v>
      </c>
      <c r="B2" s="6">
        <v>0.08</v>
      </c>
      <c r="C2" t="s">
        <v>19</v>
      </c>
      <c r="E2" t="s">
        <v>22</v>
      </c>
      <c r="G2" s="2">
        <v>9.5670000000000005E-2</v>
      </c>
    </row>
    <row r="3" spans="1:15" x14ac:dyDescent="0.25">
      <c r="A3">
        <v>91</v>
      </c>
      <c r="B3">
        <v>182</v>
      </c>
      <c r="C3" t="s">
        <v>20</v>
      </c>
      <c r="E3" t="s">
        <v>26</v>
      </c>
      <c r="G3">
        <v>364</v>
      </c>
    </row>
    <row r="4" spans="1:15" x14ac:dyDescent="0.25">
      <c r="A4" s="2">
        <f>(1+$G$2)^(1/4)-1</f>
        <v>2.3104377006654131E-2</v>
      </c>
      <c r="B4" s="2">
        <f>(1+$G$2)^(1/2)-1</f>
        <v>4.6742566250173923E-2</v>
      </c>
      <c r="C4" t="s">
        <v>23</v>
      </c>
    </row>
    <row r="5" spans="1:15" x14ac:dyDescent="0.25">
      <c r="C5" t="s">
        <v>25</v>
      </c>
    </row>
    <row r="7" spans="1:15" x14ac:dyDescent="0.25">
      <c r="A7" t="s">
        <v>24</v>
      </c>
      <c r="B7" t="s">
        <v>27</v>
      </c>
      <c r="C7" t="s">
        <v>28</v>
      </c>
      <c r="D7" t="s">
        <v>36</v>
      </c>
      <c r="E7" t="s">
        <v>19</v>
      </c>
      <c r="F7" t="s">
        <v>33</v>
      </c>
      <c r="G7" t="s">
        <v>29</v>
      </c>
      <c r="H7" t="s">
        <v>30</v>
      </c>
      <c r="I7" t="s">
        <v>34</v>
      </c>
      <c r="J7" t="s">
        <v>35</v>
      </c>
      <c r="K7" t="s">
        <v>37</v>
      </c>
      <c r="L7" t="s">
        <v>31</v>
      </c>
      <c r="M7" t="s">
        <v>38</v>
      </c>
      <c r="N7" t="s">
        <v>39</v>
      </c>
      <c r="O7" t="s">
        <v>40</v>
      </c>
    </row>
    <row r="8" spans="1:15" x14ac:dyDescent="0.25">
      <c r="A8" t="s">
        <v>17</v>
      </c>
      <c r="B8">
        <v>364</v>
      </c>
      <c r="C8">
        <v>91</v>
      </c>
      <c r="D8">
        <f>B8/C8</f>
        <v>4</v>
      </c>
      <c r="E8" s="2">
        <v>0.1</v>
      </c>
      <c r="F8" s="7">
        <f>$G$1*E8*(C8/B8)</f>
        <v>2.5</v>
      </c>
      <c r="G8" s="2">
        <v>9.5670000000000005E-2</v>
      </c>
      <c r="H8" s="2">
        <f>(1+G8)^(1/D8)-1</f>
        <v>2.3104377006654131E-2</v>
      </c>
      <c r="I8" s="8">
        <f>(1+H8)^(-1)</f>
        <v>0.97741738035150261</v>
      </c>
      <c r="J8" s="8">
        <f>(1-I8^(D8))/H8</f>
        <v>3.7792162278665713</v>
      </c>
      <c r="K8" s="8">
        <f>((J8*(I8^(-1)) )-(D8*(I8^(D8))))/H8</f>
        <v>9.3401527509654692</v>
      </c>
      <c r="L8">
        <f>(F8*J8)+($G$1*(I8^(D8)))</f>
        <v>100.71639691783697</v>
      </c>
      <c r="M8">
        <f>L8/$L$10</f>
        <v>0.50495326987017364</v>
      </c>
      <c r="N8">
        <f>((F8*K8)+($G$1*D8*(I8^(D8))))/L8</f>
        <v>3.8566094415288359</v>
      </c>
      <c r="O8">
        <f>N8</f>
        <v>3.8566094415288359</v>
      </c>
    </row>
    <row r="9" spans="1:15" x14ac:dyDescent="0.25">
      <c r="A9" t="s">
        <v>18</v>
      </c>
      <c r="B9">
        <v>364</v>
      </c>
      <c r="C9">
        <v>182</v>
      </c>
      <c r="D9">
        <f>B9/C9</f>
        <v>2</v>
      </c>
      <c r="E9" s="2">
        <v>0.08</v>
      </c>
      <c r="F9" s="7">
        <f>$G$1*E9*(C9/B9)</f>
        <v>4</v>
      </c>
      <c r="G9" s="2">
        <v>9.5670000000000005E-2</v>
      </c>
      <c r="H9" s="2">
        <f>(1+G9)^(1/D9)-1</f>
        <v>4.6742566250173923E-2</v>
      </c>
      <c r="I9" s="8">
        <f>(1+H9)^(-1)</f>
        <v>0.95534473541319387</v>
      </c>
      <c r="J9" s="8">
        <f>(1-I9^(D9))/H9</f>
        <v>1.8680282988949004</v>
      </c>
      <c r="K9" s="8">
        <f>((J9*(I9^(-1)) )-(D9*(I9^(D9))))/H9</f>
        <v>2.7807118623766298</v>
      </c>
      <c r="L9">
        <f>(F9*J9)+($G$1*(I9^(D9)))</f>
        <v>98.740469543750137</v>
      </c>
      <c r="M9">
        <f>L9/$L$10</f>
        <v>0.49504673012982642</v>
      </c>
      <c r="N9">
        <f>((F9*K9)+($G$1*D9*(I9^(D9))))/L9</f>
        <v>1.9612987566363607</v>
      </c>
      <c r="O9">
        <f>N9*2</f>
        <v>3.9225975132727213</v>
      </c>
    </row>
    <row r="10" spans="1:15" x14ac:dyDescent="0.25">
      <c r="A10" t="s">
        <v>32</v>
      </c>
      <c r="L10" s="9">
        <f>L8+L9</f>
        <v>199.45686646158711</v>
      </c>
      <c r="O10" s="9">
        <f>SUMPRODUCT(M8:M9,O8:O9)</f>
        <v>3.8892766206732192</v>
      </c>
    </row>
    <row r="13" spans="1:15" x14ac:dyDescent="0.25">
      <c r="C13" t="s">
        <v>41</v>
      </c>
      <c r="E13" t="s">
        <v>43</v>
      </c>
      <c r="F13" t="s">
        <v>42</v>
      </c>
    </row>
    <row r="14" spans="1:15" x14ac:dyDescent="0.25">
      <c r="C14">
        <v>1</v>
      </c>
      <c r="D14">
        <f>C14+1</f>
        <v>2</v>
      </c>
      <c r="E14">
        <v>2.5</v>
      </c>
      <c r="F14" s="3">
        <f>$I$8^(C14+2)</f>
        <v>0.93377054862016329</v>
      </c>
    </row>
    <row r="15" spans="1:15" x14ac:dyDescent="0.25">
      <c r="C15">
        <v>2</v>
      </c>
      <c r="D15">
        <f t="shared" ref="D15:D17" si="0">C15+1</f>
        <v>3</v>
      </c>
      <c r="E15">
        <v>6.5</v>
      </c>
      <c r="F15" s="3">
        <f t="shared" ref="F15:F17" si="1">$I$8^(C15+2)</f>
        <v>0.91268356348170543</v>
      </c>
    </row>
    <row r="16" spans="1:15" x14ac:dyDescent="0.25">
      <c r="C16">
        <v>3</v>
      </c>
      <c r="D16">
        <f t="shared" si="0"/>
        <v>4</v>
      </c>
      <c r="E16">
        <v>2.5</v>
      </c>
      <c r="F16" s="3">
        <f t="shared" si="1"/>
        <v>0.89207277770816285</v>
      </c>
    </row>
    <row r="17" spans="3:9" x14ac:dyDescent="0.25">
      <c r="C17">
        <v>4</v>
      </c>
      <c r="D17">
        <f t="shared" si="0"/>
        <v>5</v>
      </c>
      <c r="E17">
        <v>206.5</v>
      </c>
      <c r="F17" s="3">
        <f t="shared" si="1"/>
        <v>0.8719274374704008</v>
      </c>
      <c r="H17" t="s">
        <v>44</v>
      </c>
      <c r="I17" s="9">
        <f>SUMPRODUCT(C14:C17,D14:D17,E14:E17,F14:F17)/L10</f>
        <v>18.390372198639319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E10</vt:lpstr>
      <vt:lpstr>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2022-11-08T04:19:13Z</dcterms:created>
  <dcterms:modified xsi:type="dcterms:W3CDTF">2022-11-11T04:59:33Z</dcterms:modified>
</cp:coreProperties>
</file>