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aitreyr/Documents/HQ/Content Creation/TCO of Lambda/"/>
    </mc:Choice>
  </mc:AlternateContent>
  <xr:revisionPtr revIDLastSave="0" documentId="12_ncr:500000_{FEC2CCFB-DF3D-1046-99C0-53602493B05A}" xr6:coauthVersionLast="31" xr6:coauthVersionMax="31" xr10:uidLastSave="{00000000-0000-0000-0000-000000000000}"/>
  <bookViews>
    <workbookView xWindow="0" yWindow="440" windowWidth="38400" windowHeight="21080" tabRatio="500" activeTab="1" xr2:uid="{00000000-000D-0000-FFFF-FFFF00000000}"/>
  </bookViews>
  <sheets>
    <sheet name="Summary" sheetId="4" r:id="rId1"/>
    <sheet name="Solution Cost" sheetId="1" r:id="rId2"/>
    <sheet name="Transformations" sheetId="3" r:id="rId3"/>
    <sheet name="Service Pricing" sheetId="2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3" l="1"/>
  <c r="E7" i="3"/>
  <c r="C5" i="4"/>
  <c r="D5" i="4"/>
  <c r="B5" i="4"/>
  <c r="C3" i="4"/>
  <c r="D3" i="4"/>
  <c r="B3" i="4"/>
  <c r="C2" i="4"/>
  <c r="D2" i="4"/>
  <c r="B2" i="4"/>
  <c r="B33" i="1"/>
  <c r="B1" i="1"/>
  <c r="B3" i="1"/>
  <c r="C33" i="1"/>
  <c r="D33" i="1"/>
  <c r="B6" i="1"/>
  <c r="D8" i="3"/>
  <c r="D7" i="3"/>
  <c r="C21" i="1"/>
  <c r="C53" i="1"/>
  <c r="C54" i="1"/>
  <c r="D21" i="1"/>
  <c r="D53" i="1"/>
  <c r="D54" i="1"/>
  <c r="D56" i="1" s="1"/>
  <c r="B21" i="1"/>
  <c r="B53" i="1"/>
  <c r="B54" i="1"/>
  <c r="C21" i="2"/>
  <c r="C12" i="2"/>
  <c r="C11" i="2"/>
  <c r="C4" i="2"/>
  <c r="C56" i="1" l="1"/>
  <c r="B13" i="1"/>
  <c r="B14" i="1" s="1"/>
  <c r="B39" i="1" s="1"/>
  <c r="B44" i="1" s="1"/>
  <c r="B56" i="1"/>
  <c r="B15" i="1"/>
  <c r="B34" i="1"/>
  <c r="B35" i="1" s="1"/>
  <c r="B36" i="1" s="1"/>
  <c r="B40" i="1"/>
  <c r="B42" i="1" s="1"/>
  <c r="B45" i="1" s="1"/>
  <c r="D13" i="1"/>
  <c r="D14" i="1" s="1"/>
  <c r="C13" i="1"/>
  <c r="C14" i="1" s="1"/>
  <c r="C15" i="1" l="1"/>
  <c r="C40" i="1"/>
  <c r="C42" i="1" s="1"/>
  <c r="C45" i="1" s="1"/>
  <c r="C39" i="1"/>
  <c r="C44" i="1" s="1"/>
  <c r="C34" i="1"/>
  <c r="C35" i="1" s="1"/>
  <c r="C36" i="1" s="1"/>
  <c r="D39" i="1"/>
  <c r="D44" i="1" s="1"/>
  <c r="D15" i="1"/>
  <c r="D40" i="1"/>
  <c r="D42" i="1" s="1"/>
  <c r="D45" i="1" s="1"/>
  <c r="D34" i="1"/>
  <c r="D35" i="1" s="1"/>
  <c r="D36" i="1" s="1"/>
  <c r="B46" i="1"/>
  <c r="B4" i="4" s="1"/>
  <c r="B6" i="4" s="1"/>
  <c r="B20" i="1"/>
  <c r="B22" i="1" s="1"/>
  <c r="B23" i="1" s="1"/>
  <c r="B28" i="1" s="1"/>
  <c r="B16" i="1"/>
  <c r="B25" i="1" s="1"/>
  <c r="B27" i="1" s="1"/>
  <c r="B17" i="1"/>
  <c r="C46" i="1" l="1"/>
  <c r="C4" i="4" s="1"/>
  <c r="C6" i="4" s="1"/>
  <c r="B24" i="1"/>
  <c r="B29" i="1" s="1"/>
  <c r="D16" i="1"/>
  <c r="D25" i="1" s="1"/>
  <c r="D27" i="1" s="1"/>
  <c r="D17" i="1"/>
  <c r="D20" i="1"/>
  <c r="D22" i="1" s="1"/>
  <c r="D23" i="1" s="1"/>
  <c r="D28" i="1" s="1"/>
  <c r="D46" i="1"/>
  <c r="D4" i="4" s="1"/>
  <c r="D6" i="4" s="1"/>
  <c r="C20" i="1"/>
  <c r="C22" i="1" s="1"/>
  <c r="C23" i="1" s="1"/>
  <c r="C28" i="1" s="1"/>
  <c r="C17" i="1"/>
  <c r="C16" i="1"/>
  <c r="C25" i="1" s="1"/>
  <c r="C27" i="1" s="1"/>
  <c r="D24" i="1" l="1"/>
  <c r="D29" i="1" s="1"/>
  <c r="B30" i="1"/>
  <c r="B59" i="1" s="1"/>
  <c r="C24" i="1"/>
  <c r="C29" i="1" s="1"/>
  <c r="C30" i="1" l="1"/>
  <c r="C59" i="1" s="1"/>
  <c r="D30" i="1"/>
  <c r="D59" i="1" s="1"/>
</calcChain>
</file>

<file path=xl/sharedStrings.xml><?xml version="1.0" encoding="utf-8"?>
<sst xmlns="http://schemas.openxmlformats.org/spreadsheetml/2006/main" count="98" uniqueCount="79">
  <si>
    <t>Medium</t>
  </si>
  <si>
    <t>Large</t>
  </si>
  <si>
    <t>Peak Rate</t>
  </si>
  <si>
    <t>Peak to Average Ratio</t>
  </si>
  <si>
    <t>Peak Hours</t>
  </si>
  <si>
    <t>Average Hours</t>
  </si>
  <si>
    <t>Monthly Volume (KB)</t>
  </si>
  <si>
    <t>Monthly Volume (GB)</t>
  </si>
  <si>
    <t>Firehose</t>
  </si>
  <si>
    <t>per GB</t>
  </si>
  <si>
    <t>Monthly Volume (TB)</t>
  </si>
  <si>
    <t>500TB</t>
  </si>
  <si>
    <t>1.5TB</t>
  </si>
  <si>
    <t>per Gb</t>
  </si>
  <si>
    <t>S3</t>
  </si>
  <si>
    <t>50TB</t>
  </si>
  <si>
    <t>450TB</t>
  </si>
  <si>
    <t>RCU</t>
  </si>
  <si>
    <t>DDB</t>
  </si>
  <si>
    <t>per hour</t>
  </si>
  <si>
    <t>WCU</t>
  </si>
  <si>
    <t>Buffer Size</t>
  </si>
  <si>
    <t>MB</t>
  </si>
  <si>
    <t>Observed Lambda Stats</t>
  </si>
  <si>
    <t>Total Records</t>
  </si>
  <si>
    <t>Invocations</t>
  </si>
  <si>
    <t>Total Billed Duration</t>
  </si>
  <si>
    <t>Average Duration per Record</t>
  </si>
  <si>
    <t>ms</t>
  </si>
  <si>
    <t>Average Invocations per Record</t>
  </si>
  <si>
    <t xml:space="preserve">Small </t>
  </si>
  <si>
    <t>Daily Records</t>
  </si>
  <si>
    <t>Monthly Records</t>
  </si>
  <si>
    <t>Record Size (KB)</t>
  </si>
  <si>
    <t>S3 PUTs per Month based on Time only</t>
  </si>
  <si>
    <t>Buffer Time</t>
  </si>
  <si>
    <t>seconds</t>
  </si>
  <si>
    <t>Expected S3 PUTs (max of size and time-based)</t>
  </si>
  <si>
    <t>S3 PUTs per Month based on Size only</t>
  </si>
  <si>
    <t>Source Record Backup</t>
  </si>
  <si>
    <t>PUTs</t>
  </si>
  <si>
    <t>per 1000</t>
  </si>
  <si>
    <t xml:space="preserve">per </t>
  </si>
  <si>
    <t>Total PUTs (source backup + transformed)</t>
  </si>
  <si>
    <t>Transformed Records</t>
  </si>
  <si>
    <t>Compression Ratio</t>
  </si>
  <si>
    <t>Firehose Monthly Cost</t>
  </si>
  <si>
    <t>Lambda</t>
  </si>
  <si>
    <t>Memory (MB)</t>
  </si>
  <si>
    <t>Memory-Duration (GB-seconds)</t>
  </si>
  <si>
    <t>Duration (ms)</t>
  </si>
  <si>
    <t>Invocation Cost</t>
  </si>
  <si>
    <t>per</t>
  </si>
  <si>
    <t>Memory-Duration</t>
  </si>
  <si>
    <t>per GB-second</t>
  </si>
  <si>
    <t>Memory-Duration Cost</t>
  </si>
  <si>
    <t>DynamoDB</t>
  </si>
  <si>
    <t>Size (MB)</t>
  </si>
  <si>
    <t>RCU Cost</t>
  </si>
  <si>
    <t>WCU Cost</t>
  </si>
  <si>
    <t>Size Cost</t>
  </si>
  <si>
    <t>Total Cost</t>
  </si>
  <si>
    <t>S3 Totals</t>
  </si>
  <si>
    <t>DDB Totals</t>
  </si>
  <si>
    <t>Lambda Totals</t>
  </si>
  <si>
    <t>Stats:</t>
  </si>
  <si>
    <t>Record Size Rounded Up to 5KB</t>
  </si>
  <si>
    <t>Monthly Volume for Firehose (KB)</t>
  </si>
  <si>
    <t>Monthly Volume for Firehose (GB)</t>
  </si>
  <si>
    <t>Transformed Records Compressed (GB)</t>
  </si>
  <si>
    <t>Source Records Compressed (GB)</t>
  </si>
  <si>
    <t xml:space="preserve">Stats for Total Messages
N=	80
sum=	115750.000000000
min=	152.000000000
mean=	1446.875000000
p50=	1667.000000000
p75=	1914.000000000
p90=	1915.000000000
p99=	1916.000000000
p99.9=	1916.000000000
p99.99=	1916.000000000
max=	1916.000000000
stddev=	495.122873007
Stats for Billed Duration
N=	80
sum=	22100.000000000
min=	100.000000000
mean=	276.250000000
p50=	300.000000000
p75=	300.000000000
p90=	400.000000000
p99=	621.000000000
p99.9=	692.100000000
p99.99=	699.210000000
max=	700.000000000
stddev=	103.975658209
Total Log Size
   71006
</t>
  </si>
  <si>
    <t>1000TPS</t>
  </si>
  <si>
    <t>5000TPS</t>
  </si>
  <si>
    <t>units</t>
  </si>
  <si>
    <t>100TPS</t>
  </si>
  <si>
    <t>Small</t>
  </si>
  <si>
    <t>Totals</t>
  </si>
  <si>
    <t>Stats for Total Messages
N=	74
sum=	138000.000000000
min=	413.000000000
mean=	1864.864864865
p50=	1914.000000000
p75=	1914.000000000
p90=	1915.000000000
p99=	1917.000000000
p99.9=	1917.000000000
p99.99=	1917.000000000
max=	1917.000000000
stddev=	247.855849798
Stats for Billed Duration
N=	74
sum=	16900.000000000
min=	100.000000000
mean=	228.378378378
p50=	200.000000000
p75=	200.000000000
p90=	300.000000000
p99=	627.000000000
p99.9=	692.700000000
p99.99=	699.270000000
max=	700.000000000
stddev=	97.979962472
Total Log Size
   48385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</si>
</sst>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0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3" fontId="0" fillId="0" borderId="0" xfId="54" applyFont="1"/>
    <xf numFmtId="0" fontId="5" fillId="0" borderId="0" xfId="0" applyFont="1" applyAlignment="1">
      <alignment horizontal="center"/>
    </xf>
    <xf numFmtId="0" fontId="0" fillId="2" borderId="0" xfId="0" applyFill="1" applyAlignment="1">
      <alignment horizontal="left" indent="1"/>
    </xf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 applyAlignment="1">
      <alignment horizontal="left" indent="1"/>
    </xf>
    <xf numFmtId="44" fontId="0" fillId="3" borderId="0" xfId="0" applyNumberFormat="1" applyFill="1"/>
    <xf numFmtId="44" fontId="0" fillId="3" borderId="0" xfId="1" applyFont="1" applyFill="1"/>
    <xf numFmtId="0" fontId="0" fillId="3" borderId="0" xfId="0" applyFill="1" applyAlignment="1">
      <alignment horizontal="left"/>
    </xf>
    <xf numFmtId="44" fontId="0" fillId="3" borderId="0" xfId="1" applyFont="1" applyFill="1" applyAlignment="1">
      <alignment horizontal="left" indent="1"/>
    </xf>
    <xf numFmtId="0" fontId="0" fillId="0" borderId="0" xfId="0" quotePrefix="1" applyAlignment="1">
      <alignment wrapText="1"/>
    </xf>
    <xf numFmtId="0" fontId="0" fillId="4" borderId="0" xfId="0" applyFill="1"/>
    <xf numFmtId="43" fontId="0" fillId="4" borderId="0" xfId="54" applyFont="1" applyFill="1"/>
    <xf numFmtId="43" fontId="0" fillId="0" borderId="0" xfId="0" applyNumberFormat="1"/>
    <xf numFmtId="44" fontId="0" fillId="0" borderId="0" xfId="0" applyNumberFormat="1"/>
    <xf numFmtId="0" fontId="5" fillId="0" borderId="0" xfId="0" applyFont="1"/>
    <xf numFmtId="44" fontId="5" fillId="0" borderId="0" xfId="0" applyNumberFormat="1" applyFont="1"/>
    <xf numFmtId="37" fontId="0" fillId="0" borderId="0" xfId="54" applyNumberFormat="1" applyFont="1"/>
  </cellXfs>
  <cellStyles count="103">
    <cellStyle name="Comma" xfId="54" builtinId="3"/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50ED-89F8-3A45-8D1B-3B1250BF6576}">
  <dimension ref="A1:D6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B1" s="19" t="s">
        <v>76</v>
      </c>
      <c r="C1" s="19" t="s">
        <v>0</v>
      </c>
      <c r="D1" s="19" t="s">
        <v>1</v>
      </c>
    </row>
    <row r="2" spans="1:4" x14ac:dyDescent="0.2">
      <c r="A2" t="s">
        <v>8</v>
      </c>
      <c r="B2" s="18">
        <f>'Solution Cost'!B36</f>
        <v>11.9476318359375</v>
      </c>
      <c r="C2" s="18">
        <f>'Solution Cost'!C36</f>
        <v>119.476318359375</v>
      </c>
      <c r="D2" s="18">
        <f>'Solution Cost'!D36</f>
        <v>597.381591796875</v>
      </c>
    </row>
    <row r="3" spans="1:4" x14ac:dyDescent="0.2">
      <c r="A3" t="s">
        <v>14</v>
      </c>
      <c r="B3" s="18">
        <f>'Solution Cost'!B30</f>
        <v>1.0533892042037418</v>
      </c>
      <c r="C3" s="18">
        <f>'Solution Cost'!C30</f>
        <v>9.7562920420374191</v>
      </c>
      <c r="D3" s="18">
        <f>'Solution Cost'!D30</f>
        <v>48.771335210187097</v>
      </c>
    </row>
    <row r="4" spans="1:4" x14ac:dyDescent="0.2">
      <c r="A4" t="s">
        <v>47</v>
      </c>
      <c r="B4" s="18">
        <f>'Solution Cost'!B46</f>
        <v>0.14943915680345574</v>
      </c>
      <c r="C4" s="18">
        <f>'Solution Cost'!C46</f>
        <v>1.4943915680345574</v>
      </c>
      <c r="D4" s="18">
        <f>'Solution Cost'!D46</f>
        <v>7.471957840172788</v>
      </c>
    </row>
    <row r="5" spans="1:4" x14ac:dyDescent="0.2">
      <c r="A5" t="s">
        <v>56</v>
      </c>
      <c r="B5" s="18">
        <f>'Solution Cost'!B56</f>
        <v>4.6832500000000001</v>
      </c>
      <c r="C5" s="18">
        <f>'Solution Cost'!C56</f>
        <v>4.6832500000000001</v>
      </c>
      <c r="D5" s="18">
        <f>'Solution Cost'!D56</f>
        <v>4.6832500000000001</v>
      </c>
    </row>
    <row r="6" spans="1:4" x14ac:dyDescent="0.2">
      <c r="A6" s="19" t="s">
        <v>77</v>
      </c>
      <c r="B6" s="20">
        <f>SUM(B2:B5)</f>
        <v>17.833710196944697</v>
      </c>
      <c r="C6" s="20">
        <f t="shared" ref="C6:D6" si="0">SUM(C2:C5)</f>
        <v>135.41025196944696</v>
      </c>
      <c r="D6" s="20">
        <f t="shared" si="0"/>
        <v>658.3081348472349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16" workbookViewId="0">
      <selection activeCell="A64" sqref="A64"/>
    </sheetView>
  </sheetViews>
  <sheetFormatPr baseColWidth="10" defaultRowHeight="16" x14ac:dyDescent="0.2"/>
  <cols>
    <col min="1" max="1" width="40.33203125" bestFit="1" customWidth="1"/>
    <col min="2" max="2" width="16.5" bestFit="1" customWidth="1"/>
    <col min="3" max="4" width="17.5" bestFit="1" customWidth="1"/>
    <col min="5" max="6" width="18.5" bestFit="1" customWidth="1"/>
    <col min="7" max="7" width="18.5" customWidth="1"/>
    <col min="8" max="8" width="12.1640625" bestFit="1" customWidth="1"/>
    <col min="9" max="9" width="13.33203125" bestFit="1" customWidth="1"/>
    <col min="10" max="10" width="13.6640625" hidden="1" customWidth="1"/>
    <col min="11" max="11" width="22.33203125" bestFit="1" customWidth="1"/>
    <col min="12" max="12" width="11.1640625" bestFit="1" customWidth="1"/>
    <col min="13" max="13" width="24" bestFit="1" customWidth="1"/>
    <col min="14" max="14" width="20" bestFit="1" customWidth="1"/>
  </cols>
  <sheetData>
    <row r="1" spans="1:4" x14ac:dyDescent="0.2">
      <c r="A1" t="s">
        <v>3</v>
      </c>
      <c r="B1">
        <f>20%</f>
        <v>0.2</v>
      </c>
    </row>
    <row r="2" spans="1:4" x14ac:dyDescent="0.2">
      <c r="A2" t="s">
        <v>4</v>
      </c>
      <c r="B2">
        <v>4</v>
      </c>
    </row>
    <row r="3" spans="1:4" x14ac:dyDescent="0.2">
      <c r="A3" t="s">
        <v>5</v>
      </c>
      <c r="B3">
        <f>24-B2</f>
        <v>20</v>
      </c>
    </row>
    <row r="4" spans="1:4" x14ac:dyDescent="0.2">
      <c r="A4" t="s">
        <v>21</v>
      </c>
      <c r="B4">
        <v>100</v>
      </c>
      <c r="C4" t="s">
        <v>22</v>
      </c>
    </row>
    <row r="5" spans="1:4" x14ac:dyDescent="0.2">
      <c r="A5" t="s">
        <v>35</v>
      </c>
      <c r="B5">
        <v>300</v>
      </c>
      <c r="C5" t="s">
        <v>36</v>
      </c>
    </row>
    <row r="6" spans="1:4" x14ac:dyDescent="0.2">
      <c r="A6" s="15" t="s">
        <v>45</v>
      </c>
      <c r="B6" s="15">
        <f>396773/101226</f>
        <v>3.919674787110031</v>
      </c>
    </row>
    <row r="10" spans="1:4" x14ac:dyDescent="0.2">
      <c r="B10" s="5" t="s">
        <v>30</v>
      </c>
      <c r="C10" s="5" t="s">
        <v>0</v>
      </c>
      <c r="D10" s="5" t="s">
        <v>1</v>
      </c>
    </row>
    <row r="11" spans="1:4" x14ac:dyDescent="0.2">
      <c r="A11" t="s">
        <v>2</v>
      </c>
      <c r="B11">
        <v>100</v>
      </c>
      <c r="C11">
        <v>1000</v>
      </c>
      <c r="D11">
        <v>5000</v>
      </c>
    </row>
    <row r="12" spans="1:4" x14ac:dyDescent="0.2">
      <c r="A12" t="s">
        <v>33</v>
      </c>
      <c r="B12">
        <v>1</v>
      </c>
      <c r="C12">
        <v>1</v>
      </c>
      <c r="D12">
        <v>1</v>
      </c>
    </row>
    <row r="13" spans="1:4" x14ac:dyDescent="0.2">
      <c r="A13" t="s">
        <v>31</v>
      </c>
      <c r="B13">
        <f>B11*$B$2*3600+B11*$B$1*$B$3*3600</f>
        <v>2880000</v>
      </c>
      <c r="C13">
        <f t="shared" ref="C13:D13" si="0">C11*$B$2*3600+C11*$B$1*$B$3*3600</f>
        <v>28800000</v>
      </c>
      <c r="D13">
        <f t="shared" si="0"/>
        <v>144000000</v>
      </c>
    </row>
    <row r="14" spans="1:4" x14ac:dyDescent="0.2">
      <c r="A14" t="s">
        <v>32</v>
      </c>
      <c r="B14">
        <f>B13*30</f>
        <v>86400000</v>
      </c>
      <c r="C14">
        <f t="shared" ref="C14:D14" si="1">C13*30</f>
        <v>864000000</v>
      </c>
      <c r="D14">
        <f t="shared" si="1"/>
        <v>4320000000</v>
      </c>
    </row>
    <row r="15" spans="1:4" x14ac:dyDescent="0.2">
      <c r="A15" t="s">
        <v>6</v>
      </c>
      <c r="B15">
        <f>B14*B12</f>
        <v>86400000</v>
      </c>
      <c r="C15">
        <f t="shared" ref="C15:D15" si="2">C14*C12</f>
        <v>864000000</v>
      </c>
      <c r="D15">
        <f t="shared" si="2"/>
        <v>4320000000</v>
      </c>
    </row>
    <row r="16" spans="1:4" x14ac:dyDescent="0.2">
      <c r="A16" t="s">
        <v>7</v>
      </c>
      <c r="B16" s="4">
        <f>B15/(1024^2)</f>
        <v>82.3974609375</v>
      </c>
      <c r="C16" s="4">
        <f t="shared" ref="C16:D16" si="3">C15/(1024^2)</f>
        <v>823.974609375</v>
      </c>
      <c r="D16" s="4">
        <f t="shared" si="3"/>
        <v>4119.873046875</v>
      </c>
    </row>
    <row r="17" spans="1:4" x14ac:dyDescent="0.2">
      <c r="A17" t="s">
        <v>10</v>
      </c>
      <c r="B17">
        <f>B15/(1024^3)</f>
        <v>8.0466270446777344E-2</v>
      </c>
      <c r="C17">
        <f t="shared" ref="C17:D17" si="4">C15/(1024^3)</f>
        <v>0.80466270446777344</v>
      </c>
      <c r="D17">
        <f t="shared" si="4"/>
        <v>4.0233135223388672</v>
      </c>
    </row>
    <row r="19" spans="1:4" x14ac:dyDescent="0.2">
      <c r="A19" t="s">
        <v>14</v>
      </c>
    </row>
    <row r="20" spans="1:4" x14ac:dyDescent="0.2">
      <c r="A20" s="2" t="s">
        <v>38</v>
      </c>
      <c r="B20">
        <f>B15/($B$4*1024)</f>
        <v>843.75</v>
      </c>
      <c r="C20">
        <f t="shared" ref="C20:D20" si="5">C15/($B$4*1024)</f>
        <v>8437.5</v>
      </c>
      <c r="D20">
        <f t="shared" si="5"/>
        <v>42187.5</v>
      </c>
    </row>
    <row r="21" spans="1:4" x14ac:dyDescent="0.2">
      <c r="A21" s="2" t="s">
        <v>34</v>
      </c>
      <c r="B21">
        <f>(3600*720)/$B$5</f>
        <v>8640</v>
      </c>
      <c r="C21">
        <f t="shared" ref="C21:D21" si="6">(3600*720)/$B$5</f>
        <v>8640</v>
      </c>
      <c r="D21">
        <f t="shared" si="6"/>
        <v>8640</v>
      </c>
    </row>
    <row r="22" spans="1:4" x14ac:dyDescent="0.2">
      <c r="A22" s="2" t="s">
        <v>37</v>
      </c>
      <c r="B22">
        <f>MAX(B21,B20)</f>
        <v>8640</v>
      </c>
      <c r="C22">
        <f t="shared" ref="C22:D22" si="7">MAX(C21,C20)</f>
        <v>8640</v>
      </c>
      <c r="D22">
        <f t="shared" si="7"/>
        <v>42187.5</v>
      </c>
    </row>
    <row r="23" spans="1:4" x14ac:dyDescent="0.2">
      <c r="A23" s="2" t="s">
        <v>43</v>
      </c>
      <c r="B23">
        <f>B22*2</f>
        <v>17280</v>
      </c>
      <c r="C23">
        <f t="shared" ref="C23:D23" si="8">C22*2</f>
        <v>17280</v>
      </c>
      <c r="D23">
        <f t="shared" si="8"/>
        <v>84375</v>
      </c>
    </row>
    <row r="24" spans="1:4" x14ac:dyDescent="0.2">
      <c r="A24" s="2" t="s">
        <v>69</v>
      </c>
      <c r="B24" s="17">
        <f>B16/$B$6</f>
        <v>21.021504439211778</v>
      </c>
      <c r="C24" s="17">
        <f t="shared" ref="C24:D24" si="9">C16/$B$6</f>
        <v>210.21504439211779</v>
      </c>
      <c r="D24" s="17">
        <f t="shared" si="9"/>
        <v>1051.075221960589</v>
      </c>
    </row>
    <row r="25" spans="1:4" x14ac:dyDescent="0.2">
      <c r="A25" s="2" t="s">
        <v>70</v>
      </c>
      <c r="B25" s="17">
        <f>B16/$B$6</f>
        <v>21.021504439211778</v>
      </c>
      <c r="C25" s="17">
        <f t="shared" ref="C25:D25" si="10">C16/$B$6</f>
        <v>210.21504439211779</v>
      </c>
      <c r="D25" s="17">
        <f t="shared" si="10"/>
        <v>1051.075221960589</v>
      </c>
    </row>
    <row r="26" spans="1:4" x14ac:dyDescent="0.2">
      <c r="A26" s="2"/>
    </row>
    <row r="27" spans="1:4" x14ac:dyDescent="0.2">
      <c r="A27" s="6" t="s">
        <v>39</v>
      </c>
      <c r="B27" s="7">
        <f>B25*'Service Pricing'!$C$9</f>
        <v>0.4834946021018709</v>
      </c>
      <c r="C27" s="7">
        <f>C25*'Service Pricing'!$C$9</f>
        <v>4.834946021018709</v>
      </c>
      <c r="D27" s="7">
        <f>D25*'Service Pricing'!$C$9</f>
        <v>24.174730105093548</v>
      </c>
    </row>
    <row r="28" spans="1:4" x14ac:dyDescent="0.2">
      <c r="A28" s="6" t="s">
        <v>40</v>
      </c>
      <c r="B28" s="7">
        <f>B23*'Service Pricing'!$C$12</f>
        <v>8.6400000000000005E-2</v>
      </c>
      <c r="C28" s="7">
        <f>C23*'Service Pricing'!$C$12</f>
        <v>8.6400000000000005E-2</v>
      </c>
      <c r="D28" s="7">
        <f>D23*'Service Pricing'!$C$12</f>
        <v>0.42187500000000006</v>
      </c>
    </row>
    <row r="29" spans="1:4" x14ac:dyDescent="0.2">
      <c r="A29" s="6" t="s">
        <v>44</v>
      </c>
      <c r="B29" s="8">
        <f>B24*'Service Pricing'!$C$9</f>
        <v>0.4834946021018709</v>
      </c>
      <c r="C29" s="8">
        <f>C24*'Service Pricing'!$C$9</f>
        <v>4.834946021018709</v>
      </c>
      <c r="D29" s="8">
        <f>D24*'Service Pricing'!$C$9</f>
        <v>24.174730105093548</v>
      </c>
    </row>
    <row r="30" spans="1:4" x14ac:dyDescent="0.2">
      <c r="A30" s="9" t="s">
        <v>62</v>
      </c>
      <c r="B30" s="10">
        <f>SUM(B27:B29)</f>
        <v>1.0533892042037418</v>
      </c>
      <c r="C30" s="10">
        <f t="shared" ref="C30:D30" si="11">SUM(C27:C29)</f>
        <v>9.7562920420374191</v>
      </c>
      <c r="D30" s="10">
        <f t="shared" si="11"/>
        <v>48.771335210187097</v>
      </c>
    </row>
    <row r="32" spans="1:4" x14ac:dyDescent="0.2">
      <c r="A32" t="s">
        <v>8</v>
      </c>
    </row>
    <row r="33" spans="1:4" x14ac:dyDescent="0.2">
      <c r="A33" t="s">
        <v>66</v>
      </c>
      <c r="B33">
        <f>MAX(B12,5)</f>
        <v>5</v>
      </c>
      <c r="C33">
        <f>MAX(C12,5)</f>
        <v>5</v>
      </c>
      <c r="D33">
        <f>MAX(D12,5)</f>
        <v>5</v>
      </c>
    </row>
    <row r="34" spans="1:4" x14ac:dyDescent="0.2">
      <c r="A34" t="s">
        <v>67</v>
      </c>
      <c r="B34">
        <f>B33*B14</f>
        <v>432000000</v>
      </c>
      <c r="C34">
        <f>C33*C14</f>
        <v>4320000000</v>
      </c>
      <c r="D34">
        <f>D33*D14</f>
        <v>21600000000</v>
      </c>
    </row>
    <row r="35" spans="1:4" x14ac:dyDescent="0.2">
      <c r="A35" t="s">
        <v>68</v>
      </c>
      <c r="B35">
        <f>B34/(1024^2)</f>
        <v>411.9873046875</v>
      </c>
      <c r="C35">
        <f t="shared" ref="C35:D35" si="12">C34/(1024^2)</f>
        <v>4119.873046875</v>
      </c>
      <c r="D35">
        <f t="shared" si="12"/>
        <v>20599.365234375</v>
      </c>
    </row>
    <row r="36" spans="1:4" s="2" customFormat="1" x14ac:dyDescent="0.2">
      <c r="A36" s="9" t="s">
        <v>46</v>
      </c>
      <c r="B36" s="13">
        <f>B35*'Service Pricing'!$C$4</f>
        <v>11.9476318359375</v>
      </c>
      <c r="C36" s="13">
        <f>C35*'Service Pricing'!$C$4</f>
        <v>119.476318359375</v>
      </c>
      <c r="D36" s="13">
        <f>D35*'Service Pricing'!$C$4</f>
        <v>597.381591796875</v>
      </c>
    </row>
    <row r="38" spans="1:4" x14ac:dyDescent="0.2">
      <c r="A38" s="3" t="s">
        <v>47</v>
      </c>
    </row>
    <row r="39" spans="1:4" x14ac:dyDescent="0.2">
      <c r="A39" s="2" t="s">
        <v>25</v>
      </c>
      <c r="B39" s="21">
        <f>B14*Transformations!$D$8</f>
        <v>59714.902807775383</v>
      </c>
      <c r="C39" s="21">
        <f>C14*Transformations!$D$8</f>
        <v>597149.02807775384</v>
      </c>
      <c r="D39" s="21">
        <f>D14*Transformations!$D$8</f>
        <v>2985745.1403887691</v>
      </c>
    </row>
    <row r="40" spans="1:4" x14ac:dyDescent="0.2">
      <c r="A40" s="2" t="s">
        <v>50</v>
      </c>
      <c r="B40" s="21">
        <f>B14*Transformations!$D$7</f>
        <v>16496241.900647949</v>
      </c>
      <c r="C40" s="21">
        <f>C14*Transformations!$D$7</f>
        <v>164962419.0064795</v>
      </c>
      <c r="D40" s="21">
        <f>D14*Transformations!$D$7</f>
        <v>824812095.03239751</v>
      </c>
    </row>
    <row r="41" spans="1:4" x14ac:dyDescent="0.2">
      <c r="A41" s="2" t="s">
        <v>48</v>
      </c>
      <c r="B41">
        <v>512</v>
      </c>
      <c r="C41">
        <v>512</v>
      </c>
      <c r="D41">
        <v>512</v>
      </c>
    </row>
    <row r="42" spans="1:4" x14ac:dyDescent="0.2">
      <c r="A42" s="2" t="s">
        <v>49</v>
      </c>
      <c r="B42" s="4">
        <f>B41/1024*B40/1000</f>
        <v>8248.1209503239752</v>
      </c>
      <c r="C42" s="4">
        <f t="shared" ref="C42:D42" si="13">C41/1024*C40/1000</f>
        <v>82481.209503239748</v>
      </c>
      <c r="D42" s="4">
        <f t="shared" si="13"/>
        <v>412406.04751619877</v>
      </c>
    </row>
    <row r="44" spans="1:4" x14ac:dyDescent="0.2">
      <c r="A44" s="6" t="s">
        <v>51</v>
      </c>
      <c r="B44" s="7">
        <f>B39*'Service Pricing'!$C$20</f>
        <v>1.1942980561555076E-2</v>
      </c>
      <c r="C44" s="7">
        <f>C39*'Service Pricing'!$C$20</f>
        <v>0.11942980561555076</v>
      </c>
      <c r="D44" s="7">
        <f>D39*'Service Pricing'!$C$20</f>
        <v>0.59714902807775383</v>
      </c>
    </row>
    <row r="45" spans="1:4" x14ac:dyDescent="0.2">
      <c r="A45" s="6" t="s">
        <v>55</v>
      </c>
      <c r="B45" s="7">
        <f>B42*'Service Pricing'!$C$21</f>
        <v>0.13749617624190066</v>
      </c>
      <c r="C45" s="7">
        <f>C42*'Service Pricing'!$C$21</f>
        <v>1.3749617624190067</v>
      </c>
      <c r="D45" s="7">
        <f>D42*'Service Pricing'!$C$21</f>
        <v>6.8748088120950337</v>
      </c>
    </row>
    <row r="46" spans="1:4" x14ac:dyDescent="0.2">
      <c r="A46" s="9" t="s">
        <v>64</v>
      </c>
      <c r="B46" s="11">
        <f>SUM(B44:B45)</f>
        <v>0.14943915680345574</v>
      </c>
      <c r="C46" s="11">
        <f t="shared" ref="C46:D46" si="14">SUM(C44:C45)</f>
        <v>1.4943915680345574</v>
      </c>
      <c r="D46" s="11">
        <f t="shared" si="14"/>
        <v>7.471957840172788</v>
      </c>
    </row>
    <row r="48" spans="1:4" x14ac:dyDescent="0.2">
      <c r="A48" t="s">
        <v>56</v>
      </c>
    </row>
    <row r="49" spans="1:4" x14ac:dyDescent="0.2">
      <c r="A49" s="2" t="s">
        <v>17</v>
      </c>
      <c r="B49">
        <v>50</v>
      </c>
      <c r="C49">
        <v>50</v>
      </c>
      <c r="D49">
        <v>50</v>
      </c>
    </row>
    <row r="50" spans="1:4" x14ac:dyDescent="0.2">
      <c r="A50" s="2" t="s">
        <v>20</v>
      </c>
      <c r="B50">
        <v>5</v>
      </c>
      <c r="C50">
        <v>5</v>
      </c>
      <c r="D50">
        <v>5</v>
      </c>
    </row>
    <row r="51" spans="1:4" x14ac:dyDescent="0.2">
      <c r="A51" s="2" t="s">
        <v>57</v>
      </c>
      <c r="B51">
        <v>1</v>
      </c>
      <c r="C51">
        <v>1</v>
      </c>
      <c r="D51">
        <v>1</v>
      </c>
    </row>
    <row r="53" spans="1:4" x14ac:dyDescent="0.2">
      <c r="A53" s="6" t="s">
        <v>58</v>
      </c>
      <c r="B53" s="7">
        <f>B49*720*'Service Pricing'!$C$15</f>
        <v>4.68</v>
      </c>
      <c r="C53" s="7">
        <f>C49*720*'Service Pricing'!$C$15</f>
        <v>4.68</v>
      </c>
      <c r="D53" s="7">
        <f>D49*720*'Service Pricing'!$C$15</f>
        <v>4.68</v>
      </c>
    </row>
    <row r="54" spans="1:4" x14ac:dyDescent="0.2">
      <c r="A54" s="6" t="s">
        <v>59</v>
      </c>
      <c r="B54" s="7">
        <f>B50*'Service Pricing'!$C$16</f>
        <v>3.2499999999999999E-3</v>
      </c>
      <c r="C54" s="7">
        <f>C50*'Service Pricing'!$C$16</f>
        <v>3.2499999999999999E-3</v>
      </c>
      <c r="D54" s="7">
        <f>D50*'Service Pricing'!$C$16</f>
        <v>3.2499999999999999E-3</v>
      </c>
    </row>
    <row r="55" spans="1:4" x14ac:dyDescent="0.2">
      <c r="A55" s="6" t="s">
        <v>60</v>
      </c>
      <c r="B55" s="7">
        <v>0</v>
      </c>
      <c r="C55" s="7">
        <v>0</v>
      </c>
      <c r="D55" s="7">
        <v>0</v>
      </c>
    </row>
    <row r="56" spans="1:4" x14ac:dyDescent="0.2">
      <c r="A56" s="9" t="s">
        <v>63</v>
      </c>
      <c r="B56" s="11">
        <f>SUM(B53:B55)</f>
        <v>4.6832500000000001</v>
      </c>
      <c r="C56" s="11">
        <f t="shared" ref="C56:D56" si="15">SUM(C53:C55)</f>
        <v>4.6832500000000001</v>
      </c>
      <c r="D56" s="11">
        <f t="shared" si="15"/>
        <v>4.6832500000000001</v>
      </c>
    </row>
    <row r="59" spans="1:4" x14ac:dyDescent="0.2">
      <c r="A59" s="12" t="s">
        <v>61</v>
      </c>
      <c r="B59" s="10">
        <f>SUM(B30,B46,B56,B36)</f>
        <v>17.833710196944697</v>
      </c>
      <c r="C59" s="10">
        <f>SUM(C30,C46,C56,C36)</f>
        <v>135.41025196944699</v>
      </c>
      <c r="D59" s="10">
        <f>SUM(D30,D46,D56,D36)</f>
        <v>658.3081348472349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12" sqref="A12"/>
    </sheetView>
  </sheetViews>
  <sheetFormatPr baseColWidth="10" defaultRowHeight="16" x14ac:dyDescent="0.2"/>
  <cols>
    <col min="1" max="1" width="47.83203125" customWidth="1"/>
    <col min="2" max="2" width="5.1640625" bestFit="1" customWidth="1"/>
    <col min="3" max="3" width="7.1640625" bestFit="1" customWidth="1"/>
    <col min="4" max="5" width="22.1640625" bestFit="1" customWidth="1"/>
  </cols>
  <sheetData>
    <row r="1" spans="1:5" x14ac:dyDescent="0.2">
      <c r="B1" t="s">
        <v>74</v>
      </c>
      <c r="C1" t="s">
        <v>75</v>
      </c>
      <c r="D1" t="s">
        <v>72</v>
      </c>
      <c r="E1" t="s">
        <v>73</v>
      </c>
    </row>
    <row r="2" spans="1:5" x14ac:dyDescent="0.2">
      <c r="A2" t="s">
        <v>23</v>
      </c>
    </row>
    <row r="3" spans="1:5" x14ac:dyDescent="0.2">
      <c r="A3" s="15" t="s">
        <v>24</v>
      </c>
      <c r="B3" s="15"/>
      <c r="C3" s="15"/>
      <c r="D3" s="16">
        <v>115750</v>
      </c>
      <c r="E3">
        <v>138000</v>
      </c>
    </row>
    <row r="4" spans="1:5" x14ac:dyDescent="0.2">
      <c r="A4" s="15" t="s">
        <v>25</v>
      </c>
      <c r="B4" s="15"/>
      <c r="C4" s="15"/>
      <c r="D4" s="15">
        <v>80</v>
      </c>
      <c r="E4">
        <v>74</v>
      </c>
    </row>
    <row r="5" spans="1:5" x14ac:dyDescent="0.2">
      <c r="A5" s="15" t="s">
        <v>26</v>
      </c>
      <c r="B5" s="15" t="s">
        <v>28</v>
      </c>
      <c r="C5" s="15"/>
      <c r="D5" s="16">
        <v>22100</v>
      </c>
      <c r="E5">
        <v>16900</v>
      </c>
    </row>
    <row r="7" spans="1:5" x14ac:dyDescent="0.2">
      <c r="A7" t="s">
        <v>27</v>
      </c>
      <c r="B7" t="s">
        <v>28</v>
      </c>
      <c r="D7">
        <f>D5/D3</f>
        <v>0.19092872570194386</v>
      </c>
      <c r="E7">
        <f>E5/E3</f>
        <v>0.12246376811594203</v>
      </c>
    </row>
    <row r="8" spans="1:5" x14ac:dyDescent="0.2">
      <c r="A8" t="s">
        <v>29</v>
      </c>
      <c r="D8">
        <f>D4/D3</f>
        <v>6.9114470842332617E-4</v>
      </c>
      <c r="E8">
        <f>E4/E3</f>
        <v>5.36231884057971E-4</v>
      </c>
    </row>
    <row r="11" spans="1:5" x14ac:dyDescent="0.2">
      <c r="A11" t="s">
        <v>65</v>
      </c>
    </row>
    <row r="12" spans="1:5" ht="312" customHeight="1" x14ac:dyDescent="0.2">
      <c r="B12" s="14"/>
      <c r="C12" s="14"/>
      <c r="D12" s="14" t="s">
        <v>71</v>
      </c>
      <c r="E12" s="14" t="s">
        <v>78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1"/>
  <sheetViews>
    <sheetView workbookViewId="0">
      <selection activeCell="B18" sqref="B18"/>
    </sheetView>
  </sheetViews>
  <sheetFormatPr baseColWidth="10" defaultRowHeight="16" x14ac:dyDescent="0.2"/>
  <cols>
    <col min="1" max="1" width="15.83203125" bestFit="1" customWidth="1"/>
    <col min="2" max="2" width="13" bestFit="1" customWidth="1"/>
    <col min="3" max="3" width="10.83203125" style="1"/>
  </cols>
  <sheetData>
    <row r="3" spans="1:3" x14ac:dyDescent="0.2">
      <c r="A3" t="s">
        <v>8</v>
      </c>
    </row>
    <row r="4" spans="1:3" x14ac:dyDescent="0.2">
      <c r="A4" t="s">
        <v>11</v>
      </c>
      <c r="B4" t="s">
        <v>9</v>
      </c>
      <c r="C4" s="1">
        <f>0.029</f>
        <v>2.9000000000000001E-2</v>
      </c>
    </row>
    <row r="5" spans="1:3" x14ac:dyDescent="0.2">
      <c r="A5" t="s">
        <v>12</v>
      </c>
      <c r="B5" t="s">
        <v>13</v>
      </c>
      <c r="C5" s="1">
        <v>2.5000000000000001E-2</v>
      </c>
    </row>
    <row r="8" spans="1:3" x14ac:dyDescent="0.2">
      <c r="A8" t="s">
        <v>14</v>
      </c>
    </row>
    <row r="9" spans="1:3" x14ac:dyDescent="0.2">
      <c r="A9" t="s">
        <v>15</v>
      </c>
      <c r="B9" t="s">
        <v>9</v>
      </c>
      <c r="C9" s="1">
        <v>2.3E-2</v>
      </c>
    </row>
    <row r="10" spans="1:3" x14ac:dyDescent="0.2">
      <c r="A10" t="s">
        <v>16</v>
      </c>
      <c r="B10" t="s">
        <v>9</v>
      </c>
      <c r="C10" s="1">
        <v>2.1999999999999999E-2</v>
      </c>
    </row>
    <row r="11" spans="1:3" x14ac:dyDescent="0.2">
      <c r="A11" t="s">
        <v>40</v>
      </c>
      <c r="B11" t="s">
        <v>41</v>
      </c>
      <c r="C11">
        <f>0.005</f>
        <v>5.0000000000000001E-3</v>
      </c>
    </row>
    <row r="12" spans="1:3" x14ac:dyDescent="0.2">
      <c r="A12" t="s">
        <v>40</v>
      </c>
      <c r="B12" t="s">
        <v>42</v>
      </c>
      <c r="C12" s="1">
        <f>C11/1000</f>
        <v>5.0000000000000004E-6</v>
      </c>
    </row>
    <row r="14" spans="1:3" x14ac:dyDescent="0.2">
      <c r="A14" t="s">
        <v>18</v>
      </c>
    </row>
    <row r="15" spans="1:3" x14ac:dyDescent="0.2">
      <c r="A15" t="s">
        <v>17</v>
      </c>
      <c r="B15" t="s">
        <v>19</v>
      </c>
      <c r="C15" s="1">
        <v>1.2999999999999999E-4</v>
      </c>
    </row>
    <row r="16" spans="1:3" x14ac:dyDescent="0.2">
      <c r="A16" t="s">
        <v>20</v>
      </c>
      <c r="B16" t="s">
        <v>19</v>
      </c>
      <c r="C16" s="1">
        <v>6.4999999999999997E-4</v>
      </c>
    </row>
    <row r="19" spans="1:3" x14ac:dyDescent="0.2">
      <c r="A19" t="s">
        <v>47</v>
      </c>
    </row>
    <row r="20" spans="1:3" x14ac:dyDescent="0.2">
      <c r="A20" t="s">
        <v>25</v>
      </c>
      <c r="B20" t="s">
        <v>52</v>
      </c>
      <c r="C20">
        <v>1.9999999999999999E-7</v>
      </c>
    </row>
    <row r="21" spans="1:3" x14ac:dyDescent="0.2">
      <c r="A21" t="s">
        <v>53</v>
      </c>
      <c r="B21" t="s">
        <v>54</v>
      </c>
      <c r="C21" s="1">
        <f>0.00001667</f>
        <v>1.6670000000000001E-5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Solution Cost</vt:lpstr>
      <vt:lpstr>Transformations</vt:lpstr>
      <vt:lpstr>Service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2017-09-01T04:18:58Z</dcterms:created>
  <dcterms:modified xsi:type="dcterms:W3CDTF">2018-03-13T19:30:34Z</dcterms:modified>
</cp:coreProperties>
</file>