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VEN 5364- Transportation\"/>
    </mc:Choice>
  </mc:AlternateContent>
  <xr:revisionPtr revIDLastSave="0" documentId="13_ncr:1_{970B75B6-6761-490A-A123-349DC8AD43DE}" xr6:coauthVersionLast="36" xr6:coauthVersionMax="36" xr10:uidLastSave="{00000000-0000-0000-0000-000000000000}"/>
  <bookViews>
    <workbookView xWindow="0" yWindow="0" windowWidth="11976" windowHeight="4524" xr2:uid="{401DE415-7EEE-4D44-88BF-37B1704F66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1" l="1"/>
  <c r="L40" i="1"/>
  <c r="K40" i="1"/>
  <c r="AA39" i="1"/>
  <c r="AR39" i="1"/>
  <c r="AQ39" i="1"/>
  <c r="AN38" i="1"/>
  <c r="AM38" i="1"/>
  <c r="X37" i="1"/>
  <c r="W37" i="1"/>
  <c r="K37" i="1"/>
  <c r="J37" i="1"/>
  <c r="Q109" i="1"/>
  <c r="C112" i="1"/>
  <c r="H81" i="1"/>
  <c r="C111" i="1"/>
  <c r="Q54" i="1" l="1"/>
  <c r="T73" i="1" l="1"/>
  <c r="T72" i="1"/>
  <c r="R70" i="1"/>
  <c r="U67" i="1"/>
  <c r="R67" i="1"/>
  <c r="W57" i="1"/>
  <c r="W55" i="1"/>
  <c r="W54" i="1"/>
  <c r="T55" i="1"/>
  <c r="T54" i="1"/>
  <c r="Q55" i="1"/>
  <c r="S45" i="1"/>
  <c r="S43" i="1"/>
  <c r="S42" i="1"/>
  <c r="C100" i="1"/>
  <c r="C99" i="1"/>
  <c r="C98" i="1"/>
  <c r="C96" i="1"/>
  <c r="E93" i="1"/>
  <c r="D98" i="1"/>
  <c r="G102" i="1"/>
  <c r="E88" i="1"/>
  <c r="C76" i="1"/>
  <c r="E73" i="1"/>
  <c r="E72" i="1"/>
  <c r="C70" i="1"/>
  <c r="F67" i="1"/>
  <c r="C67" i="1"/>
  <c r="H57" i="1"/>
  <c r="H56" i="1"/>
  <c r="H55" i="1"/>
  <c r="H54" i="1"/>
  <c r="E55" i="1"/>
  <c r="E54" i="1"/>
  <c r="B55" i="1"/>
  <c r="B54" i="1"/>
  <c r="S46" i="1"/>
  <c r="D46" i="1"/>
  <c r="D45" i="1"/>
  <c r="R113" i="1" l="1"/>
  <c r="W81" i="1"/>
  <c r="R111" i="1"/>
  <c r="C113" i="1"/>
  <c r="B109" i="1"/>
  <c r="AK104" i="1"/>
  <c r="AJ104" i="1"/>
  <c r="AK103" i="1"/>
  <c r="AJ103" i="1"/>
  <c r="AM102" i="1"/>
  <c r="AL102" i="1"/>
  <c r="AK102" i="1"/>
  <c r="AJ102" i="1"/>
  <c r="U104" i="1"/>
  <c r="T104" i="1"/>
  <c r="U103" i="1"/>
  <c r="T103" i="1"/>
  <c r="W102" i="1"/>
  <c r="V102" i="1"/>
  <c r="U102" i="1"/>
  <c r="T102" i="1"/>
  <c r="H102" i="1"/>
  <c r="F103" i="1"/>
  <c r="F104" i="1"/>
  <c r="F102" i="1"/>
  <c r="E103" i="1"/>
  <c r="E104" i="1"/>
  <c r="E102" i="1"/>
  <c r="AI100" i="1"/>
  <c r="AH100" i="1"/>
  <c r="AH99" i="1"/>
  <c r="AI99" i="1" s="1"/>
  <c r="AH98" i="1"/>
  <c r="AM98" i="1" s="1"/>
  <c r="AH94" i="1"/>
  <c r="AH92" i="1"/>
  <c r="AJ93" i="1" s="1"/>
  <c r="AK93" i="1" s="1"/>
  <c r="AG88" i="1"/>
  <c r="AH87" i="1"/>
  <c r="AH86" i="1"/>
  <c r="AJ87" i="1" s="1"/>
  <c r="R98" i="1"/>
  <c r="S100" i="1"/>
  <c r="R100" i="1"/>
  <c r="S99" i="1"/>
  <c r="R99" i="1"/>
  <c r="W98" i="1"/>
  <c r="R94" i="1"/>
  <c r="T93" i="1"/>
  <c r="U93" i="1" s="1"/>
  <c r="R92" i="1"/>
  <c r="Q88" i="1"/>
  <c r="R87" i="1"/>
  <c r="T87" i="1" s="1"/>
  <c r="R86" i="1"/>
  <c r="E87" i="1"/>
  <c r="D99" i="1"/>
  <c r="D100" i="1"/>
  <c r="F93" i="1"/>
  <c r="C94" i="1"/>
  <c r="C86" i="1"/>
  <c r="C92" i="1"/>
  <c r="B88" i="1"/>
  <c r="C87" i="1"/>
  <c r="T42" i="1"/>
  <c r="T43" i="1"/>
  <c r="AM57" i="1"/>
  <c r="AM56" i="1"/>
  <c r="AM55" i="1"/>
  <c r="AJ55" i="1"/>
  <c r="AG55" i="1"/>
  <c r="AM54" i="1"/>
  <c r="AJ54" i="1"/>
  <c r="AJ59" i="1" s="1"/>
  <c r="AG54" i="1"/>
  <c r="AG59" i="1" s="1"/>
  <c r="AI46" i="1"/>
  <c r="AJ46" i="1" s="1"/>
  <c r="AI45" i="1"/>
  <c r="AJ45" i="1" s="1"/>
  <c r="AI43" i="1"/>
  <c r="AJ43" i="1" s="1"/>
  <c r="AI42" i="1"/>
  <c r="AJ42" i="1" s="1"/>
  <c r="W56" i="1"/>
  <c r="W59" i="1"/>
  <c r="T59" i="1"/>
  <c r="Q59" i="1"/>
  <c r="T46" i="1"/>
  <c r="T45" i="1"/>
  <c r="R112" i="1" l="1"/>
  <c r="AH96" i="1"/>
  <c r="AI98" i="1"/>
  <c r="R96" i="1"/>
  <c r="S98" i="1"/>
  <c r="D76" i="1"/>
  <c r="AM59" i="1"/>
  <c r="AI62" i="1" s="1"/>
  <c r="AH67" i="1" s="1"/>
  <c r="AH68" i="1" s="1"/>
  <c r="S62" i="1"/>
  <c r="D43" i="1"/>
  <c r="D42" i="1"/>
  <c r="H59" i="1"/>
  <c r="E43" i="1"/>
  <c r="AK67" i="1" l="1"/>
  <c r="AH70" i="1"/>
  <c r="AJ74" i="1" s="1"/>
  <c r="R68" i="1"/>
  <c r="E59" i="1"/>
  <c r="B59" i="1"/>
  <c r="AJ72" i="1" l="1"/>
  <c r="AJ73" i="1"/>
  <c r="D62" i="1"/>
  <c r="E46" i="1"/>
  <c r="E45" i="1"/>
  <c r="E42" i="1"/>
  <c r="V30" i="1"/>
  <c r="AH76" i="1" l="1"/>
  <c r="T74" i="1"/>
  <c r="C68" i="1"/>
  <c r="R76" i="1" l="1"/>
  <c r="E74" i="1"/>
</calcChain>
</file>

<file path=xl/sharedStrings.xml><?xml version="1.0" encoding="utf-8"?>
<sst xmlns="http://schemas.openxmlformats.org/spreadsheetml/2006/main" count="397" uniqueCount="118">
  <si>
    <t>Intersection I</t>
  </si>
  <si>
    <t>Location: Park Street to Washington</t>
  </si>
  <si>
    <t>Intersection II</t>
  </si>
  <si>
    <r>
      <t>Location:</t>
    </r>
    <r>
      <rPr>
        <b/>
        <sz val="12"/>
        <color rgb="FF000000"/>
        <rFont val="Times New Roman"/>
        <family val="1"/>
      </rPr>
      <t xml:space="preserve"> Ave-A to Washington</t>
    </r>
  </si>
  <si>
    <t>Volume (#veh/5-min)</t>
  </si>
  <si>
    <t xml:space="preserve">Major Road </t>
  </si>
  <si>
    <t>Minor Road</t>
  </si>
  <si>
    <t>EB</t>
  </si>
  <si>
    <t>WB</t>
  </si>
  <si>
    <t>NB</t>
  </si>
  <si>
    <t>SB</t>
  </si>
  <si>
    <t>LT</t>
  </si>
  <si>
    <t> 1</t>
  </si>
  <si>
    <t> 0</t>
  </si>
  <si>
    <t>7 </t>
  </si>
  <si>
    <t> 3</t>
  </si>
  <si>
    <t>6 </t>
  </si>
  <si>
    <t>1 </t>
  </si>
  <si>
    <t>2 </t>
  </si>
  <si>
    <t>5 </t>
  </si>
  <si>
    <t>4 </t>
  </si>
  <si>
    <t>Avg.</t>
  </si>
  <si>
    <t>TR</t>
  </si>
  <si>
    <t> 27</t>
  </si>
  <si>
    <t>3 </t>
  </si>
  <si>
    <t> 31</t>
  </si>
  <si>
    <t>29 </t>
  </si>
  <si>
    <t> 35</t>
  </si>
  <si>
    <t>38 </t>
  </si>
  <si>
    <t>8 </t>
  </si>
  <si>
    <t> 29</t>
  </si>
  <si>
    <t>1.5 </t>
  </si>
  <si>
    <t>36 </t>
  </si>
  <si>
    <t>2.5 </t>
  </si>
  <si>
    <t>RT</t>
  </si>
  <si>
    <t> 2</t>
  </si>
  <si>
    <t>0 </t>
  </si>
  <si>
    <t> 6</t>
  </si>
  <si>
    <t> 9</t>
  </si>
  <si>
    <t> 1.5</t>
  </si>
  <si>
    <t>0.5 </t>
  </si>
  <si>
    <t>3.5 </t>
  </si>
  <si>
    <t> 7.5</t>
  </si>
  <si>
    <t xml:space="preserve">Intersection III </t>
  </si>
  <si>
    <r>
      <t>Location: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Times New Roman"/>
        <family val="1"/>
      </rPr>
      <t>Ave-C to Washington</t>
    </r>
  </si>
  <si>
    <t xml:space="preserve"> </t>
  </si>
  <si>
    <t>  </t>
  </si>
  <si>
    <t> 25</t>
  </si>
  <si>
    <t>39 </t>
  </si>
  <si>
    <t> 24</t>
  </si>
  <si>
    <t>Flow Rate (#veh/hr)</t>
  </si>
  <si>
    <t> 12</t>
  </si>
  <si>
    <t>12 </t>
  </si>
  <si>
    <t> 348</t>
  </si>
  <si>
    <t>336 </t>
  </si>
  <si>
    <t> 18</t>
  </si>
  <si>
    <t>Intersection III (Optional)</t>
  </si>
  <si>
    <t>Westbound (WB) left turn</t>
  </si>
  <si>
    <t>Eastbound (EB) left turn</t>
  </si>
  <si>
    <t>Southbound (WB) left turn</t>
  </si>
  <si>
    <t>Northbound (EB) left turn</t>
  </si>
  <si>
    <t>Phase-1</t>
  </si>
  <si>
    <t>EB:L</t>
  </si>
  <si>
    <t>WB: L</t>
  </si>
  <si>
    <t>Phase-2</t>
  </si>
  <si>
    <t>EB: T/R</t>
  </si>
  <si>
    <t>WB: T/R</t>
  </si>
  <si>
    <t>Phase-3</t>
  </si>
  <si>
    <t>SB: L</t>
  </si>
  <si>
    <t>NB: L</t>
  </si>
  <si>
    <t>SB: T/R</t>
  </si>
  <si>
    <t>NB: T/R</t>
  </si>
  <si>
    <t>Value</t>
  </si>
  <si>
    <t>Yc</t>
  </si>
  <si>
    <t>Cmin</t>
  </si>
  <si>
    <t>sec</t>
  </si>
  <si>
    <t>Xc</t>
  </si>
  <si>
    <t>Copt</t>
  </si>
  <si>
    <t>Recheck</t>
  </si>
  <si>
    <t>Cycle Lost time</t>
  </si>
  <si>
    <t>EB and WB left-turn movements</t>
  </si>
  <si>
    <t>EB and WB through and right-turn movements</t>
  </si>
  <si>
    <t>NB and SB left-, through, and right-turn movements</t>
  </si>
  <si>
    <t>Roundup</t>
  </si>
  <si>
    <t>Total cycle length, C</t>
  </si>
  <si>
    <t>Yellow ime</t>
  </si>
  <si>
    <t>tr</t>
  </si>
  <si>
    <t>v</t>
  </si>
  <si>
    <t>2a</t>
  </si>
  <si>
    <t>2gG</t>
  </si>
  <si>
    <t xml:space="preserve"> Y</t>
  </si>
  <si>
    <t>Allred</t>
  </si>
  <si>
    <t>w</t>
  </si>
  <si>
    <t>l</t>
  </si>
  <si>
    <t>AR</t>
  </si>
  <si>
    <t>G</t>
  </si>
  <si>
    <t>R1</t>
  </si>
  <si>
    <t>R2</t>
  </si>
  <si>
    <t>R3</t>
  </si>
  <si>
    <t>Green</t>
  </si>
  <si>
    <t>Red</t>
  </si>
  <si>
    <t>Yellow</t>
  </si>
  <si>
    <t>ft</t>
  </si>
  <si>
    <t>do</t>
  </si>
  <si>
    <t>Offset</t>
  </si>
  <si>
    <t>C</t>
  </si>
  <si>
    <t>c</t>
  </si>
  <si>
    <t>TR Min</t>
  </si>
  <si>
    <t>TR maj</t>
  </si>
  <si>
    <t>Tr Maj</t>
  </si>
  <si>
    <t>TR min</t>
  </si>
  <si>
    <t>Tr maj</t>
  </si>
  <si>
    <t>TrMin</t>
  </si>
  <si>
    <t>Intersection III</t>
  </si>
  <si>
    <t>TR maj toal</t>
  </si>
  <si>
    <t>Tr min Tot</t>
  </si>
  <si>
    <t>tr  wb</t>
  </si>
  <si>
    <t>tr 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</si>
</sst>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rgb="FF002060"/>
      </right>
      <top style="medium">
        <color indexed="64"/>
      </top>
      <bottom/>
      <diagonal/>
    </border>
    <border>
      <left style="medium">
        <color indexed="64"/>
      </left>
      <right style="medium">
        <color rgb="FF00206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ck">
        <color rgb="FF002060"/>
      </top>
      <bottom/>
      <diagonal/>
    </border>
    <border>
      <left/>
      <right style="medium">
        <color indexed="64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indexed="64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 style="medium">
        <color rgb="FF002060"/>
      </right>
      <top/>
      <bottom style="medium">
        <color indexed="64"/>
      </bottom>
      <diagonal/>
    </border>
    <border>
      <left/>
      <right style="medium">
        <color rgb="FF002060"/>
      </right>
      <top/>
      <bottom style="medium">
        <color indexed="64"/>
      </bottom>
      <diagonal/>
    </border>
    <border>
      <left/>
      <right style="medium">
        <color rgb="FF0070C0"/>
      </right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2060"/>
      </top>
      <bottom style="medium">
        <color indexed="64"/>
      </bottom>
      <diagonal/>
    </border>
    <border>
      <left style="medium">
        <color indexed="64"/>
      </left>
      <right style="medium">
        <color rgb="FF002060"/>
      </right>
      <top/>
      <bottom style="medium">
        <color rgb="FF000000"/>
      </bottom>
      <diagonal/>
    </border>
    <border>
      <left/>
      <right style="medium">
        <color rgb="FF0070C0"/>
      </right>
      <top/>
      <bottom style="medium">
        <color indexed="64"/>
      </bottom>
      <diagonal/>
    </border>
    <border>
      <left style="medium">
        <color indexed="64"/>
      </left>
      <right style="medium">
        <color rgb="FF002060"/>
      </right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002060"/>
      </bottom>
      <diagonal/>
    </border>
    <border>
      <left style="medium">
        <color rgb="FF002060"/>
      </left>
      <right/>
      <top style="medium">
        <color indexed="64"/>
      </top>
      <bottom/>
      <diagonal/>
    </border>
    <border>
      <left style="medium">
        <color rgb="FF002060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rgb="FF002060"/>
      </top>
      <bottom/>
      <diagonal/>
    </border>
    <border>
      <left style="medium">
        <color indexed="64"/>
      </left>
      <right/>
      <top style="thick">
        <color rgb="FF00206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 style="medium">
        <color indexed="64"/>
      </left>
      <right/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70C0"/>
      </right>
      <top style="medium">
        <color rgb="FF002060"/>
      </top>
      <bottom style="medium">
        <color rgb="FF002060"/>
      </bottom>
      <diagonal/>
    </border>
    <border>
      <left style="medium">
        <color rgb="FF0070C0"/>
      </left>
      <right/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/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2060"/>
      </right>
      <top style="medium">
        <color rgb="FF0070C0"/>
      </top>
      <bottom/>
      <diagonal/>
    </border>
    <border>
      <left style="medium">
        <color indexed="64"/>
      </left>
      <right style="medium">
        <color indexed="64"/>
      </right>
      <top style="medium">
        <color rgb="FF007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206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right"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4" fillId="4" borderId="20" xfId="0" applyFont="1" applyFill="1" applyBorder="1" applyAlignment="1">
      <alignment horizontal="right"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horizontal="right" vertical="center"/>
    </xf>
    <xf numFmtId="0" fontId="4" fillId="3" borderId="15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5" xfId="0" applyFont="1" applyFill="1" applyBorder="1" applyAlignment="1">
      <alignment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2" fillId="0" borderId="55" xfId="0" applyFon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1" xfId="0" applyBorder="1"/>
    <xf numFmtId="0" fontId="0" fillId="0" borderId="4" xfId="0" applyBorder="1"/>
    <xf numFmtId="0" fontId="0" fillId="0" borderId="3" xfId="0" applyBorder="1"/>
    <xf numFmtId="0" fontId="0" fillId="0" borderId="30" xfId="0" applyBorder="1"/>
    <xf numFmtId="0" fontId="0" fillId="0" borderId="5" xfId="0" applyBorder="1"/>
    <xf numFmtId="0" fontId="0" fillId="0" borderId="58" xfId="0" applyBorder="1"/>
    <xf numFmtId="0" fontId="0" fillId="0" borderId="42" xfId="0" applyBorder="1"/>
    <xf numFmtId="0" fontId="0" fillId="0" borderId="14" xfId="0" applyBorder="1"/>
    <xf numFmtId="0" fontId="0" fillId="0" borderId="15" xfId="0" applyBorder="1"/>
    <xf numFmtId="0" fontId="0" fillId="6" borderId="55" xfId="0" applyFill="1" applyBorder="1"/>
    <xf numFmtId="0" fontId="8" fillId="7" borderId="55" xfId="0" applyFont="1" applyFill="1" applyBorder="1"/>
    <xf numFmtId="0" fontId="0" fillId="8" borderId="55" xfId="0" applyFill="1" applyBorder="1"/>
    <xf numFmtId="0" fontId="0" fillId="9" borderId="55" xfId="0" applyFill="1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11" borderId="55" xfId="0" applyFill="1" applyBorder="1"/>
    <xf numFmtId="0" fontId="0" fillId="12" borderId="55" xfId="0" applyFill="1" applyBorder="1"/>
    <xf numFmtId="0" fontId="0" fillId="13" borderId="55" xfId="0" applyFill="1" applyBorder="1"/>
    <xf numFmtId="0" fontId="2" fillId="0" borderId="55" xfId="0" applyFont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58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5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46</xdr:row>
      <xdr:rowOff>119634</xdr:rowOff>
    </xdr:from>
    <xdr:to>
      <xdr:col>3</xdr:col>
      <xdr:colOff>144985</xdr:colOff>
      <xdr:row>50</xdr:row>
      <xdr:rowOff>53401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D6237-E008-486A-B6EA-D616BB37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8836914"/>
          <a:ext cx="2217625" cy="665287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46</xdr:row>
      <xdr:rowOff>152400</xdr:rowOff>
    </xdr:from>
    <xdr:to>
      <xdr:col>8</xdr:col>
      <xdr:colOff>419100</xdr:colOff>
      <xdr:row>51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547230-61D0-4221-9AB2-CE8DFE5DA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7460" y="8877300"/>
          <a:ext cx="3230880" cy="807720"/>
        </a:xfrm>
        <a:prstGeom prst="rect">
          <a:avLst/>
        </a:prstGeom>
      </xdr:spPr>
    </xdr:pic>
    <xdr:clientData/>
  </xdr:twoCellAnchor>
  <xdr:oneCellAnchor>
    <xdr:from>
      <xdr:col>15</xdr:col>
      <xdr:colOff>68580</xdr:colOff>
      <xdr:row>46</xdr:row>
      <xdr:rowOff>119634</xdr:rowOff>
    </xdr:from>
    <xdr:ext cx="2217625" cy="665287"/>
    <xdr:pic>
      <xdr:nvPicPr>
        <xdr:cNvPr id="4" name="Picture 3">
          <a:extLst>
            <a:ext uri="{FF2B5EF4-FFF2-40B4-BE49-F238E27FC236}">
              <a16:creationId xmlns:a16="http://schemas.microsoft.com/office/drawing/2014/main" id="{6100B5EA-3C62-4D56-BBFC-F98F179C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8836914"/>
          <a:ext cx="2217625" cy="665287"/>
        </a:xfrm>
        <a:prstGeom prst="rect">
          <a:avLst/>
        </a:prstGeom>
      </xdr:spPr>
    </xdr:pic>
    <xdr:clientData/>
  </xdr:oneCellAnchor>
  <xdr:oneCellAnchor>
    <xdr:from>
      <xdr:col>19</xdr:col>
      <xdr:colOff>45720</xdr:colOff>
      <xdr:row>46</xdr:row>
      <xdr:rowOff>68580</xdr:rowOff>
    </xdr:from>
    <xdr:ext cx="3230880" cy="807720"/>
    <xdr:pic>
      <xdr:nvPicPr>
        <xdr:cNvPr id="5" name="Picture 4">
          <a:extLst>
            <a:ext uri="{FF2B5EF4-FFF2-40B4-BE49-F238E27FC236}">
              <a16:creationId xmlns:a16="http://schemas.microsoft.com/office/drawing/2014/main" id="{AB0E4FBB-E33F-4BC0-B35B-72E55B5EE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2160" y="8793480"/>
          <a:ext cx="3230880" cy="807720"/>
        </a:xfrm>
        <a:prstGeom prst="rect">
          <a:avLst/>
        </a:prstGeom>
      </xdr:spPr>
    </xdr:pic>
    <xdr:clientData/>
  </xdr:oneCellAnchor>
  <xdr:oneCellAnchor>
    <xdr:from>
      <xdr:col>31</xdr:col>
      <xdr:colOff>68580</xdr:colOff>
      <xdr:row>46</xdr:row>
      <xdr:rowOff>119634</xdr:rowOff>
    </xdr:from>
    <xdr:ext cx="2217625" cy="665287"/>
    <xdr:pic>
      <xdr:nvPicPr>
        <xdr:cNvPr id="6" name="Picture 5">
          <a:extLst>
            <a:ext uri="{FF2B5EF4-FFF2-40B4-BE49-F238E27FC236}">
              <a16:creationId xmlns:a16="http://schemas.microsoft.com/office/drawing/2014/main" id="{57348D4B-394C-4FEC-B671-FAA8AA68A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620" y="8844534"/>
          <a:ext cx="2217625" cy="665287"/>
        </a:xfrm>
        <a:prstGeom prst="rect">
          <a:avLst/>
        </a:prstGeom>
      </xdr:spPr>
    </xdr:pic>
    <xdr:clientData/>
  </xdr:oneCellAnchor>
  <xdr:oneCellAnchor>
    <xdr:from>
      <xdr:col>34</xdr:col>
      <xdr:colOff>434340</xdr:colOff>
      <xdr:row>46</xdr:row>
      <xdr:rowOff>45720</xdr:rowOff>
    </xdr:from>
    <xdr:ext cx="3230880" cy="807720"/>
    <xdr:pic>
      <xdr:nvPicPr>
        <xdr:cNvPr id="7" name="Picture 6">
          <a:extLst>
            <a:ext uri="{FF2B5EF4-FFF2-40B4-BE49-F238E27FC236}">
              <a16:creationId xmlns:a16="http://schemas.microsoft.com/office/drawing/2014/main" id="{8820D692-400B-416A-B0F4-708E6A3F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8770620"/>
          <a:ext cx="3230880" cy="8077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D892-5F13-4D63-AF49-1450B55F67A6}">
  <dimension ref="A1:AR113"/>
  <sheetViews>
    <sheetView tabSelected="1" topLeftCell="AB70" zoomScale="120" zoomScaleNormal="120" workbookViewId="0">
      <selection activeCell="AP76" sqref="AP76"/>
    </sheetView>
  </sheetViews>
  <sheetFormatPr defaultRowHeight="14.4" x14ac:dyDescent="0.3"/>
  <cols>
    <col min="1" max="1" width="13.44140625" customWidth="1"/>
    <col min="4" max="4" width="11.21875" customWidth="1"/>
    <col min="43" max="43" width="10.33203125" bestFit="1" customWidth="1"/>
  </cols>
  <sheetData>
    <row r="1" spans="2:32" ht="15" thickBot="1" x14ac:dyDescent="0.35"/>
    <row r="2" spans="2:32" ht="15" thickBot="1" x14ac:dyDescent="0.35">
      <c r="R2" s="44"/>
      <c r="S2" s="86" t="s">
        <v>0</v>
      </c>
      <c r="T2" s="99"/>
      <c r="U2" s="99"/>
      <c r="V2" s="107"/>
      <c r="W2" s="45"/>
      <c r="X2" s="108" t="s">
        <v>2</v>
      </c>
      <c r="Y2" s="99"/>
      <c r="Z2" s="99"/>
      <c r="AA2" s="99"/>
      <c r="AB2" s="99"/>
      <c r="AC2" s="99"/>
      <c r="AD2" s="99"/>
      <c r="AE2" s="99"/>
      <c r="AF2" s="87"/>
    </row>
    <row r="3" spans="2:32" ht="15.6" thickTop="1" thickBot="1" x14ac:dyDescent="0.35">
      <c r="B3" s="111"/>
      <c r="C3" s="113" t="s">
        <v>0</v>
      </c>
      <c r="D3" s="114"/>
      <c r="E3" s="114"/>
      <c r="F3" s="115"/>
      <c r="G3" s="119"/>
      <c r="H3" s="121" t="s">
        <v>2</v>
      </c>
      <c r="I3" s="122"/>
      <c r="J3" s="122"/>
      <c r="K3" s="122"/>
      <c r="L3" s="122"/>
      <c r="M3" s="122"/>
      <c r="N3" s="122"/>
      <c r="O3" s="122"/>
      <c r="R3" s="34"/>
      <c r="S3" s="83" t="s">
        <v>50</v>
      </c>
      <c r="T3" s="84"/>
      <c r="U3" s="84"/>
      <c r="V3" s="109"/>
      <c r="W3" s="46"/>
      <c r="X3" s="110" t="s">
        <v>50</v>
      </c>
      <c r="Y3" s="84"/>
      <c r="Z3" s="84"/>
      <c r="AA3" s="84"/>
      <c r="AB3" s="84"/>
      <c r="AC3" s="84"/>
      <c r="AD3" s="84"/>
      <c r="AE3" s="84"/>
      <c r="AF3" s="85"/>
    </row>
    <row r="4" spans="2:32" ht="16.2" thickBot="1" x14ac:dyDescent="0.35">
      <c r="B4" s="112"/>
      <c r="C4" s="116" t="s">
        <v>1</v>
      </c>
      <c r="D4" s="117"/>
      <c r="E4" s="117"/>
      <c r="F4" s="118"/>
      <c r="G4" s="120"/>
      <c r="H4" s="123" t="s">
        <v>3</v>
      </c>
      <c r="I4" s="124"/>
      <c r="J4" s="124"/>
      <c r="K4" s="124"/>
      <c r="L4" s="124"/>
      <c r="M4" s="125"/>
      <c r="N4" s="125"/>
      <c r="O4" s="125"/>
      <c r="R4" s="34"/>
      <c r="S4" s="86" t="s">
        <v>5</v>
      </c>
      <c r="T4" s="87"/>
      <c r="U4" s="86" t="s">
        <v>6</v>
      </c>
      <c r="V4" s="87"/>
      <c r="W4" s="2"/>
      <c r="X4" s="86" t="s">
        <v>5</v>
      </c>
      <c r="Y4" s="87"/>
      <c r="Z4" s="73"/>
      <c r="AA4" s="73"/>
      <c r="AB4" s="73"/>
      <c r="AC4" s="73"/>
      <c r="AD4" s="73"/>
      <c r="AE4" s="86" t="s">
        <v>6</v>
      </c>
      <c r="AF4" s="87"/>
    </row>
    <row r="5" spans="2:32" ht="15" thickBot="1" x14ac:dyDescent="0.35">
      <c r="B5" s="1"/>
      <c r="C5" s="126" t="s">
        <v>4</v>
      </c>
      <c r="D5" s="127"/>
      <c r="E5" s="127"/>
      <c r="F5" s="128"/>
      <c r="G5" s="2"/>
      <c r="H5" s="129" t="s">
        <v>4</v>
      </c>
      <c r="I5" s="127"/>
      <c r="J5" s="127"/>
      <c r="K5" s="127"/>
      <c r="L5" s="127"/>
      <c r="M5" s="127"/>
      <c r="N5" s="127"/>
      <c r="O5" s="127"/>
      <c r="R5" s="35"/>
      <c r="S5" s="7" t="s">
        <v>7</v>
      </c>
      <c r="T5" s="47" t="s">
        <v>8</v>
      </c>
      <c r="U5" s="7" t="s">
        <v>9</v>
      </c>
      <c r="V5" s="7" t="s">
        <v>10</v>
      </c>
      <c r="W5" s="48"/>
      <c r="X5" s="7" t="s">
        <v>7</v>
      </c>
      <c r="Y5" s="47" t="s">
        <v>8</v>
      </c>
      <c r="Z5" s="74"/>
      <c r="AA5" s="74"/>
      <c r="AB5" s="74"/>
      <c r="AC5" s="74"/>
      <c r="AD5" s="74"/>
      <c r="AE5" s="7" t="s">
        <v>9</v>
      </c>
      <c r="AF5" s="7" t="s">
        <v>10</v>
      </c>
    </row>
    <row r="6" spans="2:32" ht="15" thickBot="1" x14ac:dyDescent="0.35">
      <c r="B6" s="1"/>
      <c r="C6" s="130" t="s">
        <v>5</v>
      </c>
      <c r="D6" s="131"/>
      <c r="E6" s="132" t="s">
        <v>6</v>
      </c>
      <c r="F6" s="133"/>
      <c r="G6" s="2"/>
      <c r="H6" s="134" t="s">
        <v>5</v>
      </c>
      <c r="I6" s="135"/>
      <c r="J6" s="135"/>
      <c r="K6" s="135"/>
      <c r="L6" s="135"/>
      <c r="M6" s="131"/>
      <c r="N6" s="132" t="s">
        <v>6</v>
      </c>
      <c r="O6" s="135"/>
      <c r="R6" s="49" t="s">
        <v>11</v>
      </c>
      <c r="S6" s="2" t="s">
        <v>51</v>
      </c>
      <c r="T6" s="11" t="s">
        <v>52</v>
      </c>
      <c r="U6" s="11">
        <v>72</v>
      </c>
      <c r="V6" s="11">
        <v>42</v>
      </c>
      <c r="W6" s="50" t="s">
        <v>11</v>
      </c>
      <c r="X6" s="2" t="s">
        <v>49</v>
      </c>
      <c r="Y6" s="11">
        <v>78</v>
      </c>
      <c r="Z6" s="11"/>
      <c r="AA6" s="11"/>
      <c r="AB6" s="11"/>
      <c r="AC6" s="11"/>
      <c r="AD6" s="11"/>
      <c r="AE6" s="11">
        <v>18</v>
      </c>
      <c r="AF6" s="51">
        <v>60</v>
      </c>
    </row>
    <row r="7" spans="2:32" ht="15" thickBot="1" x14ac:dyDescent="0.35">
      <c r="B7" s="3"/>
      <c r="C7" s="4" t="s">
        <v>7</v>
      </c>
      <c r="D7" s="5" t="s">
        <v>8</v>
      </c>
      <c r="E7" s="6" t="s">
        <v>9</v>
      </c>
      <c r="F7" s="7" t="s">
        <v>10</v>
      </c>
      <c r="G7" s="8"/>
      <c r="H7" s="4" t="s">
        <v>7</v>
      </c>
      <c r="I7" s="6"/>
      <c r="J7" s="6"/>
      <c r="K7" s="6"/>
      <c r="L7" s="6"/>
      <c r="M7" s="5" t="s">
        <v>8</v>
      </c>
      <c r="N7" s="4" t="s">
        <v>9</v>
      </c>
      <c r="O7" s="6" t="s">
        <v>10</v>
      </c>
      <c r="R7" s="52" t="s">
        <v>22</v>
      </c>
      <c r="S7" s="53" t="s">
        <v>53</v>
      </c>
      <c r="T7" s="11" t="s">
        <v>54</v>
      </c>
      <c r="U7" s="11" t="s">
        <v>55</v>
      </c>
      <c r="V7" s="11" t="s">
        <v>16</v>
      </c>
      <c r="W7" s="54" t="s">
        <v>22</v>
      </c>
      <c r="X7" s="53">
        <v>372</v>
      </c>
      <c r="Y7" s="11">
        <v>432</v>
      </c>
      <c r="Z7" s="11"/>
      <c r="AA7" s="11"/>
      <c r="AB7" s="11"/>
      <c r="AC7" s="11"/>
      <c r="AD7" s="11"/>
      <c r="AE7" s="11">
        <v>72</v>
      </c>
      <c r="AF7" s="11">
        <v>30</v>
      </c>
    </row>
    <row r="8" spans="2:32" ht="15" thickBot="1" x14ac:dyDescent="0.35">
      <c r="B8" s="136" t="s">
        <v>11</v>
      </c>
      <c r="C8" s="9" t="s">
        <v>12</v>
      </c>
      <c r="D8" s="10" t="s">
        <v>13</v>
      </c>
      <c r="E8" s="11" t="s">
        <v>14</v>
      </c>
      <c r="F8" s="11" t="s">
        <v>15</v>
      </c>
      <c r="G8" s="138" t="s">
        <v>11</v>
      </c>
      <c r="H8" s="9" t="s">
        <v>12</v>
      </c>
      <c r="I8" s="12"/>
      <c r="J8" s="12"/>
      <c r="K8" s="12"/>
      <c r="L8" s="12"/>
      <c r="M8" s="10" t="s">
        <v>16</v>
      </c>
      <c r="N8" s="9" t="s">
        <v>17</v>
      </c>
      <c r="O8" s="12" t="s">
        <v>16</v>
      </c>
      <c r="R8" s="55" t="s">
        <v>34</v>
      </c>
      <c r="S8" s="11" t="s">
        <v>55</v>
      </c>
      <c r="T8" s="11">
        <v>6</v>
      </c>
      <c r="U8" s="11">
        <v>42</v>
      </c>
      <c r="V8" s="11">
        <v>30</v>
      </c>
      <c r="W8" s="4" t="s">
        <v>34</v>
      </c>
      <c r="X8" s="11">
        <v>90</v>
      </c>
      <c r="Y8" s="11">
        <v>24</v>
      </c>
      <c r="Z8" s="11"/>
      <c r="AA8" s="11"/>
      <c r="AB8" s="11"/>
      <c r="AC8" s="11"/>
      <c r="AD8" s="11"/>
      <c r="AE8" s="11">
        <v>12</v>
      </c>
      <c r="AF8" s="11">
        <v>72</v>
      </c>
    </row>
    <row r="9" spans="2:32" ht="15" thickBot="1" x14ac:dyDescent="0.35">
      <c r="B9" s="137"/>
      <c r="C9" s="11" t="s">
        <v>12</v>
      </c>
      <c r="D9" s="10" t="s">
        <v>18</v>
      </c>
      <c r="E9" s="11" t="s">
        <v>19</v>
      </c>
      <c r="F9" s="11" t="s">
        <v>20</v>
      </c>
      <c r="G9" s="139"/>
      <c r="H9" s="11" t="s">
        <v>15</v>
      </c>
      <c r="I9" s="12"/>
      <c r="J9" s="12"/>
      <c r="K9" s="12"/>
      <c r="L9" s="12"/>
      <c r="M9" s="10" t="s">
        <v>14</v>
      </c>
      <c r="N9" s="11" t="s">
        <v>18</v>
      </c>
      <c r="O9" s="12" t="s">
        <v>20</v>
      </c>
    </row>
    <row r="10" spans="2:32" ht="15" thickBot="1" x14ac:dyDescent="0.35">
      <c r="B10" s="13" t="s">
        <v>21</v>
      </c>
      <c r="C10" s="14">
        <v>1</v>
      </c>
      <c r="D10" s="15">
        <v>1</v>
      </c>
      <c r="E10" s="14">
        <v>6</v>
      </c>
      <c r="F10" s="14">
        <v>3.5</v>
      </c>
      <c r="G10" s="16" t="s">
        <v>21</v>
      </c>
      <c r="H10" s="16">
        <v>2</v>
      </c>
      <c r="I10" s="18"/>
      <c r="J10" s="18"/>
      <c r="K10" s="18"/>
      <c r="L10" s="18"/>
      <c r="M10" s="17">
        <v>6.5</v>
      </c>
      <c r="N10" s="16">
        <v>1.5</v>
      </c>
      <c r="O10" s="18">
        <v>5</v>
      </c>
    </row>
    <row r="11" spans="2:32" ht="15" thickBot="1" x14ac:dyDescent="0.35">
      <c r="B11" s="140" t="s">
        <v>22</v>
      </c>
      <c r="C11" s="11" t="s">
        <v>23</v>
      </c>
      <c r="D11" s="10" t="s">
        <v>23</v>
      </c>
      <c r="E11" s="11" t="s">
        <v>12</v>
      </c>
      <c r="F11" s="11" t="s">
        <v>13</v>
      </c>
      <c r="G11" s="141" t="s">
        <v>22</v>
      </c>
      <c r="H11" s="11" t="s">
        <v>23</v>
      </c>
      <c r="I11" s="12"/>
      <c r="J11" s="12"/>
      <c r="K11" s="12"/>
      <c r="L11" s="12"/>
      <c r="M11" s="10">
        <v>34</v>
      </c>
      <c r="N11" s="11" t="s">
        <v>20</v>
      </c>
      <c r="O11" s="12" t="s">
        <v>24</v>
      </c>
    </row>
    <row r="12" spans="2:32" ht="15" thickBot="1" x14ac:dyDescent="0.35">
      <c r="B12" s="137"/>
      <c r="C12" s="11" t="s">
        <v>25</v>
      </c>
      <c r="D12" s="10" t="s">
        <v>26</v>
      </c>
      <c r="E12" s="11" t="s">
        <v>18</v>
      </c>
      <c r="F12" s="11" t="s">
        <v>17</v>
      </c>
      <c r="G12" s="139"/>
      <c r="H12" s="11" t="s">
        <v>27</v>
      </c>
      <c r="I12" s="12"/>
      <c r="J12" s="12"/>
      <c r="K12" s="12"/>
      <c r="L12" s="12"/>
      <c r="M12" s="10" t="s">
        <v>28</v>
      </c>
      <c r="N12" s="11" t="s">
        <v>29</v>
      </c>
      <c r="O12" s="12" t="s">
        <v>18</v>
      </c>
      <c r="U12" s="44"/>
      <c r="V12" s="86" t="s">
        <v>56</v>
      </c>
      <c r="W12" s="99"/>
      <c r="X12" s="99"/>
      <c r="Y12" s="87"/>
      <c r="Z12" s="76"/>
      <c r="AA12" s="76"/>
      <c r="AB12" s="76"/>
      <c r="AC12" s="76"/>
      <c r="AD12" s="76"/>
    </row>
    <row r="13" spans="2:32" ht="15" thickBot="1" x14ac:dyDescent="0.35">
      <c r="B13" s="19" t="s">
        <v>21</v>
      </c>
      <c r="C13" s="20" t="s">
        <v>30</v>
      </c>
      <c r="D13" s="21">
        <v>28</v>
      </c>
      <c r="E13" s="20" t="s">
        <v>31</v>
      </c>
      <c r="F13" s="20">
        <v>0.5</v>
      </c>
      <c r="G13" s="22" t="s">
        <v>21</v>
      </c>
      <c r="H13" s="23" t="s">
        <v>25</v>
      </c>
      <c r="I13" s="25"/>
      <c r="J13" s="25"/>
      <c r="K13" s="25"/>
      <c r="L13" s="25"/>
      <c r="M13" s="24" t="s">
        <v>32</v>
      </c>
      <c r="N13" s="23" t="s">
        <v>16</v>
      </c>
      <c r="O13" s="25" t="s">
        <v>33</v>
      </c>
      <c r="U13" s="34"/>
      <c r="V13" s="100" t="s">
        <v>50</v>
      </c>
      <c r="W13" s="101"/>
      <c r="X13" s="101"/>
      <c r="Y13" s="102"/>
      <c r="Z13" s="77"/>
      <c r="AA13" s="77"/>
      <c r="AB13" s="77"/>
      <c r="AC13" s="77"/>
      <c r="AD13" s="77"/>
    </row>
    <row r="14" spans="2:32" ht="15" thickBot="1" x14ac:dyDescent="0.35">
      <c r="B14" s="140" t="s">
        <v>34</v>
      </c>
      <c r="C14" s="11" t="s">
        <v>35</v>
      </c>
      <c r="D14" s="10" t="s">
        <v>36</v>
      </c>
      <c r="E14" s="11" t="s">
        <v>15</v>
      </c>
      <c r="F14" s="11" t="s">
        <v>15</v>
      </c>
      <c r="G14" s="141" t="s">
        <v>34</v>
      </c>
      <c r="H14" s="11" t="s">
        <v>37</v>
      </c>
      <c r="I14" s="12"/>
      <c r="J14" s="12"/>
      <c r="K14" s="12"/>
      <c r="L14" s="12"/>
      <c r="M14" s="10" t="s">
        <v>18</v>
      </c>
      <c r="N14" s="11" t="s">
        <v>17</v>
      </c>
      <c r="O14" s="12" t="s">
        <v>19</v>
      </c>
      <c r="U14" s="34"/>
      <c r="V14" s="103" t="s">
        <v>5</v>
      </c>
      <c r="W14" s="104"/>
      <c r="X14" s="105" t="s">
        <v>6</v>
      </c>
      <c r="Y14" s="106"/>
      <c r="Z14" s="76"/>
      <c r="AA14" s="76"/>
      <c r="AB14" s="76"/>
      <c r="AC14" s="76"/>
      <c r="AD14" s="76"/>
    </row>
    <row r="15" spans="2:32" ht="15" thickBot="1" x14ac:dyDescent="0.35">
      <c r="B15" s="142"/>
      <c r="C15" s="11" t="s">
        <v>12</v>
      </c>
      <c r="D15" s="10" t="s">
        <v>17</v>
      </c>
      <c r="E15" s="11" t="s">
        <v>20</v>
      </c>
      <c r="F15" s="11" t="s">
        <v>18</v>
      </c>
      <c r="G15" s="143"/>
      <c r="H15" s="11" t="s">
        <v>38</v>
      </c>
      <c r="I15" s="12"/>
      <c r="J15" s="12"/>
      <c r="K15" s="12"/>
      <c r="L15" s="12"/>
      <c r="M15" s="10" t="s">
        <v>18</v>
      </c>
      <c r="N15" s="11" t="s">
        <v>17</v>
      </c>
      <c r="O15" s="12" t="s">
        <v>14</v>
      </c>
      <c r="U15" s="35"/>
      <c r="V15" s="7" t="s">
        <v>7</v>
      </c>
      <c r="W15" s="47" t="s">
        <v>8</v>
      </c>
      <c r="X15" s="7" t="s">
        <v>9</v>
      </c>
      <c r="Y15" s="7" t="s">
        <v>10</v>
      </c>
      <c r="Z15" s="76"/>
      <c r="AA15" s="76"/>
      <c r="AB15" s="76"/>
      <c r="AC15" s="76"/>
      <c r="AD15" s="76"/>
    </row>
    <row r="16" spans="2:32" ht="15" thickBot="1" x14ac:dyDescent="0.35">
      <c r="B16" s="26" t="s">
        <v>21</v>
      </c>
      <c r="C16" s="27" t="s">
        <v>39</v>
      </c>
      <c r="D16" s="27" t="s">
        <v>40</v>
      </c>
      <c r="E16" s="27" t="s">
        <v>41</v>
      </c>
      <c r="F16" s="27" t="s">
        <v>33</v>
      </c>
      <c r="G16" s="28" t="s">
        <v>21</v>
      </c>
      <c r="H16" s="29" t="s">
        <v>42</v>
      </c>
      <c r="I16" s="29"/>
      <c r="J16" s="29"/>
      <c r="K16" s="29"/>
      <c r="L16" s="29"/>
      <c r="M16" s="29" t="s">
        <v>18</v>
      </c>
      <c r="N16" s="29" t="s">
        <v>17</v>
      </c>
      <c r="O16" s="29" t="s">
        <v>16</v>
      </c>
      <c r="U16" s="49" t="s">
        <v>11</v>
      </c>
      <c r="V16" s="11" t="s">
        <v>37</v>
      </c>
      <c r="W16" s="11">
        <v>18</v>
      </c>
      <c r="X16" s="11">
        <v>36</v>
      </c>
      <c r="Y16" s="11">
        <v>30</v>
      </c>
      <c r="Z16" s="78"/>
      <c r="AA16" s="78"/>
      <c r="AB16" s="78"/>
      <c r="AC16" s="78"/>
      <c r="AD16" s="78"/>
    </row>
    <row r="17" spans="2:30" ht="15" thickBot="1" x14ac:dyDescent="0.35">
      <c r="B17" s="30"/>
      <c r="C17" s="31"/>
      <c r="D17" s="31"/>
      <c r="E17" s="31"/>
      <c r="F17" s="31"/>
      <c r="G17" s="32"/>
      <c r="H17" s="33"/>
      <c r="I17" s="33"/>
      <c r="J17" s="33"/>
      <c r="K17" s="33"/>
      <c r="L17" s="33"/>
      <c r="M17" s="33"/>
      <c r="N17" s="33"/>
      <c r="O17" s="33"/>
      <c r="U17" s="52" t="s">
        <v>22</v>
      </c>
      <c r="V17" s="11">
        <v>294</v>
      </c>
      <c r="W17" s="11">
        <v>486</v>
      </c>
      <c r="X17" s="11">
        <v>30</v>
      </c>
      <c r="Y17" s="11">
        <v>6</v>
      </c>
      <c r="Z17" s="78"/>
      <c r="AA17" s="78"/>
      <c r="AB17" s="78"/>
      <c r="AC17" s="78"/>
      <c r="AD17" s="78"/>
    </row>
    <row r="18" spans="2:30" ht="15" thickBot="1" x14ac:dyDescent="0.35">
      <c r="B18" s="144"/>
      <c r="C18" s="146" t="s">
        <v>43</v>
      </c>
      <c r="D18" s="147"/>
      <c r="E18" s="147"/>
      <c r="F18" s="148"/>
      <c r="G18" s="152" t="s">
        <v>45</v>
      </c>
      <c r="H18" s="153"/>
      <c r="I18" s="153"/>
      <c r="J18" s="153"/>
      <c r="K18" s="153"/>
      <c r="L18" s="153"/>
      <c r="M18" s="153"/>
      <c r="N18" s="153"/>
      <c r="O18" s="153"/>
      <c r="U18" s="55" t="s">
        <v>34</v>
      </c>
      <c r="V18" s="11">
        <v>12</v>
      </c>
      <c r="W18" s="11">
        <v>30</v>
      </c>
      <c r="X18" s="11">
        <v>24</v>
      </c>
      <c r="Y18" s="11">
        <v>18</v>
      </c>
      <c r="Z18" s="78"/>
      <c r="AA18" s="78"/>
      <c r="AB18" s="78"/>
      <c r="AC18" s="78"/>
      <c r="AD18" s="78"/>
    </row>
    <row r="19" spans="2:30" ht="18.600000000000001" thickBot="1" x14ac:dyDescent="0.35">
      <c r="B19" s="145"/>
      <c r="C19" s="149" t="s">
        <v>44</v>
      </c>
      <c r="D19" s="150"/>
      <c r="E19" s="150"/>
      <c r="F19" s="151"/>
      <c r="G19" s="152"/>
      <c r="H19" s="153"/>
      <c r="I19" s="153"/>
      <c r="J19" s="153"/>
      <c r="K19" s="153"/>
      <c r="L19" s="153"/>
      <c r="M19" s="153"/>
      <c r="N19" s="153"/>
      <c r="O19" s="153"/>
    </row>
    <row r="20" spans="2:30" ht="15" thickBot="1" x14ac:dyDescent="0.35">
      <c r="B20" s="35"/>
      <c r="C20" s="83" t="s">
        <v>4</v>
      </c>
      <c r="D20" s="84"/>
      <c r="E20" s="84"/>
      <c r="F20" s="85"/>
      <c r="G20" s="152"/>
      <c r="H20" s="153"/>
      <c r="I20" s="153"/>
      <c r="J20" s="153"/>
      <c r="K20" s="153"/>
      <c r="L20" s="153"/>
      <c r="M20" s="153"/>
      <c r="N20" s="153"/>
      <c r="O20" s="153"/>
    </row>
    <row r="21" spans="2:30" ht="15" thickBot="1" x14ac:dyDescent="0.35">
      <c r="B21" s="36" t="s">
        <v>46</v>
      </c>
      <c r="C21" s="86" t="s">
        <v>5</v>
      </c>
      <c r="D21" s="87"/>
      <c r="E21" s="86" t="s">
        <v>6</v>
      </c>
      <c r="F21" s="87"/>
      <c r="G21" s="152"/>
      <c r="H21" s="153"/>
      <c r="I21" s="153"/>
      <c r="J21" s="153"/>
      <c r="K21" s="153"/>
      <c r="L21" s="153"/>
      <c r="M21" s="153"/>
      <c r="N21" s="153"/>
      <c r="O21" s="153"/>
    </row>
    <row r="22" spans="2:30" ht="15" thickBot="1" x14ac:dyDescent="0.35">
      <c r="B22" s="3"/>
      <c r="C22" s="4" t="s">
        <v>7</v>
      </c>
      <c r="D22" s="37" t="s">
        <v>8</v>
      </c>
      <c r="E22" s="4" t="s">
        <v>9</v>
      </c>
      <c r="F22" s="7" t="s">
        <v>10</v>
      </c>
      <c r="G22" s="152"/>
      <c r="H22" s="153"/>
      <c r="I22" s="153"/>
      <c r="J22" s="153"/>
      <c r="K22" s="153"/>
      <c r="L22" s="153"/>
      <c r="M22" s="153"/>
      <c r="N22" s="153"/>
      <c r="O22" s="153"/>
    </row>
    <row r="23" spans="2:30" ht="15" thickBot="1" x14ac:dyDescent="0.35">
      <c r="B23" s="136" t="s">
        <v>11</v>
      </c>
      <c r="C23" s="9" t="s">
        <v>13</v>
      </c>
      <c r="D23" s="10" t="s">
        <v>18</v>
      </c>
      <c r="E23" s="11" t="s">
        <v>18</v>
      </c>
      <c r="F23" s="11" t="s">
        <v>24</v>
      </c>
      <c r="G23" s="152"/>
      <c r="H23" s="153"/>
      <c r="I23" s="153"/>
      <c r="J23" s="153"/>
      <c r="K23" s="153"/>
      <c r="L23" s="153"/>
      <c r="M23" s="153"/>
      <c r="N23" s="153"/>
      <c r="O23" s="153"/>
    </row>
    <row r="24" spans="2:30" ht="15" thickBot="1" x14ac:dyDescent="0.35">
      <c r="B24" s="137"/>
      <c r="C24" s="11" t="s">
        <v>12</v>
      </c>
      <c r="D24" s="10" t="s">
        <v>17</v>
      </c>
      <c r="E24" s="11" t="s">
        <v>20</v>
      </c>
      <c r="F24" s="11" t="s">
        <v>18</v>
      </c>
      <c r="G24" s="152"/>
      <c r="H24" s="153"/>
      <c r="I24" s="153"/>
      <c r="J24" s="153"/>
      <c r="K24" s="153"/>
      <c r="L24" s="153"/>
      <c r="M24" s="153"/>
      <c r="N24" s="153"/>
      <c r="O24" s="153"/>
    </row>
    <row r="25" spans="2:30" ht="15" thickBot="1" x14ac:dyDescent="0.35">
      <c r="B25" s="38" t="s">
        <v>21</v>
      </c>
      <c r="C25" s="39">
        <v>0.5</v>
      </c>
      <c r="D25" s="40">
        <v>1.5</v>
      </c>
      <c r="E25" s="39">
        <v>3</v>
      </c>
      <c r="F25" s="39">
        <v>2.5</v>
      </c>
      <c r="G25" s="152"/>
      <c r="H25" s="153"/>
      <c r="I25" s="153"/>
      <c r="J25" s="153"/>
      <c r="K25" s="153"/>
      <c r="L25" s="153"/>
      <c r="M25" s="153"/>
      <c r="N25" s="153"/>
      <c r="O25" s="153"/>
    </row>
    <row r="26" spans="2:30" ht="15" thickBot="1" x14ac:dyDescent="0.35">
      <c r="B26" s="140" t="s">
        <v>22</v>
      </c>
      <c r="C26" s="11" t="s">
        <v>47</v>
      </c>
      <c r="D26" s="10" t="s">
        <v>48</v>
      </c>
      <c r="E26" s="11" t="s">
        <v>18</v>
      </c>
      <c r="F26" s="11" t="s">
        <v>17</v>
      </c>
      <c r="G26" s="152"/>
      <c r="H26" s="153"/>
      <c r="I26" s="153"/>
      <c r="J26" s="153"/>
      <c r="K26" s="153"/>
      <c r="L26" s="153"/>
      <c r="M26" s="153"/>
      <c r="N26" s="153"/>
      <c r="O26" s="153"/>
    </row>
    <row r="27" spans="2:30" ht="15" thickBot="1" x14ac:dyDescent="0.35">
      <c r="B27" s="137"/>
      <c r="C27" s="11" t="s">
        <v>49</v>
      </c>
      <c r="D27" s="10">
        <v>42</v>
      </c>
      <c r="E27" s="11" t="s">
        <v>24</v>
      </c>
      <c r="F27" s="11" t="s">
        <v>36</v>
      </c>
      <c r="G27" s="152"/>
      <c r="H27" s="153"/>
      <c r="I27" s="153"/>
      <c r="J27" s="153"/>
      <c r="K27" s="153"/>
      <c r="L27" s="153"/>
      <c r="M27" s="153"/>
      <c r="N27" s="153"/>
      <c r="O27" s="153"/>
    </row>
    <row r="28" spans="2:30" ht="15" thickBot="1" x14ac:dyDescent="0.35">
      <c r="B28" s="38" t="s">
        <v>21</v>
      </c>
      <c r="C28" s="39">
        <v>24.5</v>
      </c>
      <c r="D28" s="40">
        <v>40.5</v>
      </c>
      <c r="E28" s="39">
        <v>2.5</v>
      </c>
      <c r="F28" s="39">
        <v>0.5</v>
      </c>
      <c r="G28" s="152"/>
      <c r="H28" s="153"/>
      <c r="I28" s="153"/>
      <c r="J28" s="153"/>
      <c r="K28" s="153"/>
      <c r="L28" s="153"/>
      <c r="M28" s="153"/>
      <c r="N28" s="153"/>
      <c r="O28" s="153"/>
    </row>
    <row r="29" spans="2:30" ht="15" thickBot="1" x14ac:dyDescent="0.35">
      <c r="B29" s="140" t="s">
        <v>34</v>
      </c>
      <c r="C29" s="11" t="s">
        <v>35</v>
      </c>
      <c r="D29" s="10" t="s">
        <v>36</v>
      </c>
      <c r="E29" s="11" t="s">
        <v>12</v>
      </c>
      <c r="F29" s="11" t="s">
        <v>12</v>
      </c>
      <c r="G29" s="152"/>
      <c r="H29" s="153"/>
      <c r="I29" s="153"/>
      <c r="J29" s="153"/>
      <c r="K29" s="153"/>
      <c r="L29" s="153"/>
      <c r="M29" s="153"/>
      <c r="N29" s="153"/>
      <c r="O29" s="153"/>
    </row>
    <row r="30" spans="2:30" ht="15" thickBot="1" x14ac:dyDescent="0.35">
      <c r="B30" s="137"/>
      <c r="C30" s="11" t="s">
        <v>13</v>
      </c>
      <c r="D30" s="10" t="s">
        <v>19</v>
      </c>
      <c r="E30" s="11">
        <v>3</v>
      </c>
      <c r="F30" s="11" t="s">
        <v>18</v>
      </c>
      <c r="G30" s="152"/>
      <c r="H30" s="153"/>
      <c r="I30" s="153"/>
      <c r="J30" s="153"/>
      <c r="K30" s="153"/>
      <c r="L30" s="153"/>
      <c r="M30" s="153"/>
      <c r="N30" s="153"/>
      <c r="O30" s="153"/>
      <c r="V30">
        <f>2+1</f>
        <v>3</v>
      </c>
    </row>
    <row r="31" spans="2:30" ht="15" thickBot="1" x14ac:dyDescent="0.35">
      <c r="B31" s="41" t="s">
        <v>21</v>
      </c>
      <c r="C31" s="42">
        <v>1</v>
      </c>
      <c r="D31" s="43">
        <v>2.5</v>
      </c>
      <c r="E31" s="42">
        <v>2</v>
      </c>
      <c r="F31" s="42">
        <v>1.5</v>
      </c>
      <c r="G31" s="154"/>
      <c r="H31" s="155"/>
      <c r="I31" s="155"/>
      <c r="J31" s="155"/>
      <c r="K31" s="155"/>
      <c r="L31" s="155"/>
      <c r="M31" s="155"/>
      <c r="N31" s="155"/>
      <c r="O31" s="155"/>
    </row>
    <row r="32" spans="2:30" ht="15" thickBot="1" x14ac:dyDescent="0.35"/>
    <row r="33" spans="1:44" x14ac:dyDescent="0.3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2"/>
      <c r="P33" s="60"/>
      <c r="Q33" s="61"/>
      <c r="R33" s="61"/>
      <c r="S33" s="61"/>
      <c r="T33" s="61"/>
      <c r="U33" s="61"/>
      <c r="V33" s="61"/>
      <c r="W33" s="61"/>
      <c r="X33" s="61"/>
      <c r="Y33" s="62"/>
      <c r="Z33" s="56"/>
      <c r="AA33" s="56"/>
      <c r="AB33" s="56"/>
      <c r="AC33" s="56"/>
      <c r="AD33" s="56"/>
      <c r="AF33" s="60"/>
      <c r="AG33" s="61"/>
      <c r="AH33" s="61"/>
      <c r="AI33" s="61"/>
      <c r="AJ33" s="61"/>
      <c r="AK33" s="61"/>
      <c r="AL33" s="61"/>
      <c r="AM33" s="61"/>
      <c r="AN33" s="61"/>
      <c r="AO33" s="62"/>
    </row>
    <row r="34" spans="1:44" x14ac:dyDescent="0.3">
      <c r="A34" s="63"/>
      <c r="B34" s="82"/>
      <c r="C34" s="82" t="s">
        <v>0</v>
      </c>
      <c r="D34" s="82"/>
      <c r="E34" s="82"/>
      <c r="F34" s="82"/>
      <c r="G34" s="56"/>
      <c r="H34" s="56"/>
      <c r="I34" s="56"/>
      <c r="J34" s="56"/>
      <c r="K34" s="56"/>
      <c r="L34" s="56"/>
      <c r="M34" s="56"/>
      <c r="N34" s="64"/>
      <c r="P34" s="63"/>
      <c r="Q34" s="82"/>
      <c r="R34" s="82" t="s">
        <v>2</v>
      </c>
      <c r="S34" s="82"/>
      <c r="T34" s="82"/>
      <c r="U34" s="82"/>
      <c r="V34" s="56"/>
      <c r="W34" s="56"/>
      <c r="X34" s="56"/>
      <c r="Y34" s="64"/>
      <c r="Z34" s="56"/>
      <c r="AA34" s="56"/>
      <c r="AB34" s="56"/>
      <c r="AC34" s="56"/>
      <c r="AD34" s="56"/>
      <c r="AF34" s="63"/>
      <c r="AG34" s="82"/>
      <c r="AH34" s="82" t="s">
        <v>113</v>
      </c>
      <c r="AI34" s="82"/>
      <c r="AJ34" s="82"/>
      <c r="AK34" s="82"/>
      <c r="AL34" s="56"/>
      <c r="AM34" s="56"/>
      <c r="AN34" s="56"/>
      <c r="AO34" s="64"/>
    </row>
    <row r="35" spans="1:44" x14ac:dyDescent="0.3">
      <c r="A35" s="63"/>
      <c r="B35" s="82"/>
      <c r="C35" s="92" t="s">
        <v>50</v>
      </c>
      <c r="D35" s="92"/>
      <c r="E35" s="92"/>
      <c r="F35" s="92"/>
      <c r="G35" s="56"/>
      <c r="H35" s="56"/>
      <c r="I35" s="56"/>
      <c r="J35" s="56"/>
      <c r="K35" s="56"/>
      <c r="L35" s="56"/>
      <c r="M35" s="56"/>
      <c r="N35" s="64"/>
      <c r="P35" s="63"/>
      <c r="Q35" s="82"/>
      <c r="R35" s="92" t="s">
        <v>50</v>
      </c>
      <c r="S35" s="92"/>
      <c r="T35" s="92"/>
      <c r="U35" s="92"/>
      <c r="V35" s="56"/>
      <c r="W35" s="56"/>
      <c r="X35" s="56"/>
      <c r="Y35" s="64"/>
      <c r="Z35" s="56"/>
      <c r="AA35" s="56"/>
      <c r="AB35" s="56"/>
      <c r="AC35" s="56"/>
      <c r="AD35" s="56"/>
      <c r="AF35" s="63"/>
      <c r="AG35" s="82"/>
      <c r="AH35" s="92" t="s">
        <v>50</v>
      </c>
      <c r="AI35" s="92"/>
      <c r="AJ35" s="92"/>
      <c r="AK35" s="92"/>
      <c r="AL35" s="56"/>
      <c r="AM35" s="56"/>
      <c r="AN35" s="56"/>
      <c r="AO35" s="64"/>
    </row>
    <row r="36" spans="1:44" x14ac:dyDescent="0.3">
      <c r="A36" s="63"/>
      <c r="B36" s="82"/>
      <c r="C36" s="82" t="s">
        <v>5</v>
      </c>
      <c r="D36" s="82"/>
      <c r="E36" s="82" t="s">
        <v>6</v>
      </c>
      <c r="F36" s="82"/>
      <c r="G36" s="56"/>
      <c r="H36" s="56"/>
      <c r="I36" s="56"/>
      <c r="J36" s="56" t="s">
        <v>108</v>
      </c>
      <c r="K36" s="56" t="s">
        <v>107</v>
      </c>
      <c r="L36" s="56"/>
      <c r="M36" s="56"/>
      <c r="N36" s="64"/>
      <c r="P36" s="63"/>
      <c r="Q36" s="82"/>
      <c r="R36" s="82" t="s">
        <v>5</v>
      </c>
      <c r="S36" s="82"/>
      <c r="T36" s="82" t="s">
        <v>6</v>
      </c>
      <c r="U36" s="82"/>
      <c r="V36" s="56"/>
      <c r="W36" s="56" t="s">
        <v>109</v>
      </c>
      <c r="X36" s="56" t="s">
        <v>110</v>
      </c>
      <c r="Y36" s="64"/>
      <c r="Z36" s="56"/>
      <c r="AA36" s="56"/>
      <c r="AB36" s="56"/>
      <c r="AC36" s="56"/>
      <c r="AD36" s="56"/>
      <c r="AF36" s="63"/>
      <c r="AG36" s="82"/>
      <c r="AH36" s="82" t="s">
        <v>5</v>
      </c>
      <c r="AI36" s="82"/>
      <c r="AJ36" s="82" t="s">
        <v>6</v>
      </c>
      <c r="AK36" s="82"/>
      <c r="AL36" s="56"/>
      <c r="AM36" s="56"/>
      <c r="AN36" s="56"/>
      <c r="AO36" s="64"/>
    </row>
    <row r="37" spans="1:44" x14ac:dyDescent="0.3">
      <c r="A37" s="63"/>
      <c r="B37" s="82"/>
      <c r="C37" s="58" t="s">
        <v>7</v>
      </c>
      <c r="D37" s="58" t="s">
        <v>8</v>
      </c>
      <c r="E37" s="58" t="s">
        <v>9</v>
      </c>
      <c r="F37" s="58" t="s">
        <v>10</v>
      </c>
      <c r="G37" s="56"/>
      <c r="H37" s="56"/>
      <c r="I37" s="56"/>
      <c r="J37" s="56">
        <f>C39+D39</f>
        <v>1868</v>
      </c>
      <c r="K37" s="56">
        <f>E39+F39</f>
        <v>55</v>
      </c>
      <c r="L37" s="56"/>
      <c r="M37" s="56"/>
      <c r="N37" s="64"/>
      <c r="P37" s="63"/>
      <c r="Q37" s="82"/>
      <c r="R37" s="58" t="s">
        <v>7</v>
      </c>
      <c r="S37" s="58" t="s">
        <v>8</v>
      </c>
      <c r="T37" s="58" t="s">
        <v>9</v>
      </c>
      <c r="U37" s="58" t="s">
        <v>10</v>
      </c>
      <c r="V37" s="56"/>
      <c r="W37" s="56">
        <f>R39+S39</f>
        <v>1325</v>
      </c>
      <c r="X37" s="56">
        <f>T39+U39</f>
        <v>102</v>
      </c>
      <c r="Y37" s="64"/>
      <c r="Z37" s="56"/>
      <c r="AA37" s="56"/>
      <c r="AB37" s="56"/>
      <c r="AC37" s="56"/>
      <c r="AD37" s="56"/>
      <c r="AF37" s="63"/>
      <c r="AG37" s="82"/>
      <c r="AH37" s="58" t="s">
        <v>7</v>
      </c>
      <c r="AI37" s="58" t="s">
        <v>8</v>
      </c>
      <c r="AJ37" s="58" t="s">
        <v>9</v>
      </c>
      <c r="AK37" s="58" t="s">
        <v>10</v>
      </c>
      <c r="AL37" s="56"/>
      <c r="AM37" s="163" t="s">
        <v>111</v>
      </c>
      <c r="AN37" s="163" t="s">
        <v>112</v>
      </c>
      <c r="AO37" s="64"/>
    </row>
    <row r="38" spans="1:44" x14ac:dyDescent="0.3">
      <c r="A38" s="63"/>
      <c r="B38" s="58" t="s">
        <v>11</v>
      </c>
      <c r="C38" s="57">
        <v>115</v>
      </c>
      <c r="D38" s="57">
        <v>255</v>
      </c>
      <c r="E38" s="57">
        <v>87</v>
      </c>
      <c r="F38" s="57">
        <v>115</v>
      </c>
      <c r="G38" s="56"/>
      <c r="H38" s="56"/>
      <c r="I38" s="56"/>
      <c r="J38" s="56"/>
      <c r="K38" s="56"/>
      <c r="L38" s="56"/>
      <c r="M38" s="56"/>
      <c r="N38" s="64"/>
      <c r="P38" s="63"/>
      <c r="Q38" s="58" t="s">
        <v>11</v>
      </c>
      <c r="R38" s="80">
        <v>150</v>
      </c>
      <c r="S38" s="80">
        <v>115</v>
      </c>
      <c r="T38" s="80">
        <v>18</v>
      </c>
      <c r="U38" s="80">
        <v>60</v>
      </c>
      <c r="V38" s="56"/>
      <c r="W38" s="56"/>
      <c r="X38" s="56"/>
      <c r="Y38" s="64"/>
      <c r="Z38" s="56"/>
      <c r="AA38" s="56"/>
      <c r="AB38" s="56"/>
      <c r="AC38" s="56"/>
      <c r="AD38" s="56"/>
      <c r="AF38" s="63"/>
      <c r="AG38" s="58" t="s">
        <v>11</v>
      </c>
      <c r="AH38" s="80">
        <v>118</v>
      </c>
      <c r="AI38" s="80">
        <v>180</v>
      </c>
      <c r="AJ38" s="80">
        <v>36</v>
      </c>
      <c r="AK38" s="80">
        <v>30</v>
      </c>
      <c r="AL38" s="56"/>
      <c r="AM38" s="56">
        <f>AH39+AI39</f>
        <v>1080</v>
      </c>
      <c r="AN38" s="56">
        <f>AJ39+AK39</f>
        <v>36</v>
      </c>
      <c r="AO38" s="64"/>
      <c r="AQ38" t="s">
        <v>114</v>
      </c>
      <c r="AR38" t="s">
        <v>115</v>
      </c>
    </row>
    <row r="39" spans="1:44" x14ac:dyDescent="0.3">
      <c r="A39" s="63"/>
      <c r="B39" s="58" t="s">
        <v>22</v>
      </c>
      <c r="C39" s="57">
        <v>988</v>
      </c>
      <c r="D39" s="57">
        <v>880</v>
      </c>
      <c r="E39" s="57">
        <v>25</v>
      </c>
      <c r="F39" s="57">
        <v>30</v>
      </c>
      <c r="G39" s="56"/>
      <c r="H39" s="56"/>
      <c r="I39" s="56"/>
      <c r="J39" s="56"/>
      <c r="K39" s="56" t="s">
        <v>116</v>
      </c>
      <c r="L39" s="56" t="s">
        <v>117</v>
      </c>
      <c r="M39" s="56"/>
      <c r="N39" s="64"/>
      <c r="P39" s="63"/>
      <c r="Q39" s="58" t="s">
        <v>22</v>
      </c>
      <c r="R39" s="57">
        <v>775</v>
      </c>
      <c r="S39" s="57">
        <v>550</v>
      </c>
      <c r="T39" s="80">
        <v>72</v>
      </c>
      <c r="U39" s="80">
        <v>30</v>
      </c>
      <c r="V39" s="56"/>
      <c r="W39" s="56"/>
      <c r="X39" s="56"/>
      <c r="Y39" s="64"/>
      <c r="Z39" s="56"/>
      <c r="AA39" s="56">
        <f>R39+AH39+C39</f>
        <v>2057</v>
      </c>
      <c r="AB39" s="56"/>
      <c r="AC39" s="56"/>
      <c r="AD39" s="56"/>
      <c r="AF39" s="63"/>
      <c r="AG39" s="58" t="s">
        <v>22</v>
      </c>
      <c r="AH39" s="57">
        <v>294</v>
      </c>
      <c r="AI39" s="57">
        <v>786</v>
      </c>
      <c r="AJ39" s="80">
        <v>30</v>
      </c>
      <c r="AK39" s="80">
        <v>6</v>
      </c>
      <c r="AL39" s="56"/>
      <c r="AM39" s="56"/>
      <c r="AN39" s="56"/>
      <c r="AO39" s="64"/>
      <c r="AQ39">
        <f>AM38+W37+J37</f>
        <v>4273</v>
      </c>
      <c r="AR39">
        <f>AN38+X37+K37</f>
        <v>193</v>
      </c>
    </row>
    <row r="40" spans="1:44" x14ac:dyDescent="0.3">
      <c r="A40" s="63"/>
      <c r="B40" s="58" t="s">
        <v>34</v>
      </c>
      <c r="C40" s="57">
        <v>105</v>
      </c>
      <c r="D40" s="57">
        <v>65</v>
      </c>
      <c r="E40" s="57">
        <v>210</v>
      </c>
      <c r="F40" s="57">
        <v>150</v>
      </c>
      <c r="G40" s="56"/>
      <c r="H40" s="56"/>
      <c r="I40" s="56"/>
      <c r="J40" s="56"/>
      <c r="K40" s="56">
        <f>D39+S39+AI39</f>
        <v>2216</v>
      </c>
      <c r="L40" s="56">
        <f>C39+R39+AH39</f>
        <v>2057</v>
      </c>
      <c r="M40" s="56"/>
      <c r="N40" s="64"/>
      <c r="P40" s="63"/>
      <c r="Q40" s="58" t="s">
        <v>34</v>
      </c>
      <c r="R40" s="80">
        <v>90</v>
      </c>
      <c r="S40" s="80">
        <v>150</v>
      </c>
      <c r="T40" s="80">
        <v>12</v>
      </c>
      <c r="U40" s="80">
        <v>72</v>
      </c>
      <c r="V40" s="56"/>
      <c r="W40" s="56"/>
      <c r="X40" s="56"/>
      <c r="Y40" s="64"/>
      <c r="Z40" s="56"/>
      <c r="AA40" s="56"/>
      <c r="AB40" s="56"/>
      <c r="AC40" s="56"/>
      <c r="AD40" s="56"/>
      <c r="AF40" s="63"/>
      <c r="AG40" s="58" t="s">
        <v>34</v>
      </c>
      <c r="AH40" s="80">
        <v>312</v>
      </c>
      <c r="AI40" s="80">
        <v>30</v>
      </c>
      <c r="AJ40" s="80">
        <v>24</v>
      </c>
      <c r="AK40" s="80">
        <v>18</v>
      </c>
      <c r="AL40" s="56"/>
      <c r="AM40" s="56"/>
      <c r="AN40" s="56"/>
      <c r="AO40" s="64"/>
    </row>
    <row r="41" spans="1:44" x14ac:dyDescent="0.3">
      <c r="A41" s="63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64"/>
      <c r="P41" s="63"/>
      <c r="Q41" s="56"/>
      <c r="R41" s="56"/>
      <c r="S41" s="56"/>
      <c r="T41" s="56"/>
      <c r="U41" s="56"/>
      <c r="V41" s="56"/>
      <c r="W41" s="56"/>
      <c r="X41" s="56"/>
      <c r="Y41" s="64"/>
      <c r="Z41" s="56"/>
      <c r="AA41" s="56"/>
      <c r="AB41" s="56"/>
      <c r="AC41" s="56"/>
      <c r="AD41" s="56"/>
      <c r="AF41" s="63"/>
      <c r="AG41" s="56"/>
      <c r="AH41" s="56"/>
      <c r="AI41" s="56"/>
      <c r="AJ41" s="56"/>
      <c r="AK41" s="56"/>
      <c r="AL41" s="56"/>
      <c r="AM41" s="56"/>
      <c r="AN41" s="56"/>
      <c r="AO41" s="64"/>
    </row>
    <row r="42" spans="1:44" x14ac:dyDescent="0.3">
      <c r="A42" s="93" t="s">
        <v>57</v>
      </c>
      <c r="B42" s="94"/>
      <c r="C42" s="94"/>
      <c r="D42" s="57">
        <f>D38*(C39+C40)</f>
        <v>278715</v>
      </c>
      <c r="E42" s="95" t="str">
        <f>IF(D42&gt;90000,"Left turn phase Suggested")</f>
        <v>Left turn phase Suggested</v>
      </c>
      <c r="F42" s="95"/>
      <c r="G42" s="95"/>
      <c r="H42" s="56"/>
      <c r="I42" s="56"/>
      <c r="J42" s="56"/>
      <c r="K42" s="56"/>
      <c r="L42" s="56"/>
      <c r="M42" s="56"/>
      <c r="N42" s="64"/>
      <c r="P42" s="93" t="s">
        <v>57</v>
      </c>
      <c r="Q42" s="94"/>
      <c r="R42" s="94"/>
      <c r="S42" s="57">
        <f>S38*(R39+R40)</f>
        <v>99475</v>
      </c>
      <c r="T42" s="95" t="str">
        <f>IF(S42&gt;90000,"Left turn phase Suggested")</f>
        <v>Left turn phase Suggested</v>
      </c>
      <c r="U42" s="95"/>
      <c r="V42" s="95"/>
      <c r="W42" s="56"/>
      <c r="X42" s="56"/>
      <c r="Y42" s="64"/>
      <c r="Z42" s="56"/>
      <c r="AA42" s="56"/>
      <c r="AB42" s="56"/>
      <c r="AC42" s="56"/>
      <c r="AD42" s="56"/>
      <c r="AF42" s="93" t="s">
        <v>57</v>
      </c>
      <c r="AG42" s="94"/>
      <c r="AH42" s="94"/>
      <c r="AI42" s="57">
        <f>AI38*(AH39+AH40)</f>
        <v>109080</v>
      </c>
      <c r="AJ42" s="95" t="str">
        <f>IF(AI42&gt;90000,"Left turn phase Suggested")</f>
        <v>Left turn phase Suggested</v>
      </c>
      <c r="AK42" s="95"/>
      <c r="AL42" s="95"/>
      <c r="AM42" s="56"/>
      <c r="AN42" s="56"/>
      <c r="AO42" s="64"/>
    </row>
    <row r="43" spans="1:44" x14ac:dyDescent="0.3">
      <c r="A43" s="93" t="s">
        <v>58</v>
      </c>
      <c r="B43" s="94"/>
      <c r="C43" s="94"/>
      <c r="D43" s="57">
        <f>C38*(D39+D40)</f>
        <v>108675</v>
      </c>
      <c r="E43" s="95" t="str">
        <f>IF(D43&gt;90000,"Left turn phase Suggested")</f>
        <v>Left turn phase Suggested</v>
      </c>
      <c r="F43" s="95"/>
      <c r="G43" s="95"/>
      <c r="H43" s="56"/>
      <c r="I43" s="56"/>
      <c r="J43" s="56"/>
      <c r="K43" s="56"/>
      <c r="L43" s="56"/>
      <c r="M43" s="56"/>
      <c r="N43" s="64"/>
      <c r="P43" s="93" t="s">
        <v>58</v>
      </c>
      <c r="Q43" s="94"/>
      <c r="R43" s="94"/>
      <c r="S43" s="57">
        <f>R38*(S39+S40)</f>
        <v>105000</v>
      </c>
      <c r="T43" s="95" t="str">
        <f>IF(S43&gt;90000,"Left turn phase Suggested")</f>
        <v>Left turn phase Suggested</v>
      </c>
      <c r="U43" s="95"/>
      <c r="V43" s="95"/>
      <c r="W43" s="56"/>
      <c r="X43" s="56"/>
      <c r="Y43" s="64"/>
      <c r="Z43" s="56"/>
      <c r="AA43" s="56"/>
      <c r="AB43" s="56"/>
      <c r="AC43" s="56"/>
      <c r="AD43" s="56"/>
      <c r="AF43" s="93" t="s">
        <v>58</v>
      </c>
      <c r="AG43" s="94"/>
      <c r="AH43" s="94"/>
      <c r="AI43" s="57">
        <f>AH38*(AI39+AI40)</f>
        <v>96288</v>
      </c>
      <c r="AJ43" s="95" t="str">
        <f>IF(AI43&gt;90000,"Left turn phase Suggested")</f>
        <v>Left turn phase Suggested</v>
      </c>
      <c r="AK43" s="95"/>
      <c r="AL43" s="95"/>
      <c r="AM43" s="56"/>
      <c r="AN43" s="56"/>
      <c r="AO43" s="64"/>
    </row>
    <row r="44" spans="1:44" x14ac:dyDescent="0.3">
      <c r="A44" s="96"/>
      <c r="B44" s="97"/>
      <c r="C44" s="97"/>
      <c r="D44" s="97"/>
      <c r="E44" s="97"/>
      <c r="F44" s="97"/>
      <c r="G44" s="98"/>
      <c r="H44" s="56"/>
      <c r="I44" s="56"/>
      <c r="J44" s="56"/>
      <c r="K44" s="56"/>
      <c r="L44" s="56"/>
      <c r="M44" s="56"/>
      <c r="N44" s="64"/>
      <c r="P44" s="96"/>
      <c r="Q44" s="97"/>
      <c r="R44" s="97"/>
      <c r="S44" s="97"/>
      <c r="T44" s="97"/>
      <c r="U44" s="97"/>
      <c r="V44" s="98"/>
      <c r="W44" s="56"/>
      <c r="X44" s="56"/>
      <c r="Y44" s="64"/>
      <c r="Z44" s="56"/>
      <c r="AA44" s="56"/>
      <c r="AB44" s="56"/>
      <c r="AC44" s="56"/>
      <c r="AD44" s="56"/>
      <c r="AF44" s="96"/>
      <c r="AG44" s="97"/>
      <c r="AH44" s="97"/>
      <c r="AI44" s="97"/>
      <c r="AJ44" s="97"/>
      <c r="AK44" s="97"/>
      <c r="AL44" s="98"/>
      <c r="AM44" s="56"/>
      <c r="AN44" s="56"/>
      <c r="AO44" s="64"/>
    </row>
    <row r="45" spans="1:44" x14ac:dyDescent="0.3">
      <c r="A45" s="93" t="s">
        <v>59</v>
      </c>
      <c r="B45" s="94"/>
      <c r="C45" s="94"/>
      <c r="D45" s="57">
        <f>E38*(F39+F40)</f>
        <v>15660</v>
      </c>
      <c r="E45" s="95" t="b">
        <f t="shared" ref="E45:E46" si="0">IF(D45&gt;90000,"Left turn phase Suggested")</f>
        <v>0</v>
      </c>
      <c r="F45" s="95"/>
      <c r="G45" s="95"/>
      <c r="H45" s="56"/>
      <c r="I45" s="56"/>
      <c r="J45" s="56"/>
      <c r="K45" s="56"/>
      <c r="L45" s="56"/>
      <c r="M45" s="56"/>
      <c r="N45" s="64"/>
      <c r="P45" s="93" t="s">
        <v>59</v>
      </c>
      <c r="Q45" s="94"/>
      <c r="R45" s="94"/>
      <c r="S45" s="57">
        <f>T38*(U39+U40)</f>
        <v>1836</v>
      </c>
      <c r="T45" s="95" t="b">
        <f t="shared" ref="T45:T46" si="1">IF(S45&gt;90000,"Left turn phase Suggested")</f>
        <v>0</v>
      </c>
      <c r="U45" s="95"/>
      <c r="V45" s="95"/>
      <c r="W45" s="56"/>
      <c r="X45" s="56"/>
      <c r="Y45" s="64"/>
      <c r="Z45" s="56"/>
      <c r="AA45" s="56"/>
      <c r="AB45" s="56"/>
      <c r="AC45" s="56"/>
      <c r="AD45" s="56"/>
      <c r="AF45" s="93" t="s">
        <v>59</v>
      </c>
      <c r="AG45" s="94"/>
      <c r="AH45" s="94"/>
      <c r="AI45" s="57">
        <f>AJ38+(AK39+AK40)</f>
        <v>60</v>
      </c>
      <c r="AJ45" s="95" t="b">
        <f t="shared" ref="AJ45:AJ46" si="2">IF(AI45&gt;90000,"Left turn phase Suggested")</f>
        <v>0</v>
      </c>
      <c r="AK45" s="95"/>
      <c r="AL45" s="95"/>
      <c r="AM45" s="56"/>
      <c r="AN45" s="56"/>
      <c r="AO45" s="64"/>
    </row>
    <row r="46" spans="1:44" x14ac:dyDescent="0.3">
      <c r="A46" s="93" t="s">
        <v>60</v>
      </c>
      <c r="B46" s="94"/>
      <c r="C46" s="94"/>
      <c r="D46" s="57">
        <f>F38*(E39+E40)</f>
        <v>27025</v>
      </c>
      <c r="E46" s="95" t="b">
        <f t="shared" si="0"/>
        <v>0</v>
      </c>
      <c r="F46" s="95"/>
      <c r="G46" s="95"/>
      <c r="H46" s="56"/>
      <c r="I46" s="56"/>
      <c r="J46" s="56"/>
      <c r="K46" s="56"/>
      <c r="L46" s="56"/>
      <c r="M46" s="56"/>
      <c r="N46" s="64"/>
      <c r="P46" s="93" t="s">
        <v>60</v>
      </c>
      <c r="Q46" s="94"/>
      <c r="R46" s="94"/>
      <c r="S46" s="57">
        <f>U38*(T39+T40)</f>
        <v>5040</v>
      </c>
      <c r="T46" s="95" t="b">
        <f t="shared" si="1"/>
        <v>0</v>
      </c>
      <c r="U46" s="95"/>
      <c r="V46" s="95"/>
      <c r="W46" s="56"/>
      <c r="X46" s="56"/>
      <c r="Y46" s="64"/>
      <c r="Z46" s="56"/>
      <c r="AA46" s="56"/>
      <c r="AB46" s="56"/>
      <c r="AC46" s="56"/>
      <c r="AD46" s="56"/>
      <c r="AF46" s="93" t="s">
        <v>60</v>
      </c>
      <c r="AG46" s="94"/>
      <c r="AH46" s="94"/>
      <c r="AI46" s="57">
        <f>AK38+(AJ39+AJ40)</f>
        <v>84</v>
      </c>
      <c r="AJ46" s="95" t="b">
        <f t="shared" si="2"/>
        <v>0</v>
      </c>
      <c r="AK46" s="95"/>
      <c r="AL46" s="95"/>
      <c r="AM46" s="56"/>
      <c r="AN46" s="56"/>
      <c r="AO46" s="64"/>
    </row>
    <row r="47" spans="1:44" x14ac:dyDescent="0.3">
      <c r="A47" s="6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64"/>
      <c r="P47" s="63"/>
      <c r="Q47" s="56"/>
      <c r="R47" s="56"/>
      <c r="S47" s="56"/>
      <c r="T47" s="56"/>
      <c r="U47" s="56"/>
      <c r="V47" s="56"/>
      <c r="W47" s="56"/>
      <c r="X47" s="56"/>
      <c r="Y47" s="64"/>
      <c r="Z47" s="56"/>
      <c r="AA47" s="56"/>
      <c r="AB47" s="56"/>
      <c r="AC47" s="56"/>
      <c r="AD47" s="56"/>
      <c r="AF47" s="63"/>
      <c r="AG47" s="56"/>
      <c r="AH47" s="56"/>
      <c r="AI47" s="56"/>
      <c r="AJ47" s="56"/>
      <c r="AK47" s="56"/>
      <c r="AL47" s="56"/>
      <c r="AM47" s="56"/>
      <c r="AN47" s="56"/>
      <c r="AO47" s="64"/>
    </row>
    <row r="48" spans="1:44" x14ac:dyDescent="0.3">
      <c r="A48" s="63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64"/>
      <c r="P48" s="63"/>
      <c r="Q48" s="56"/>
      <c r="R48" s="56"/>
      <c r="S48" s="56"/>
      <c r="T48" s="56"/>
      <c r="U48" s="56"/>
      <c r="V48" s="56"/>
      <c r="W48" s="56"/>
      <c r="X48" s="56"/>
      <c r="Y48" s="64"/>
      <c r="Z48" s="56"/>
      <c r="AA48" s="56"/>
      <c r="AB48" s="56"/>
      <c r="AC48" s="56"/>
      <c r="AD48" s="56"/>
      <c r="AF48" s="63"/>
      <c r="AG48" s="56"/>
      <c r="AH48" s="56"/>
      <c r="AI48" s="56"/>
      <c r="AJ48" s="56"/>
      <c r="AK48" s="56"/>
      <c r="AL48" s="56"/>
      <c r="AM48" s="56"/>
      <c r="AN48" s="56"/>
      <c r="AO48" s="64"/>
    </row>
    <row r="49" spans="1:41" x14ac:dyDescent="0.3">
      <c r="A49" s="6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64"/>
      <c r="P49" s="63"/>
      <c r="Q49" s="56"/>
      <c r="R49" s="56"/>
      <c r="S49" s="56"/>
      <c r="T49" s="56"/>
      <c r="U49" s="56"/>
      <c r="V49" s="56"/>
      <c r="W49" s="56"/>
      <c r="X49" s="56"/>
      <c r="Y49" s="64"/>
      <c r="Z49" s="56"/>
      <c r="AA49" s="56"/>
      <c r="AB49" s="56"/>
      <c r="AC49" s="56"/>
      <c r="AD49" s="56"/>
      <c r="AF49" s="63"/>
      <c r="AG49" s="56"/>
      <c r="AH49" s="56"/>
      <c r="AI49" s="56"/>
      <c r="AJ49" s="56"/>
      <c r="AK49" s="56"/>
      <c r="AL49" s="56"/>
      <c r="AM49" s="56"/>
      <c r="AN49" s="56"/>
      <c r="AO49" s="64"/>
    </row>
    <row r="50" spans="1:41" x14ac:dyDescent="0.3">
      <c r="A50" s="63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64"/>
      <c r="P50" s="63"/>
      <c r="Q50" s="56"/>
      <c r="R50" s="56"/>
      <c r="S50" s="56"/>
      <c r="T50" s="56"/>
      <c r="U50" s="56"/>
      <c r="V50" s="56"/>
      <c r="W50" s="56"/>
      <c r="X50" s="56"/>
      <c r="Y50" s="64"/>
      <c r="Z50" s="56"/>
      <c r="AA50" s="56"/>
      <c r="AB50" s="56"/>
      <c r="AC50" s="56"/>
      <c r="AD50" s="56"/>
      <c r="AF50" s="63"/>
      <c r="AG50" s="56"/>
      <c r="AH50" s="56"/>
      <c r="AI50" s="56"/>
      <c r="AJ50" s="56"/>
      <c r="AK50" s="56"/>
      <c r="AL50" s="56"/>
      <c r="AM50" s="56"/>
      <c r="AN50" s="56"/>
      <c r="AO50" s="64"/>
    </row>
    <row r="51" spans="1:41" x14ac:dyDescent="0.3">
      <c r="A51" s="63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64"/>
      <c r="P51" s="63"/>
      <c r="Q51" s="56"/>
      <c r="R51" s="56"/>
      <c r="S51" s="56"/>
      <c r="T51" s="56"/>
      <c r="U51" s="56"/>
      <c r="V51" s="56"/>
      <c r="W51" s="56"/>
      <c r="X51" s="56"/>
      <c r="Y51" s="64"/>
      <c r="Z51" s="56"/>
      <c r="AA51" s="56"/>
      <c r="AB51" s="56"/>
      <c r="AC51" s="56"/>
      <c r="AD51" s="56"/>
      <c r="AF51" s="63"/>
      <c r="AG51" s="56"/>
      <c r="AH51" s="56"/>
      <c r="AI51" s="56"/>
      <c r="AJ51" s="56"/>
      <c r="AK51" s="56"/>
      <c r="AL51" s="56"/>
      <c r="AM51" s="56"/>
      <c r="AN51" s="56"/>
      <c r="AO51" s="64"/>
    </row>
    <row r="52" spans="1:41" x14ac:dyDescent="0.3">
      <c r="A52" s="65" t="s">
        <v>61</v>
      </c>
      <c r="B52" s="56"/>
      <c r="C52" s="56"/>
      <c r="D52" s="57" t="s">
        <v>64</v>
      </c>
      <c r="E52" s="56"/>
      <c r="F52" s="56"/>
      <c r="G52" s="57" t="s">
        <v>67</v>
      </c>
      <c r="H52" s="56"/>
      <c r="I52" s="56"/>
      <c r="J52" s="56"/>
      <c r="K52" s="56"/>
      <c r="L52" s="56"/>
      <c r="M52" s="56"/>
      <c r="N52" s="64"/>
      <c r="P52" s="65" t="s">
        <v>61</v>
      </c>
      <c r="Q52" s="56"/>
      <c r="R52" s="56"/>
      <c r="S52" s="57" t="s">
        <v>64</v>
      </c>
      <c r="T52" s="56"/>
      <c r="U52" s="56"/>
      <c r="V52" s="57" t="s">
        <v>67</v>
      </c>
      <c r="W52" s="56"/>
      <c r="X52" s="56"/>
      <c r="Y52" s="64"/>
      <c r="Z52" s="56"/>
      <c r="AA52" s="56"/>
      <c r="AB52" s="56"/>
      <c r="AC52" s="56"/>
      <c r="AD52" s="56"/>
      <c r="AF52" s="65" t="s">
        <v>61</v>
      </c>
      <c r="AG52" s="56"/>
      <c r="AH52" s="56"/>
      <c r="AI52" s="57" t="s">
        <v>64</v>
      </c>
      <c r="AJ52" s="56"/>
      <c r="AK52" s="56"/>
      <c r="AL52" s="57" t="s">
        <v>67</v>
      </c>
      <c r="AM52" s="56"/>
      <c r="AN52" s="56"/>
      <c r="AO52" s="64"/>
    </row>
    <row r="53" spans="1:41" x14ac:dyDescent="0.3">
      <c r="A53" s="63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64"/>
      <c r="P53" s="63"/>
      <c r="Q53" s="56"/>
      <c r="R53" s="56"/>
      <c r="S53" s="56"/>
      <c r="T53" s="56"/>
      <c r="U53" s="56"/>
      <c r="V53" s="56"/>
      <c r="W53" s="56"/>
      <c r="X53" s="56"/>
      <c r="Y53" s="64"/>
      <c r="Z53" s="56"/>
      <c r="AA53" s="56"/>
      <c r="AB53" s="56"/>
      <c r="AC53" s="56"/>
      <c r="AD53" s="56"/>
      <c r="AF53" s="63"/>
      <c r="AG53" s="56"/>
      <c r="AH53" s="56"/>
      <c r="AI53" s="56"/>
      <c r="AJ53" s="56"/>
      <c r="AK53" s="56"/>
      <c r="AL53" s="56"/>
      <c r="AM53" s="56"/>
      <c r="AN53" s="56"/>
      <c r="AO53" s="64"/>
    </row>
    <row r="54" spans="1:41" x14ac:dyDescent="0.3">
      <c r="A54" s="65" t="s">
        <v>62</v>
      </c>
      <c r="B54" s="57">
        <f>C38/1750</f>
        <v>6.5714285714285711E-2</v>
      </c>
      <c r="C54" s="56"/>
      <c r="D54" s="57" t="s">
        <v>65</v>
      </c>
      <c r="E54" s="57">
        <f>(C39+C40)/3400</f>
        <v>0.32147058823529412</v>
      </c>
      <c r="F54" s="56"/>
      <c r="G54" s="57" t="s">
        <v>68</v>
      </c>
      <c r="H54" s="57">
        <f>F38/450</f>
        <v>0.25555555555555554</v>
      </c>
      <c r="I54" s="56"/>
      <c r="J54" s="56"/>
      <c r="K54" s="56"/>
      <c r="L54" s="56"/>
      <c r="M54" s="56"/>
      <c r="N54" s="64"/>
      <c r="P54" s="65" t="s">
        <v>62</v>
      </c>
      <c r="Q54" s="57">
        <f>R38/1750</f>
        <v>8.5714285714285715E-2</v>
      </c>
      <c r="R54" s="56"/>
      <c r="S54" s="57" t="s">
        <v>65</v>
      </c>
      <c r="T54" s="57">
        <f>(R39+R40)/3400</f>
        <v>0.25441176470588234</v>
      </c>
      <c r="U54" s="56"/>
      <c r="V54" s="57" t="s">
        <v>68</v>
      </c>
      <c r="W54" s="57">
        <f>U38/450</f>
        <v>0.13333333333333333</v>
      </c>
      <c r="X54" s="56"/>
      <c r="Y54" s="64"/>
      <c r="Z54" s="56"/>
      <c r="AA54" s="56"/>
      <c r="AB54" s="56"/>
      <c r="AC54" s="56"/>
      <c r="AD54" s="56"/>
      <c r="AF54" s="65" t="s">
        <v>62</v>
      </c>
      <c r="AG54" s="57">
        <f>AH38/1750</f>
        <v>6.7428571428571435E-2</v>
      </c>
      <c r="AH54" s="56"/>
      <c r="AI54" s="57" t="s">
        <v>65</v>
      </c>
      <c r="AJ54" s="57">
        <f>(AH39+AH40)/3400</f>
        <v>0.17823529411764705</v>
      </c>
      <c r="AK54" s="56"/>
      <c r="AL54" s="57" t="s">
        <v>68</v>
      </c>
      <c r="AM54" s="57">
        <f>AK38/450</f>
        <v>6.6666666666666666E-2</v>
      </c>
      <c r="AN54" s="56"/>
      <c r="AO54" s="64"/>
    </row>
    <row r="55" spans="1:41" x14ac:dyDescent="0.3">
      <c r="A55" s="65" t="s">
        <v>63</v>
      </c>
      <c r="B55" s="57">
        <f>D38/1750</f>
        <v>0.14571428571428571</v>
      </c>
      <c r="C55" s="56"/>
      <c r="D55" s="57" t="s">
        <v>66</v>
      </c>
      <c r="E55" s="57">
        <f>(D38+D39)/3400</f>
        <v>0.33382352941176469</v>
      </c>
      <c r="F55" s="56"/>
      <c r="G55" s="57" t="s">
        <v>69</v>
      </c>
      <c r="H55" s="57">
        <f>E38/475</f>
        <v>0.1831578947368421</v>
      </c>
      <c r="I55" s="56"/>
      <c r="J55" s="56"/>
      <c r="K55" s="56"/>
      <c r="L55" s="56"/>
      <c r="M55" s="56"/>
      <c r="N55" s="64"/>
      <c r="P55" s="65" t="s">
        <v>63</v>
      </c>
      <c r="Q55" s="57">
        <f>S38/1750</f>
        <v>6.5714285714285711E-2</v>
      </c>
      <c r="R55" s="56"/>
      <c r="S55" s="57" t="s">
        <v>66</v>
      </c>
      <c r="T55" s="57">
        <f>(S38+S39)/3400</f>
        <v>0.19558823529411765</v>
      </c>
      <c r="U55" s="56"/>
      <c r="V55" s="57" t="s">
        <v>69</v>
      </c>
      <c r="W55" s="57">
        <f>T38/475</f>
        <v>3.7894736842105266E-2</v>
      </c>
      <c r="X55" s="56"/>
      <c r="Y55" s="64"/>
      <c r="Z55" s="56"/>
      <c r="AA55" s="56"/>
      <c r="AB55" s="56"/>
      <c r="AC55" s="56"/>
      <c r="AD55" s="56"/>
      <c r="AF55" s="65" t="s">
        <v>63</v>
      </c>
      <c r="AG55" s="57">
        <f>AI38/1750</f>
        <v>0.10285714285714286</v>
      </c>
      <c r="AH55" s="56"/>
      <c r="AI55" s="57" t="s">
        <v>66</v>
      </c>
      <c r="AJ55" s="57">
        <f>(AI38+AI39)/3400</f>
        <v>0.28411764705882353</v>
      </c>
      <c r="AK55" s="56"/>
      <c r="AL55" s="57" t="s">
        <v>69</v>
      </c>
      <c r="AM55" s="57">
        <f>AJ38/475</f>
        <v>7.5789473684210532E-2</v>
      </c>
      <c r="AN55" s="56"/>
      <c r="AO55" s="64"/>
    </row>
    <row r="56" spans="1:41" x14ac:dyDescent="0.3">
      <c r="A56" s="63"/>
      <c r="B56" s="56"/>
      <c r="C56" s="56"/>
      <c r="D56" s="56"/>
      <c r="E56" s="56"/>
      <c r="F56" s="56"/>
      <c r="G56" s="57" t="s">
        <v>70</v>
      </c>
      <c r="H56" s="57">
        <f>(F39+F40)/1800</f>
        <v>0.1</v>
      </c>
      <c r="I56" s="56"/>
      <c r="J56" s="56"/>
      <c r="K56" s="56"/>
      <c r="L56" s="56"/>
      <c r="M56" s="56"/>
      <c r="N56" s="64"/>
      <c r="P56" s="63"/>
      <c r="Q56" s="56"/>
      <c r="R56" s="56"/>
      <c r="S56" s="56"/>
      <c r="T56" s="56"/>
      <c r="U56" s="56"/>
      <c r="V56" s="57" t="s">
        <v>70</v>
      </c>
      <c r="W56" s="57">
        <f>(U39+U40)/1800</f>
        <v>5.6666666666666664E-2</v>
      </c>
      <c r="X56" s="56"/>
      <c r="Y56" s="64"/>
      <c r="Z56" s="56"/>
      <c r="AA56" s="56"/>
      <c r="AB56" s="56"/>
      <c r="AC56" s="56"/>
      <c r="AD56" s="56"/>
      <c r="AF56" s="63"/>
      <c r="AG56" s="56"/>
      <c r="AH56" s="56"/>
      <c r="AI56" s="56"/>
      <c r="AJ56" s="56"/>
      <c r="AK56" s="56"/>
      <c r="AL56" s="57" t="s">
        <v>70</v>
      </c>
      <c r="AM56" s="57">
        <f>(AK39+AK40)/1800</f>
        <v>1.3333333333333334E-2</v>
      </c>
      <c r="AN56" s="56"/>
      <c r="AO56" s="64"/>
    </row>
    <row r="57" spans="1:41" x14ac:dyDescent="0.3">
      <c r="A57" s="63"/>
      <c r="B57" s="56"/>
      <c r="C57" s="56"/>
      <c r="D57" s="56"/>
      <c r="E57" s="56"/>
      <c r="F57" s="56"/>
      <c r="G57" s="57" t="s">
        <v>71</v>
      </c>
      <c r="H57" s="57">
        <f>(E39+E40)/1800</f>
        <v>0.13055555555555556</v>
      </c>
      <c r="I57" s="56"/>
      <c r="J57" s="56"/>
      <c r="K57" s="56"/>
      <c r="L57" s="56"/>
      <c r="M57" s="56"/>
      <c r="N57" s="64"/>
      <c r="P57" s="63"/>
      <c r="Q57" s="56"/>
      <c r="R57" s="56"/>
      <c r="S57" s="56"/>
      <c r="T57" s="56"/>
      <c r="U57" s="56"/>
      <c r="V57" s="57" t="s">
        <v>71</v>
      </c>
      <c r="W57" s="57">
        <f>(T39+T40)/1800</f>
        <v>4.6666666666666669E-2</v>
      </c>
      <c r="X57" s="56"/>
      <c r="Y57" s="64"/>
      <c r="Z57" s="56"/>
      <c r="AA57" s="56"/>
      <c r="AB57" s="56"/>
      <c r="AC57" s="56"/>
      <c r="AD57" s="56"/>
      <c r="AF57" s="63"/>
      <c r="AG57" s="56"/>
      <c r="AH57" s="56"/>
      <c r="AI57" s="56"/>
      <c r="AJ57" s="56"/>
      <c r="AK57" s="56"/>
      <c r="AL57" s="57" t="s">
        <v>71</v>
      </c>
      <c r="AM57" s="57">
        <f>(AJ39+AJ40)/1800</f>
        <v>0.03</v>
      </c>
      <c r="AN57" s="56"/>
      <c r="AO57" s="64"/>
    </row>
    <row r="58" spans="1:41" x14ac:dyDescent="0.3">
      <c r="A58" s="63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64"/>
      <c r="P58" s="63"/>
      <c r="Q58" s="56"/>
      <c r="R58" s="56"/>
      <c r="S58" s="56"/>
      <c r="T58" s="56"/>
      <c r="U58" s="56"/>
      <c r="V58" s="56"/>
      <c r="W58" s="56"/>
      <c r="X58" s="56"/>
      <c r="Y58" s="64"/>
      <c r="Z58" s="56"/>
      <c r="AA58" s="56"/>
      <c r="AB58" s="56"/>
      <c r="AC58" s="56"/>
      <c r="AD58" s="56"/>
      <c r="AF58" s="63"/>
      <c r="AG58" s="56"/>
      <c r="AH58" s="56"/>
      <c r="AI58" s="56"/>
      <c r="AJ58" s="56"/>
      <c r="AK58" s="56"/>
      <c r="AL58" s="56"/>
      <c r="AM58" s="56"/>
      <c r="AN58" s="56"/>
      <c r="AO58" s="64"/>
    </row>
    <row r="59" spans="1:41" x14ac:dyDescent="0.3">
      <c r="A59" s="65" t="s">
        <v>72</v>
      </c>
      <c r="B59" s="57">
        <f>MAX(B54,B55)</f>
        <v>0.14571428571428571</v>
      </c>
      <c r="C59" s="56"/>
      <c r="D59" s="57" t="s">
        <v>72</v>
      </c>
      <c r="E59" s="57">
        <f>MAX(E54,E55)</f>
        <v>0.33382352941176469</v>
      </c>
      <c r="F59" s="56"/>
      <c r="G59" s="57" t="s">
        <v>72</v>
      </c>
      <c r="H59" s="57">
        <f>MAX(H54,H55,H56,H57)</f>
        <v>0.25555555555555554</v>
      </c>
      <c r="I59" s="56"/>
      <c r="J59" s="56"/>
      <c r="K59" s="56"/>
      <c r="L59" s="56"/>
      <c r="M59" s="56"/>
      <c r="N59" s="64"/>
      <c r="P59" s="65" t="s">
        <v>72</v>
      </c>
      <c r="Q59" s="57">
        <f>MAX(Q54,Q55)</f>
        <v>8.5714285714285715E-2</v>
      </c>
      <c r="R59" s="56"/>
      <c r="S59" s="57" t="s">
        <v>72</v>
      </c>
      <c r="T59" s="57">
        <f>MAX(T54,T55)</f>
        <v>0.25441176470588234</v>
      </c>
      <c r="U59" s="56"/>
      <c r="V59" s="57" t="s">
        <v>72</v>
      </c>
      <c r="W59" s="57">
        <f>MAX(W54,W55,W56,W57)</f>
        <v>0.13333333333333333</v>
      </c>
      <c r="X59" s="56"/>
      <c r="Y59" s="64"/>
      <c r="Z59" s="56"/>
      <c r="AA59" s="56"/>
      <c r="AB59" s="56"/>
      <c r="AC59" s="56"/>
      <c r="AD59" s="56"/>
      <c r="AF59" s="65" t="s">
        <v>72</v>
      </c>
      <c r="AG59" s="57">
        <f>MAX(AG54,AG55)</f>
        <v>0.10285714285714286</v>
      </c>
      <c r="AH59" s="56"/>
      <c r="AI59" s="57" t="s">
        <v>72</v>
      </c>
      <c r="AJ59" s="57">
        <f>MAX(AJ54,AJ55)</f>
        <v>0.28411764705882353</v>
      </c>
      <c r="AK59" s="56"/>
      <c r="AL59" s="57" t="s">
        <v>72</v>
      </c>
      <c r="AM59" s="57">
        <f>MAX(AM54,AM55,AM56,AM57)</f>
        <v>7.5789473684210532E-2</v>
      </c>
      <c r="AN59" s="56"/>
      <c r="AO59" s="64"/>
    </row>
    <row r="60" spans="1:41" x14ac:dyDescent="0.3">
      <c r="A60" s="63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64"/>
      <c r="P60" s="63"/>
      <c r="Q60" s="56"/>
      <c r="R60" s="56"/>
      <c r="S60" s="56"/>
      <c r="T60" s="56"/>
      <c r="U60" s="56"/>
      <c r="V60" s="56"/>
      <c r="W60" s="56"/>
      <c r="X60" s="56"/>
      <c r="Y60" s="64"/>
      <c r="Z60" s="56"/>
      <c r="AA60" s="56"/>
      <c r="AB60" s="56"/>
      <c r="AC60" s="56"/>
      <c r="AD60" s="56"/>
      <c r="AF60" s="63"/>
      <c r="AG60" s="56"/>
      <c r="AH60" s="56"/>
      <c r="AI60" s="56"/>
      <c r="AJ60" s="56"/>
      <c r="AK60" s="56"/>
      <c r="AL60" s="56"/>
      <c r="AM60" s="56"/>
      <c r="AN60" s="56"/>
      <c r="AO60" s="64"/>
    </row>
    <row r="61" spans="1:41" x14ac:dyDescent="0.3">
      <c r="A61" s="63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64"/>
      <c r="P61" s="63"/>
      <c r="Q61" s="56"/>
      <c r="R61" s="56"/>
      <c r="S61" s="56"/>
      <c r="T61" s="56"/>
      <c r="U61" s="56"/>
      <c r="V61" s="56"/>
      <c r="W61" s="56"/>
      <c r="X61" s="56"/>
      <c r="Y61" s="64"/>
      <c r="Z61" s="56"/>
      <c r="AA61" s="56"/>
      <c r="AB61" s="56"/>
      <c r="AC61" s="56"/>
      <c r="AD61" s="56"/>
      <c r="AF61" s="63"/>
      <c r="AG61" s="56"/>
      <c r="AH61" s="56"/>
      <c r="AI61" s="56"/>
      <c r="AJ61" s="56"/>
      <c r="AK61" s="56"/>
      <c r="AL61" s="56"/>
      <c r="AM61" s="56"/>
      <c r="AN61" s="56"/>
      <c r="AO61" s="64"/>
    </row>
    <row r="62" spans="1:41" x14ac:dyDescent="0.3">
      <c r="A62" s="63"/>
      <c r="B62" s="56"/>
      <c r="C62" s="57" t="s">
        <v>73</v>
      </c>
      <c r="D62" s="57">
        <f>B59+E59+H59</f>
        <v>0.73509337068160596</v>
      </c>
      <c r="E62" s="56"/>
      <c r="F62" s="56"/>
      <c r="G62" s="56"/>
      <c r="H62" s="56"/>
      <c r="I62" s="56"/>
      <c r="J62" s="56"/>
      <c r="K62" s="56"/>
      <c r="L62" s="56"/>
      <c r="M62" s="56"/>
      <c r="N62" s="64"/>
      <c r="P62" s="63"/>
      <c r="Q62" s="56"/>
      <c r="R62" s="57" t="s">
        <v>73</v>
      </c>
      <c r="S62" s="57">
        <f>Q59+T59+W59</f>
        <v>0.47345938375350138</v>
      </c>
      <c r="T62" s="56"/>
      <c r="U62" s="56"/>
      <c r="V62" s="56"/>
      <c r="W62" s="56"/>
      <c r="X62" s="56"/>
      <c r="Y62" s="64"/>
      <c r="Z62" s="56"/>
      <c r="AA62" s="56"/>
      <c r="AB62" s="56"/>
      <c r="AC62" s="56"/>
      <c r="AD62" s="56"/>
      <c r="AF62" s="63"/>
      <c r="AG62" s="56"/>
      <c r="AH62" s="57" t="s">
        <v>73</v>
      </c>
      <c r="AI62" s="57">
        <f>AG59+AJ59+AM59</f>
        <v>0.46276426360017692</v>
      </c>
      <c r="AJ62" s="56"/>
      <c r="AK62" s="56"/>
      <c r="AL62" s="56"/>
      <c r="AM62" s="56"/>
      <c r="AN62" s="56"/>
      <c r="AO62" s="64"/>
    </row>
    <row r="63" spans="1:41" x14ac:dyDescent="0.3">
      <c r="A63" s="63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64"/>
      <c r="P63" s="63"/>
      <c r="Q63" s="56"/>
      <c r="R63" s="56"/>
      <c r="S63" s="56"/>
      <c r="T63" s="56"/>
      <c r="U63" s="56"/>
      <c r="V63" s="56"/>
      <c r="W63" s="56"/>
      <c r="X63" s="56"/>
      <c r="Y63" s="64"/>
      <c r="Z63" s="56"/>
      <c r="AA63" s="56"/>
      <c r="AB63" s="56"/>
      <c r="AC63" s="56"/>
      <c r="AD63" s="56"/>
      <c r="AF63" s="63"/>
      <c r="AG63" s="56"/>
      <c r="AH63" s="56"/>
      <c r="AI63" s="56"/>
      <c r="AJ63" s="56"/>
      <c r="AK63" s="56"/>
      <c r="AL63" s="56"/>
      <c r="AM63" s="56"/>
      <c r="AN63" s="56"/>
      <c r="AO63" s="64"/>
    </row>
    <row r="64" spans="1:41" x14ac:dyDescent="0.3">
      <c r="A64" s="65" t="s">
        <v>79</v>
      </c>
      <c r="B64" s="57">
        <v>12</v>
      </c>
      <c r="C64" s="57" t="s">
        <v>75</v>
      </c>
      <c r="D64" s="56"/>
      <c r="E64" s="57" t="s">
        <v>76</v>
      </c>
      <c r="F64" s="57">
        <v>0.9</v>
      </c>
      <c r="G64" s="56"/>
      <c r="H64" s="56"/>
      <c r="I64" s="56"/>
      <c r="J64" s="56"/>
      <c r="K64" s="56"/>
      <c r="L64" s="56"/>
      <c r="M64" s="56"/>
      <c r="N64" s="64"/>
      <c r="P64" s="65" t="s">
        <v>79</v>
      </c>
      <c r="Q64" s="57">
        <v>12</v>
      </c>
      <c r="R64" s="57" t="s">
        <v>75</v>
      </c>
      <c r="S64" s="56"/>
      <c r="T64" s="57" t="s">
        <v>76</v>
      </c>
      <c r="U64" s="57">
        <v>0.9</v>
      </c>
      <c r="V64" s="56"/>
      <c r="W64" s="56"/>
      <c r="X64" s="56"/>
      <c r="Y64" s="64"/>
      <c r="Z64" s="56"/>
      <c r="AA64" s="56"/>
      <c r="AB64" s="56"/>
      <c r="AC64" s="56"/>
      <c r="AD64" s="56"/>
      <c r="AF64" s="65" t="s">
        <v>79</v>
      </c>
      <c r="AG64" s="57">
        <v>12</v>
      </c>
      <c r="AH64" s="57" t="s">
        <v>75</v>
      </c>
      <c r="AI64" s="56"/>
      <c r="AJ64" s="57" t="s">
        <v>76</v>
      </c>
      <c r="AK64" s="57">
        <v>0.9</v>
      </c>
      <c r="AL64" s="56"/>
      <c r="AM64" s="56"/>
      <c r="AN64" s="56"/>
      <c r="AO64" s="64"/>
    </row>
    <row r="65" spans="1:41" x14ac:dyDescent="0.3">
      <c r="A65" s="63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64"/>
      <c r="P65" s="63"/>
      <c r="Q65" s="56"/>
      <c r="R65" s="56"/>
      <c r="S65" s="56"/>
      <c r="T65" s="56"/>
      <c r="U65" s="56"/>
      <c r="V65" s="56"/>
      <c r="W65" s="56"/>
      <c r="X65" s="56"/>
      <c r="Y65" s="64"/>
      <c r="Z65" s="56"/>
      <c r="AA65" s="56"/>
      <c r="AB65" s="56"/>
      <c r="AC65" s="56"/>
      <c r="AD65" s="56"/>
      <c r="AF65" s="63"/>
      <c r="AG65" s="56"/>
      <c r="AH65" s="56"/>
      <c r="AI65" s="56"/>
      <c r="AJ65" s="56"/>
      <c r="AK65" s="56"/>
      <c r="AL65" s="56"/>
      <c r="AM65" s="56"/>
      <c r="AN65" s="56"/>
      <c r="AO65" s="64"/>
    </row>
    <row r="66" spans="1:41" x14ac:dyDescent="0.3">
      <c r="A66" s="63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64"/>
      <c r="P66" s="63"/>
      <c r="Q66" s="56"/>
      <c r="R66" s="56"/>
      <c r="S66" s="56"/>
      <c r="T66" s="56"/>
      <c r="U66" s="56"/>
      <c r="V66" s="56"/>
      <c r="W66" s="56"/>
      <c r="X66" s="56"/>
      <c r="Y66" s="64"/>
      <c r="Z66" s="56"/>
      <c r="AA66" s="56"/>
      <c r="AB66" s="56"/>
      <c r="AC66" s="56"/>
      <c r="AD66" s="56"/>
      <c r="AF66" s="63"/>
      <c r="AG66" s="56"/>
      <c r="AH66" s="56"/>
      <c r="AI66" s="56"/>
      <c r="AJ66" s="56"/>
      <c r="AK66" s="56"/>
      <c r="AL66" s="56"/>
      <c r="AM66" s="56"/>
      <c r="AN66" s="56"/>
      <c r="AO66" s="64"/>
    </row>
    <row r="67" spans="1:41" x14ac:dyDescent="0.3">
      <c r="A67" s="63"/>
      <c r="B67" s="57" t="s">
        <v>74</v>
      </c>
      <c r="C67" s="57">
        <f>(B64*F64)/(F64-D62)</f>
        <v>65.491606035727415</v>
      </c>
      <c r="D67" s="56"/>
      <c r="E67" s="57" t="s">
        <v>77</v>
      </c>
      <c r="F67" s="57">
        <f>((1.5*B64)+5)/(1-D62)</f>
        <v>86.823044252154446</v>
      </c>
      <c r="G67" s="56"/>
      <c r="H67" s="56"/>
      <c r="I67" s="56"/>
      <c r="J67" s="56"/>
      <c r="K67" s="56"/>
      <c r="L67" s="56"/>
      <c r="M67" s="56"/>
      <c r="N67" s="64"/>
      <c r="P67" s="63"/>
      <c r="Q67" s="57" t="s">
        <v>74</v>
      </c>
      <c r="R67" s="57">
        <f>(Q64*U64)/(U64-S62)</f>
        <v>25.319980298801511</v>
      </c>
      <c r="S67" s="56"/>
      <c r="T67" s="57" t="s">
        <v>77</v>
      </c>
      <c r="U67" s="57">
        <f>((1.5*Q64)+5)/(1-S62)</f>
        <v>43.681340603803697</v>
      </c>
      <c r="V67" s="56"/>
      <c r="W67" s="56"/>
      <c r="X67" s="56"/>
      <c r="Y67" s="64"/>
      <c r="Z67" s="56"/>
      <c r="AA67" s="56"/>
      <c r="AB67" s="56"/>
      <c r="AC67" s="56"/>
      <c r="AD67" s="56"/>
      <c r="AF67" s="63"/>
      <c r="AG67" s="57" t="s">
        <v>74</v>
      </c>
      <c r="AH67" s="57">
        <f>(AG64*AK64)/(AK64-AI62)</f>
        <v>24.700634236640063</v>
      </c>
      <c r="AI67" s="56"/>
      <c r="AJ67" s="57" t="s">
        <v>77</v>
      </c>
      <c r="AK67" s="57">
        <f>((1.5*AG64)+5)/(1-AI62)</f>
        <v>42.811746206851133</v>
      </c>
      <c r="AL67" s="56"/>
      <c r="AM67" s="56"/>
      <c r="AN67" s="56"/>
      <c r="AO67" s="64"/>
    </row>
    <row r="68" spans="1:41" x14ac:dyDescent="0.3">
      <c r="A68" s="63"/>
      <c r="B68" s="56" t="s">
        <v>83</v>
      </c>
      <c r="C68" s="56">
        <f>CEILING(C67,5)</f>
        <v>70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64"/>
      <c r="P68" s="63"/>
      <c r="Q68" s="56" t="s">
        <v>83</v>
      </c>
      <c r="R68" s="56">
        <f>CEILING(R67,5)</f>
        <v>30</v>
      </c>
      <c r="S68" s="56"/>
      <c r="T68" s="56"/>
      <c r="U68" s="56"/>
      <c r="V68" s="56"/>
      <c r="W68" s="56"/>
      <c r="X68" s="56"/>
      <c r="Y68" s="64"/>
      <c r="Z68" s="56"/>
      <c r="AA68" s="56"/>
      <c r="AB68" s="56"/>
      <c r="AC68" s="56"/>
      <c r="AD68" s="56"/>
      <c r="AF68" s="63"/>
      <c r="AG68" s="56" t="s">
        <v>83</v>
      </c>
      <c r="AH68" s="56">
        <f>CEILING(AH67,5)</f>
        <v>25</v>
      </c>
      <c r="AI68" s="56"/>
      <c r="AJ68" s="56"/>
      <c r="AK68" s="56"/>
      <c r="AL68" s="56"/>
      <c r="AM68" s="56"/>
      <c r="AN68" s="56"/>
      <c r="AO68" s="64"/>
    </row>
    <row r="69" spans="1:41" x14ac:dyDescent="0.3">
      <c r="A69" s="63" t="s">
        <v>78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64"/>
      <c r="P69" s="63" t="s">
        <v>78</v>
      </c>
      <c r="Q69" s="56"/>
      <c r="R69" s="56"/>
      <c r="S69" s="56"/>
      <c r="T69" s="56"/>
      <c r="U69" s="56"/>
      <c r="V69" s="56"/>
      <c r="W69" s="56"/>
      <c r="X69" s="56"/>
      <c r="Y69" s="64"/>
      <c r="Z69" s="56"/>
      <c r="AA69" s="56"/>
      <c r="AB69" s="56"/>
      <c r="AC69" s="56"/>
      <c r="AD69" s="56"/>
      <c r="AF69" s="63" t="s">
        <v>78</v>
      </c>
      <c r="AG69" s="56"/>
      <c r="AH69" s="56"/>
      <c r="AI69" s="56"/>
      <c r="AJ69" s="56"/>
      <c r="AK69" s="56"/>
      <c r="AL69" s="56"/>
      <c r="AM69" s="56"/>
      <c r="AN69" s="56"/>
      <c r="AO69" s="64"/>
    </row>
    <row r="70" spans="1:41" x14ac:dyDescent="0.3">
      <c r="A70" s="63"/>
      <c r="B70" s="56" t="s">
        <v>76</v>
      </c>
      <c r="C70" s="56">
        <f>(D62*C68)/(C68-B64)</f>
        <v>0.88718165427090379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64"/>
      <c r="P70" s="63"/>
      <c r="Q70" s="56" t="s">
        <v>76</v>
      </c>
      <c r="R70" s="56">
        <f>(S62*R68)/(R68-Q64)</f>
        <v>0.78909897292250231</v>
      </c>
      <c r="S70" s="56"/>
      <c r="T70" s="56"/>
      <c r="U70" s="56"/>
      <c r="V70" s="56"/>
      <c r="W70" s="56"/>
      <c r="X70" s="56"/>
      <c r="Y70" s="64"/>
      <c r="Z70" s="56"/>
      <c r="AA70" s="56"/>
      <c r="AB70" s="56"/>
      <c r="AC70" s="56"/>
      <c r="AD70" s="56"/>
      <c r="AF70" s="63"/>
      <c r="AG70" s="56" t="s">
        <v>76</v>
      </c>
      <c r="AH70" s="56">
        <f>(AI62*AH68)/(AH68-AG64)</f>
        <v>0.88993127615418643</v>
      </c>
      <c r="AI70" s="56"/>
      <c r="AJ70" s="56"/>
      <c r="AK70" s="56"/>
      <c r="AL70" s="56"/>
      <c r="AM70" s="56"/>
      <c r="AN70" s="56"/>
      <c r="AO70" s="64"/>
    </row>
    <row r="71" spans="1:41" x14ac:dyDescent="0.3">
      <c r="A71" s="63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64"/>
      <c r="P71" s="63"/>
      <c r="Q71" s="56"/>
      <c r="R71" s="56"/>
      <c r="S71" s="56"/>
      <c r="T71" s="56"/>
      <c r="U71" s="56"/>
      <c r="V71" s="56"/>
      <c r="W71" s="56"/>
      <c r="X71" s="56"/>
      <c r="Y71" s="64"/>
      <c r="Z71" s="56"/>
      <c r="AA71" s="56"/>
      <c r="AB71" s="56"/>
      <c r="AC71" s="56"/>
      <c r="AD71" s="56"/>
      <c r="AF71" s="63"/>
      <c r="AG71" s="56"/>
      <c r="AH71" s="56"/>
      <c r="AI71" s="56"/>
      <c r="AJ71" s="56"/>
      <c r="AK71" s="56"/>
      <c r="AL71" s="56"/>
      <c r="AM71" s="56"/>
      <c r="AN71" s="56"/>
      <c r="AO71" s="64"/>
    </row>
    <row r="72" spans="1:41" x14ac:dyDescent="0.3">
      <c r="A72" s="88" t="s">
        <v>80</v>
      </c>
      <c r="B72" s="89"/>
      <c r="C72" s="89"/>
      <c r="D72" s="89"/>
      <c r="E72" s="57">
        <f>B59*(C68/C70)</f>
        <v>11.497081742952044</v>
      </c>
      <c r="F72" s="56"/>
      <c r="G72" s="56"/>
      <c r="H72" s="56"/>
      <c r="I72" s="56"/>
      <c r="J72" s="56"/>
      <c r="K72" s="56"/>
      <c r="L72" s="56"/>
      <c r="M72" s="56"/>
      <c r="N72" s="64"/>
      <c r="P72" s="88" t="s">
        <v>80</v>
      </c>
      <c r="Q72" s="89"/>
      <c r="R72" s="89"/>
      <c r="S72" s="89"/>
      <c r="T72" s="57">
        <f>Q59*(R68/R70)</f>
        <v>3.2586895429670171</v>
      </c>
      <c r="U72" s="56"/>
      <c r="V72" s="56"/>
      <c r="W72" s="56"/>
      <c r="X72" s="56"/>
      <c r="Y72" s="64"/>
      <c r="Z72" s="56"/>
      <c r="AA72" s="56"/>
      <c r="AB72" s="56"/>
      <c r="AC72" s="56"/>
      <c r="AD72" s="56"/>
      <c r="AF72" s="88" t="s">
        <v>80</v>
      </c>
      <c r="AG72" s="89"/>
      <c r="AH72" s="89"/>
      <c r="AI72" s="89"/>
      <c r="AJ72" s="57">
        <f>AG59*(AH68/AH70)</f>
        <v>2.8894687043036957</v>
      </c>
      <c r="AK72" s="56"/>
      <c r="AL72" s="56"/>
      <c r="AM72" s="56"/>
      <c r="AN72" s="56"/>
      <c r="AO72" s="64"/>
    </row>
    <row r="73" spans="1:41" x14ac:dyDescent="0.3">
      <c r="A73" s="88" t="s">
        <v>81</v>
      </c>
      <c r="B73" s="89"/>
      <c r="C73" s="89"/>
      <c r="D73" s="89"/>
      <c r="E73" s="57">
        <f>E59*(C68/C70)</f>
        <v>26.3391910172301</v>
      </c>
      <c r="F73" s="56"/>
      <c r="G73" s="56"/>
      <c r="H73" s="56"/>
      <c r="I73" s="56"/>
      <c r="J73" s="56"/>
      <c r="K73" s="56"/>
      <c r="L73" s="56"/>
      <c r="M73" s="56"/>
      <c r="N73" s="64"/>
      <c r="P73" s="88" t="s">
        <v>81</v>
      </c>
      <c r="Q73" s="89"/>
      <c r="R73" s="89"/>
      <c r="S73" s="89"/>
      <c r="T73" s="57">
        <f>T59*(R68/R70)</f>
        <v>9.6722378346398461</v>
      </c>
      <c r="U73" s="56"/>
      <c r="V73" s="56"/>
      <c r="W73" s="56"/>
      <c r="X73" s="56"/>
      <c r="Y73" s="64"/>
      <c r="Z73" s="56"/>
      <c r="AA73" s="56"/>
      <c r="AB73" s="56"/>
      <c r="AC73" s="56"/>
      <c r="AD73" s="56"/>
      <c r="AF73" s="88" t="s">
        <v>81</v>
      </c>
      <c r="AG73" s="89"/>
      <c r="AH73" s="89"/>
      <c r="AI73" s="89"/>
      <c r="AJ73" s="57">
        <f>AJ59*(AH68/AH70)</f>
        <v>7.9814490925251595</v>
      </c>
      <c r="AK73" s="56"/>
      <c r="AL73" s="56"/>
      <c r="AM73" s="56"/>
      <c r="AN73" s="56"/>
      <c r="AO73" s="64"/>
    </row>
    <row r="74" spans="1:41" x14ac:dyDescent="0.3">
      <c r="A74" s="88" t="s">
        <v>82</v>
      </c>
      <c r="B74" s="89"/>
      <c r="C74" s="89"/>
      <c r="D74" s="89"/>
      <c r="E74" s="57">
        <f>H59*(C68/C70)</f>
        <v>20.163727239817852</v>
      </c>
      <c r="F74" s="56"/>
      <c r="G74" s="56"/>
      <c r="H74" s="56"/>
      <c r="I74" s="56"/>
      <c r="J74" s="56"/>
      <c r="K74" s="56"/>
      <c r="L74" s="56"/>
      <c r="M74" s="56"/>
      <c r="N74" s="64"/>
      <c r="P74" s="88" t="s">
        <v>82</v>
      </c>
      <c r="Q74" s="89"/>
      <c r="R74" s="89"/>
      <c r="S74" s="89"/>
      <c r="T74" s="57">
        <f>W59*(R68/R70)</f>
        <v>5.0690726223931373</v>
      </c>
      <c r="U74" s="56"/>
      <c r="V74" s="56"/>
      <c r="W74" s="56"/>
      <c r="X74" s="56"/>
      <c r="Y74" s="64"/>
      <c r="Z74" s="56"/>
      <c r="AA74" s="56"/>
      <c r="AB74" s="56"/>
      <c r="AC74" s="56"/>
      <c r="AD74" s="56"/>
      <c r="AF74" s="88" t="s">
        <v>82</v>
      </c>
      <c r="AG74" s="89"/>
      <c r="AH74" s="89"/>
      <c r="AI74" s="89"/>
      <c r="AJ74" s="57">
        <f>AM59*(AH68/AH70)</f>
        <v>2.1290822031711443</v>
      </c>
      <c r="AK74" s="56"/>
      <c r="AL74" s="56"/>
      <c r="AM74" s="56"/>
      <c r="AN74" s="56"/>
      <c r="AO74" s="64"/>
    </row>
    <row r="75" spans="1:41" x14ac:dyDescent="0.3">
      <c r="A75" s="90"/>
      <c r="B75" s="91"/>
      <c r="C75" s="91"/>
      <c r="D75" s="91"/>
      <c r="E75" s="56"/>
      <c r="F75" s="56"/>
      <c r="G75" s="56"/>
      <c r="H75" s="56"/>
      <c r="I75" s="56"/>
      <c r="J75" s="56"/>
      <c r="K75" s="56"/>
      <c r="L75" s="56"/>
      <c r="M75" s="56"/>
      <c r="N75" s="64"/>
      <c r="P75" s="90"/>
      <c r="Q75" s="91"/>
      <c r="R75" s="91"/>
      <c r="S75" s="91"/>
      <c r="T75" s="56"/>
      <c r="U75" s="56"/>
      <c r="V75" s="56"/>
      <c r="W75" s="56"/>
      <c r="X75" s="56"/>
      <c r="Y75" s="64"/>
      <c r="Z75" s="56"/>
      <c r="AA75" s="56"/>
      <c r="AB75" s="56"/>
      <c r="AC75" s="56"/>
      <c r="AD75" s="56"/>
      <c r="AF75" s="90"/>
      <c r="AG75" s="91"/>
      <c r="AH75" s="91"/>
      <c r="AI75" s="91"/>
      <c r="AJ75" s="56"/>
      <c r="AK75" s="56"/>
      <c r="AL75" s="56"/>
      <c r="AM75" s="56"/>
      <c r="AN75" s="56"/>
      <c r="AO75" s="64"/>
    </row>
    <row r="76" spans="1:41" x14ac:dyDescent="0.3">
      <c r="A76" s="90" t="s">
        <v>84</v>
      </c>
      <c r="B76" s="91"/>
      <c r="C76" s="56">
        <f>E72+E73+E74+B64</f>
        <v>70</v>
      </c>
      <c r="D76" s="56">
        <f>CEILING(C76,5)</f>
        <v>70</v>
      </c>
      <c r="E76" s="56"/>
      <c r="F76" s="56"/>
      <c r="G76" s="56"/>
      <c r="H76" s="56"/>
      <c r="I76" s="56"/>
      <c r="J76" s="56"/>
      <c r="K76" s="56"/>
      <c r="L76" s="56"/>
      <c r="M76" s="56"/>
      <c r="N76" s="64"/>
      <c r="P76" s="90" t="s">
        <v>84</v>
      </c>
      <c r="Q76" s="91"/>
      <c r="R76" s="56">
        <f>T72+T73+T74+Q64</f>
        <v>30</v>
      </c>
      <c r="S76" s="56"/>
      <c r="T76" s="56"/>
      <c r="U76" s="56"/>
      <c r="V76" s="56"/>
      <c r="W76" s="56"/>
      <c r="X76" s="56"/>
      <c r="Y76" s="64"/>
      <c r="Z76" s="56"/>
      <c r="AA76" s="56"/>
      <c r="AB76" s="56"/>
      <c r="AC76" s="56"/>
      <c r="AD76" s="56"/>
      <c r="AF76" s="90" t="s">
        <v>84</v>
      </c>
      <c r="AG76" s="91"/>
      <c r="AH76" s="56">
        <f>AJ72+AJ73+AJ74+AG64</f>
        <v>25</v>
      </c>
      <c r="AI76" s="56"/>
      <c r="AJ76" s="56"/>
      <c r="AK76" s="56"/>
      <c r="AL76" s="56"/>
      <c r="AM76" s="56"/>
      <c r="AN76" s="56"/>
      <c r="AO76" s="64"/>
    </row>
    <row r="77" spans="1:41" x14ac:dyDescent="0.3">
      <c r="A77" s="63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64"/>
      <c r="P77" s="63"/>
      <c r="Q77" s="56"/>
      <c r="R77" s="56"/>
      <c r="S77" s="56"/>
      <c r="T77" s="56"/>
      <c r="U77" s="56"/>
      <c r="V77" s="56"/>
      <c r="W77" s="56"/>
      <c r="X77" s="56"/>
      <c r="Y77" s="64"/>
      <c r="Z77" s="56"/>
      <c r="AA77" s="56"/>
      <c r="AB77" s="56"/>
      <c r="AC77" s="56"/>
      <c r="AD77" s="56"/>
      <c r="AF77" s="63"/>
      <c r="AG77" s="56"/>
      <c r="AH77" s="56"/>
      <c r="AI77" s="56"/>
      <c r="AJ77" s="56"/>
      <c r="AK77" s="56"/>
      <c r="AL77" s="56"/>
      <c r="AM77" s="56"/>
      <c r="AN77" s="56"/>
      <c r="AO77" s="64"/>
    </row>
    <row r="78" spans="1:41" ht="15" thickBot="1" x14ac:dyDescent="0.35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8"/>
      <c r="P78" s="66"/>
      <c r="Q78" s="67"/>
      <c r="R78" s="67"/>
      <c r="S78" s="67"/>
      <c r="T78" s="67"/>
      <c r="U78" s="67"/>
      <c r="V78" s="67"/>
      <c r="W78" s="67"/>
      <c r="X78" s="67"/>
      <c r="Y78" s="68"/>
      <c r="Z78" s="56"/>
      <c r="AA78" s="56"/>
      <c r="AB78" s="56"/>
      <c r="AC78" s="56"/>
      <c r="AD78" s="56"/>
      <c r="AF78" s="66"/>
      <c r="AG78" s="67"/>
      <c r="AH78" s="67"/>
      <c r="AI78" s="67"/>
      <c r="AJ78" s="67"/>
      <c r="AK78" s="67"/>
      <c r="AL78" s="67"/>
      <c r="AM78" s="67"/>
      <c r="AN78" s="67"/>
      <c r="AO78" s="68"/>
    </row>
    <row r="81" spans="1:37" x14ac:dyDescent="0.3">
      <c r="H81">
        <f>E72/C76</f>
        <v>0.16424402489931492</v>
      </c>
      <c r="W81">
        <f>T72/R76</f>
        <v>0.10862298476556724</v>
      </c>
    </row>
    <row r="82" spans="1:37" x14ac:dyDescent="0.3">
      <c r="A82" t="s">
        <v>85</v>
      </c>
      <c r="P82" t="s">
        <v>85</v>
      </c>
      <c r="AF82" t="s">
        <v>85</v>
      </c>
    </row>
    <row r="85" spans="1:37" x14ac:dyDescent="0.3">
      <c r="A85" s="59" t="s">
        <v>86</v>
      </c>
      <c r="B85" s="57">
        <v>1</v>
      </c>
      <c r="C85" s="57"/>
      <c r="P85" s="57" t="s">
        <v>86</v>
      </c>
      <c r="Q85" s="57">
        <v>1</v>
      </c>
      <c r="R85" s="57"/>
      <c r="AF85" t="s">
        <v>86</v>
      </c>
      <c r="AG85">
        <v>1</v>
      </c>
    </row>
    <row r="86" spans="1:37" x14ac:dyDescent="0.3">
      <c r="A86" s="59" t="s">
        <v>87</v>
      </c>
      <c r="B86" s="57">
        <v>35</v>
      </c>
      <c r="C86" s="57">
        <f>B86*5280/3600</f>
        <v>51.333333333333336</v>
      </c>
      <c r="P86" s="57" t="s">
        <v>87</v>
      </c>
      <c r="Q86" s="57">
        <v>35</v>
      </c>
      <c r="R86" s="57">
        <f>Q86*5280/3600</f>
        <v>51.333333333333336</v>
      </c>
      <c r="AF86" t="s">
        <v>87</v>
      </c>
      <c r="AG86">
        <v>35</v>
      </c>
      <c r="AH86">
        <f>AG86*5280/3600</f>
        <v>51.333333333333336</v>
      </c>
    </row>
    <row r="87" spans="1:37" x14ac:dyDescent="0.3">
      <c r="A87" s="59" t="s">
        <v>88</v>
      </c>
      <c r="B87" s="57">
        <v>10</v>
      </c>
      <c r="C87" s="57">
        <f>2*B87</f>
        <v>20</v>
      </c>
      <c r="D87" s="57" t="s">
        <v>90</v>
      </c>
      <c r="E87" s="57">
        <f>B85+C86/(C87)</f>
        <v>3.5666666666666669</v>
      </c>
      <c r="P87" s="57" t="s">
        <v>88</v>
      </c>
      <c r="Q87" s="57">
        <v>10</v>
      </c>
      <c r="R87" s="57">
        <f>2*Q87</f>
        <v>20</v>
      </c>
      <c r="S87" s="57" t="s">
        <v>90</v>
      </c>
      <c r="T87" s="57">
        <f>Q85+R86/(R87)</f>
        <v>3.5666666666666669</v>
      </c>
      <c r="AF87" t="s">
        <v>88</v>
      </c>
      <c r="AG87">
        <v>10</v>
      </c>
      <c r="AH87">
        <f>2*AG87</f>
        <v>20</v>
      </c>
      <c r="AI87" t="s">
        <v>90</v>
      </c>
      <c r="AJ87">
        <f>AG85+AH86/(AH87)</f>
        <v>3.5666666666666669</v>
      </c>
    </row>
    <row r="88" spans="1:37" x14ac:dyDescent="0.3">
      <c r="A88" s="59" t="s">
        <v>89</v>
      </c>
      <c r="B88" s="57">
        <f>C880</f>
        <v>0</v>
      </c>
      <c r="C88" s="57"/>
      <c r="E88">
        <f>CEILING(E87,0.5)</f>
        <v>4</v>
      </c>
      <c r="P88" s="57" t="s">
        <v>89</v>
      </c>
      <c r="Q88" s="57">
        <f>R880</f>
        <v>0</v>
      </c>
      <c r="R88" s="57"/>
      <c r="AF88" t="s">
        <v>89</v>
      </c>
      <c r="AG88">
        <f>AH880</f>
        <v>0</v>
      </c>
    </row>
    <row r="91" spans="1:37" x14ac:dyDescent="0.3">
      <c r="A91" t="s">
        <v>91</v>
      </c>
      <c r="P91" s="57" t="s">
        <v>91</v>
      </c>
      <c r="Q91" s="57"/>
      <c r="R91" s="57"/>
      <c r="AF91" t="s">
        <v>91</v>
      </c>
    </row>
    <row r="92" spans="1:37" x14ac:dyDescent="0.3">
      <c r="A92" s="59" t="s">
        <v>92</v>
      </c>
      <c r="B92" s="59">
        <v>3.84</v>
      </c>
      <c r="C92" s="59">
        <f>B92*3.28</f>
        <v>12.595199999999998</v>
      </c>
      <c r="P92" s="57" t="s">
        <v>92</v>
      </c>
      <c r="Q92" s="57">
        <v>3.84</v>
      </c>
      <c r="R92" s="57">
        <f>Q92*3.28</f>
        <v>12.595199999999998</v>
      </c>
      <c r="AF92" t="s">
        <v>92</v>
      </c>
      <c r="AG92">
        <v>3.84</v>
      </c>
      <c r="AH92">
        <f>AG92*3.28</f>
        <v>12.595199999999998</v>
      </c>
    </row>
    <row r="93" spans="1:37" x14ac:dyDescent="0.3">
      <c r="A93" s="59" t="s">
        <v>93</v>
      </c>
      <c r="B93" s="59">
        <v>20</v>
      </c>
      <c r="C93" s="59"/>
      <c r="D93" s="57" t="s">
        <v>94</v>
      </c>
      <c r="E93" s="57">
        <f>(C92+B93)/C94</f>
        <v>0.63497142857142852</v>
      </c>
      <c r="F93">
        <f>CEILING(E93,0.5)</f>
        <v>1</v>
      </c>
      <c r="P93" s="57" t="s">
        <v>93</v>
      </c>
      <c r="Q93" s="57">
        <v>20</v>
      </c>
      <c r="R93" s="57"/>
      <c r="S93" s="57" t="s">
        <v>94</v>
      </c>
      <c r="T93" s="57">
        <f>(R92+Q93)/R94</f>
        <v>0.63497142857142852</v>
      </c>
      <c r="U93">
        <f>CEILING(T93,0.5)</f>
        <v>1</v>
      </c>
      <c r="AF93" t="s">
        <v>93</v>
      </c>
      <c r="AG93">
        <v>20</v>
      </c>
      <c r="AI93" t="s">
        <v>94</v>
      </c>
      <c r="AJ93">
        <f>(AH92+AG93)/AH94</f>
        <v>0.63497142857142852</v>
      </c>
      <c r="AK93">
        <f>CEILING(AJ93,0.5)</f>
        <v>1</v>
      </c>
    </row>
    <row r="94" spans="1:37" x14ac:dyDescent="0.3">
      <c r="A94" s="59" t="s">
        <v>87</v>
      </c>
      <c r="B94" s="59">
        <v>35</v>
      </c>
      <c r="C94" s="59">
        <f>B94*5280/3600</f>
        <v>51.333333333333336</v>
      </c>
      <c r="P94" s="57" t="s">
        <v>87</v>
      </c>
      <c r="Q94" s="57">
        <v>35</v>
      </c>
      <c r="R94" s="57">
        <f>Q94*5280/3600</f>
        <v>51.333333333333336</v>
      </c>
      <c r="AF94" t="s">
        <v>87</v>
      </c>
      <c r="AG94">
        <v>35</v>
      </c>
      <c r="AH94">
        <f>AG94*5280/3600</f>
        <v>51.333333333333336</v>
      </c>
    </row>
    <row r="96" spans="1:37" x14ac:dyDescent="0.3">
      <c r="B96" s="57" t="s">
        <v>95</v>
      </c>
      <c r="C96" s="57">
        <f>C76-E88-F93+B64</f>
        <v>77</v>
      </c>
      <c r="Q96" t="s">
        <v>95</v>
      </c>
      <c r="R96">
        <f>R76-T87-U93+Q64</f>
        <v>37.433333333333337</v>
      </c>
      <c r="AG96" t="s">
        <v>95</v>
      </c>
      <c r="AH96">
        <f>AH76-AJ87-AK93+AG64</f>
        <v>32.433333333333337</v>
      </c>
    </row>
    <row r="98" spans="1:43" x14ac:dyDescent="0.3">
      <c r="B98" s="57" t="s">
        <v>96</v>
      </c>
      <c r="C98" s="57">
        <f>C76-E72-B64</f>
        <v>46.502918257047952</v>
      </c>
      <c r="D98" s="57">
        <f>CEILING(C98,0.5)</f>
        <v>47</v>
      </c>
      <c r="H98">
        <f>C98+E72+B64</f>
        <v>70</v>
      </c>
      <c r="Q98" s="57" t="s">
        <v>96</v>
      </c>
      <c r="R98" s="57">
        <f>R76-T72-Q64</f>
        <v>14.741310457032984</v>
      </c>
      <c r="S98" s="57">
        <f>CEILING(R98,0.5)</f>
        <v>15</v>
      </c>
      <c r="W98">
        <f>R98+T72+Q64</f>
        <v>30</v>
      </c>
      <c r="AG98" t="s">
        <v>96</v>
      </c>
      <c r="AH98">
        <f>AH76-AJ72-AG64</f>
        <v>10.110531295696305</v>
      </c>
      <c r="AI98">
        <f>CEILING(AH98,0.5)</f>
        <v>10.5</v>
      </c>
      <c r="AM98">
        <f>AH98+AJ72+AG64</f>
        <v>25</v>
      </c>
    </row>
    <row r="99" spans="1:43" x14ac:dyDescent="0.3">
      <c r="B99" s="57" t="s">
        <v>97</v>
      </c>
      <c r="C99" s="57">
        <f>C76-E73-B64</f>
        <v>31.6608089827699</v>
      </c>
      <c r="D99" s="57">
        <f t="shared" ref="D99:D100" si="3">CEILING(C99,0.5)</f>
        <v>32</v>
      </c>
      <c r="G99" t="s">
        <v>105</v>
      </c>
      <c r="H99">
        <v>80</v>
      </c>
      <c r="Q99" s="57" t="s">
        <v>97</v>
      </c>
      <c r="R99" s="57">
        <f>R76-T73-Q65</f>
        <v>20.327762165360156</v>
      </c>
      <c r="S99" s="57">
        <f t="shared" ref="S99:S100" si="4">CEILING(R99,0.5)</f>
        <v>20.5</v>
      </c>
      <c r="V99" t="s">
        <v>105</v>
      </c>
      <c r="W99">
        <v>44</v>
      </c>
      <c r="AG99" t="s">
        <v>97</v>
      </c>
      <c r="AH99">
        <f>AH76-AJ73-AG65</f>
        <v>17.01855090747484</v>
      </c>
      <c r="AI99">
        <f t="shared" ref="AI99:AI100" si="5">CEILING(AH99,0.5)</f>
        <v>17.5</v>
      </c>
      <c r="AL99" t="s">
        <v>106</v>
      </c>
      <c r="AM99">
        <v>32</v>
      </c>
    </row>
    <row r="100" spans="1:43" x14ac:dyDescent="0.3">
      <c r="B100" s="57" t="s">
        <v>98</v>
      </c>
      <c r="C100" s="57">
        <f>C76-E74-B64</f>
        <v>37.836272760182148</v>
      </c>
      <c r="D100" s="57">
        <f t="shared" si="3"/>
        <v>38</v>
      </c>
      <c r="Q100" s="57" t="s">
        <v>98</v>
      </c>
      <c r="R100" s="57">
        <f>R76-T74-Q66</f>
        <v>24.930927377606864</v>
      </c>
      <c r="S100" s="57">
        <f t="shared" si="4"/>
        <v>25</v>
      </c>
      <c r="AG100" t="s">
        <v>98</v>
      </c>
      <c r="AH100">
        <f>AH76-AJ74-AG66</f>
        <v>22.870917796828856</v>
      </c>
      <c r="AI100">
        <f t="shared" si="5"/>
        <v>23</v>
      </c>
    </row>
    <row r="101" spans="1:43" x14ac:dyDescent="0.3">
      <c r="A101" s="95"/>
      <c r="B101" s="95"/>
      <c r="C101" s="95"/>
      <c r="D101" s="95"/>
      <c r="E101" s="69" t="s">
        <v>99</v>
      </c>
      <c r="F101" s="70" t="s">
        <v>100</v>
      </c>
      <c r="G101" s="71" t="s">
        <v>101</v>
      </c>
      <c r="H101" s="72" t="s">
        <v>94</v>
      </c>
      <c r="I101" s="69" t="s">
        <v>99</v>
      </c>
      <c r="J101" s="70" t="s">
        <v>100</v>
      </c>
      <c r="K101" s="71" t="s">
        <v>101</v>
      </c>
      <c r="L101" s="72" t="s">
        <v>94</v>
      </c>
      <c r="P101" s="95"/>
      <c r="Q101" s="95"/>
      <c r="R101" s="95"/>
      <c r="S101" s="95"/>
      <c r="T101" s="69" t="s">
        <v>99</v>
      </c>
      <c r="U101" s="70" t="s">
        <v>100</v>
      </c>
      <c r="V101" s="71" t="s">
        <v>101</v>
      </c>
      <c r="W101" s="72" t="s">
        <v>94</v>
      </c>
      <c r="X101" s="79" t="s">
        <v>99</v>
      </c>
      <c r="Y101" s="70" t="s">
        <v>100</v>
      </c>
      <c r="Z101" s="80" t="s">
        <v>101</v>
      </c>
      <c r="AA101" s="81" t="s">
        <v>94</v>
      </c>
      <c r="AF101" s="95"/>
      <c r="AG101" s="95"/>
      <c r="AH101" s="95"/>
      <c r="AI101" s="95"/>
      <c r="AJ101" s="69" t="s">
        <v>99</v>
      </c>
      <c r="AK101" s="70" t="s">
        <v>100</v>
      </c>
      <c r="AL101" s="71" t="s">
        <v>101</v>
      </c>
      <c r="AM101" s="72" t="s">
        <v>94</v>
      </c>
      <c r="AN101" s="69" t="s">
        <v>99</v>
      </c>
      <c r="AO101" s="70" t="s">
        <v>100</v>
      </c>
      <c r="AP101" s="71" t="s">
        <v>101</v>
      </c>
      <c r="AQ101" s="72" t="s">
        <v>94</v>
      </c>
    </row>
    <row r="102" spans="1:43" x14ac:dyDescent="0.3">
      <c r="A102" s="88" t="s">
        <v>80</v>
      </c>
      <c r="B102" s="89"/>
      <c r="C102" s="89"/>
      <c r="D102" s="89"/>
      <c r="E102" s="57">
        <f>E72</f>
        <v>11.497081742952044</v>
      </c>
      <c r="F102" s="57">
        <f>C98</f>
        <v>46.502918257047952</v>
      </c>
      <c r="G102" s="156">
        <f>E88</f>
        <v>4</v>
      </c>
      <c r="H102" s="156">
        <f>F93</f>
        <v>1</v>
      </c>
      <c r="I102" s="75">
        <v>10</v>
      </c>
      <c r="J102" s="75">
        <v>47</v>
      </c>
      <c r="K102" s="157">
        <v>4</v>
      </c>
      <c r="L102" s="157">
        <v>1</v>
      </c>
      <c r="P102" s="88" t="s">
        <v>80</v>
      </c>
      <c r="Q102" s="89"/>
      <c r="R102" s="89"/>
      <c r="S102" s="89"/>
      <c r="T102" s="57">
        <f>T72</f>
        <v>3.2586895429670171</v>
      </c>
      <c r="U102" s="57">
        <f>R98</f>
        <v>14.741310457032984</v>
      </c>
      <c r="V102" s="156">
        <f>T87</f>
        <v>3.5666666666666669</v>
      </c>
      <c r="W102" s="156">
        <f>U93</f>
        <v>1</v>
      </c>
      <c r="X102" s="57">
        <v>4</v>
      </c>
      <c r="Y102" s="57">
        <v>15</v>
      </c>
      <c r="Z102" s="160">
        <v>4</v>
      </c>
      <c r="AA102" s="160">
        <v>1</v>
      </c>
      <c r="AF102" s="88" t="s">
        <v>80</v>
      </c>
      <c r="AG102" s="89"/>
      <c r="AH102" s="89"/>
      <c r="AI102" s="89"/>
      <c r="AJ102" s="57">
        <f>AJ72</f>
        <v>2.8894687043036957</v>
      </c>
      <c r="AK102" s="57">
        <f>AH98</f>
        <v>10.110531295696305</v>
      </c>
      <c r="AL102" s="156">
        <f>AJ87</f>
        <v>3.5666666666666669</v>
      </c>
      <c r="AM102" s="156">
        <f>AK93</f>
        <v>1</v>
      </c>
      <c r="AN102" s="57">
        <v>3</v>
      </c>
      <c r="AO102" s="57">
        <v>10</v>
      </c>
      <c r="AP102" s="156">
        <v>3</v>
      </c>
      <c r="AQ102" s="156">
        <v>1</v>
      </c>
    </row>
    <row r="103" spans="1:43" x14ac:dyDescent="0.3">
      <c r="A103" s="88" t="s">
        <v>81</v>
      </c>
      <c r="B103" s="89"/>
      <c r="C103" s="89"/>
      <c r="D103" s="89"/>
      <c r="E103" s="57">
        <f t="shared" ref="E103:E104" si="6">E73</f>
        <v>26.3391910172301</v>
      </c>
      <c r="F103" s="57">
        <f t="shared" ref="F103:F104" si="7">C99</f>
        <v>31.6608089827699</v>
      </c>
      <c r="G103" s="156"/>
      <c r="H103" s="156"/>
      <c r="I103" s="75">
        <v>32</v>
      </c>
      <c r="J103" s="75">
        <v>20</v>
      </c>
      <c r="K103" s="158"/>
      <c r="L103" s="158"/>
      <c r="P103" s="88" t="s">
        <v>81</v>
      </c>
      <c r="Q103" s="89"/>
      <c r="R103" s="89"/>
      <c r="S103" s="89"/>
      <c r="T103" s="57">
        <f t="shared" ref="T103:T104" si="8">T73</f>
        <v>9.6722378346398461</v>
      </c>
      <c r="U103" s="57">
        <f t="shared" ref="U103:U104" si="9">R99</f>
        <v>20.327762165360156</v>
      </c>
      <c r="V103" s="156"/>
      <c r="W103" s="156"/>
      <c r="X103" s="57">
        <v>19</v>
      </c>
      <c r="Y103" s="57">
        <v>21</v>
      </c>
      <c r="Z103" s="161"/>
      <c r="AA103" s="161"/>
      <c r="AF103" s="88" t="s">
        <v>81</v>
      </c>
      <c r="AG103" s="89"/>
      <c r="AH103" s="89"/>
      <c r="AI103" s="89"/>
      <c r="AJ103" s="57">
        <f t="shared" ref="AJ103:AJ104" si="10">AJ73</f>
        <v>7.9814490925251595</v>
      </c>
      <c r="AK103" s="57">
        <f t="shared" ref="AK103:AK104" si="11">AH99</f>
        <v>17.01855090747484</v>
      </c>
      <c r="AL103" s="156"/>
      <c r="AM103" s="156"/>
      <c r="AN103" s="57">
        <v>8</v>
      </c>
      <c r="AO103" s="57">
        <v>17</v>
      </c>
      <c r="AP103" s="156"/>
      <c r="AQ103" s="156"/>
    </row>
    <row r="104" spans="1:43" x14ac:dyDescent="0.3">
      <c r="A104" s="88" t="s">
        <v>82</v>
      </c>
      <c r="B104" s="89"/>
      <c r="C104" s="89"/>
      <c r="D104" s="89"/>
      <c r="E104" s="57">
        <f t="shared" si="6"/>
        <v>20.163727239817852</v>
      </c>
      <c r="F104" s="57">
        <f t="shared" si="7"/>
        <v>37.836272760182148</v>
      </c>
      <c r="G104" s="156"/>
      <c r="H104" s="156"/>
      <c r="I104" s="75">
        <v>38</v>
      </c>
      <c r="J104" s="75">
        <v>15</v>
      </c>
      <c r="K104" s="159"/>
      <c r="L104" s="159"/>
      <c r="P104" s="88" t="s">
        <v>82</v>
      </c>
      <c r="Q104" s="89"/>
      <c r="R104" s="89"/>
      <c r="S104" s="89"/>
      <c r="T104" s="57">
        <f t="shared" si="8"/>
        <v>5.0690726223931373</v>
      </c>
      <c r="U104" s="57">
        <f t="shared" si="9"/>
        <v>24.930927377606864</v>
      </c>
      <c r="V104" s="156"/>
      <c r="W104" s="156"/>
      <c r="X104" s="57">
        <v>6</v>
      </c>
      <c r="Y104" s="57">
        <v>25</v>
      </c>
      <c r="Z104" s="162"/>
      <c r="AA104" s="162"/>
      <c r="AF104" s="88" t="s">
        <v>82</v>
      </c>
      <c r="AG104" s="89"/>
      <c r="AH104" s="89"/>
      <c r="AI104" s="89"/>
      <c r="AJ104" s="57">
        <f t="shared" si="10"/>
        <v>2.1290822031711443</v>
      </c>
      <c r="AK104" s="57">
        <f t="shared" si="11"/>
        <v>22.870917796828856</v>
      </c>
      <c r="AL104" s="156"/>
      <c r="AM104" s="156"/>
      <c r="AN104" s="57">
        <v>3</v>
      </c>
      <c r="AO104" s="57">
        <v>23</v>
      </c>
      <c r="AP104" s="156"/>
      <c r="AQ104" s="156"/>
    </row>
    <row r="107" spans="1:43" x14ac:dyDescent="0.3">
      <c r="AH107">
        <v>670</v>
      </c>
    </row>
    <row r="108" spans="1:43" x14ac:dyDescent="0.3">
      <c r="A108" t="s">
        <v>103</v>
      </c>
      <c r="B108">
        <v>1146</v>
      </c>
      <c r="C108" t="s">
        <v>102</v>
      </c>
      <c r="P108" t="s">
        <v>103</v>
      </c>
      <c r="Q108">
        <v>737</v>
      </c>
      <c r="R108" t="s">
        <v>102</v>
      </c>
    </row>
    <row r="109" spans="1:43" x14ac:dyDescent="0.3">
      <c r="A109" t="s">
        <v>87</v>
      </c>
      <c r="B109">
        <f>C86</f>
        <v>51.333333333333336</v>
      </c>
      <c r="P109" t="s">
        <v>87</v>
      </c>
      <c r="Q109">
        <f>R86</f>
        <v>51.333333333333336</v>
      </c>
    </row>
    <row r="111" spans="1:43" x14ac:dyDescent="0.3">
      <c r="B111" t="s">
        <v>104</v>
      </c>
      <c r="C111">
        <f>(B108/B109)*2</f>
        <v>44.649350649350644</v>
      </c>
      <c r="Q111" t="s">
        <v>104</v>
      </c>
      <c r="R111">
        <f>(Q108/Q109)*2</f>
        <v>28.714285714285712</v>
      </c>
    </row>
    <row r="112" spans="1:43" x14ac:dyDescent="0.3">
      <c r="C112">
        <f>C111*H81</f>
        <v>7.3333890597901901</v>
      </c>
      <c r="R112">
        <f>R111*W81</f>
        <v>3.1190314196970017</v>
      </c>
    </row>
    <row r="113" spans="3:18" x14ac:dyDescent="0.3">
      <c r="C113">
        <f>45-7</f>
        <v>38</v>
      </c>
      <c r="R113">
        <f>29-3</f>
        <v>26</v>
      </c>
    </row>
  </sheetData>
  <mergeCells count="121">
    <mergeCell ref="AP102:AP104"/>
    <mergeCell ref="AQ102:AQ104"/>
    <mergeCell ref="AF101:AI101"/>
    <mergeCell ref="AF102:AI102"/>
    <mergeCell ref="AL102:AL104"/>
    <mergeCell ref="AM102:AM104"/>
    <mergeCell ref="AF103:AI103"/>
    <mergeCell ref="AF104:AI104"/>
    <mergeCell ref="A101:D101"/>
    <mergeCell ref="P101:S101"/>
    <mergeCell ref="P102:S102"/>
    <mergeCell ref="V102:V104"/>
    <mergeCell ref="W102:W104"/>
    <mergeCell ref="P103:S103"/>
    <mergeCell ref="P104:S104"/>
    <mergeCell ref="A102:D102"/>
    <mergeCell ref="A103:D103"/>
    <mergeCell ref="A104:D104"/>
    <mergeCell ref="G102:G104"/>
    <mergeCell ref="H102:H104"/>
    <mergeCell ref="K102:K104"/>
    <mergeCell ref="L102:L104"/>
    <mergeCell ref="Z102:Z104"/>
    <mergeCell ref="AA102:AA104"/>
    <mergeCell ref="AJ43:AL43"/>
    <mergeCell ref="AF44:AL44"/>
    <mergeCell ref="AF45:AH45"/>
    <mergeCell ref="AJ45:AL45"/>
    <mergeCell ref="AF46:AH46"/>
    <mergeCell ref="AJ46:AL46"/>
    <mergeCell ref="AH34:AK34"/>
    <mergeCell ref="AH35:AK35"/>
    <mergeCell ref="AH36:AI36"/>
    <mergeCell ref="AJ36:AK36"/>
    <mergeCell ref="AF42:AH42"/>
    <mergeCell ref="AJ42:AL42"/>
    <mergeCell ref="P73:S73"/>
    <mergeCell ref="P74:S74"/>
    <mergeCell ref="P75:S75"/>
    <mergeCell ref="P76:Q76"/>
    <mergeCell ref="AG34:AG37"/>
    <mergeCell ref="AF43:AH43"/>
    <mergeCell ref="AF72:AI72"/>
    <mergeCell ref="AF73:AI73"/>
    <mergeCell ref="AF74:AI74"/>
    <mergeCell ref="AF75:AI75"/>
    <mergeCell ref="AF76:AG76"/>
    <mergeCell ref="P45:R45"/>
    <mergeCell ref="T45:V45"/>
    <mergeCell ref="P46:R46"/>
    <mergeCell ref="T46:V46"/>
    <mergeCell ref="P72:S72"/>
    <mergeCell ref="P42:R42"/>
    <mergeCell ref="T42:V42"/>
    <mergeCell ref="P43:R43"/>
    <mergeCell ref="T43:V43"/>
    <mergeCell ref="P44:V44"/>
    <mergeCell ref="Q34:Q37"/>
    <mergeCell ref="R34:U34"/>
    <mergeCell ref="R35:U35"/>
    <mergeCell ref="B8:B9"/>
    <mergeCell ref="G8:G9"/>
    <mergeCell ref="B11:B12"/>
    <mergeCell ref="G11:G12"/>
    <mergeCell ref="B14:B15"/>
    <mergeCell ref="G14:G15"/>
    <mergeCell ref="B18:B19"/>
    <mergeCell ref="C18:F18"/>
    <mergeCell ref="C19:F19"/>
    <mergeCell ref="G18:O31"/>
    <mergeCell ref="B23:B24"/>
    <mergeCell ref="B26:B27"/>
    <mergeCell ref="B29:B30"/>
    <mergeCell ref="B3:B4"/>
    <mergeCell ref="C3:F3"/>
    <mergeCell ref="C4:F4"/>
    <mergeCell ref="G3:G4"/>
    <mergeCell ref="H3:O3"/>
    <mergeCell ref="H4:O4"/>
    <mergeCell ref="C5:F5"/>
    <mergeCell ref="H5:O5"/>
    <mergeCell ref="C6:D6"/>
    <mergeCell ref="E6:F6"/>
    <mergeCell ref="H6:M6"/>
    <mergeCell ref="N6:O6"/>
    <mergeCell ref="V12:Y12"/>
    <mergeCell ref="V13:Y13"/>
    <mergeCell ref="V14:W14"/>
    <mergeCell ref="X14:Y14"/>
    <mergeCell ref="R36:S36"/>
    <mergeCell ref="T36:U36"/>
    <mergeCell ref="S2:V2"/>
    <mergeCell ref="X2:AF2"/>
    <mergeCell ref="S3:V3"/>
    <mergeCell ref="X3:AF3"/>
    <mergeCell ref="S4:T4"/>
    <mergeCell ref="U4:V4"/>
    <mergeCell ref="X4:Y4"/>
    <mergeCell ref="AE4:AF4"/>
    <mergeCell ref="C34:F34"/>
    <mergeCell ref="C20:F20"/>
    <mergeCell ref="C21:D21"/>
    <mergeCell ref="E21:F21"/>
    <mergeCell ref="A72:D72"/>
    <mergeCell ref="A73:D73"/>
    <mergeCell ref="A74:D74"/>
    <mergeCell ref="A75:D75"/>
    <mergeCell ref="A76:B76"/>
    <mergeCell ref="C35:F35"/>
    <mergeCell ref="C36:D36"/>
    <mergeCell ref="E36:F36"/>
    <mergeCell ref="A43:C43"/>
    <mergeCell ref="B34:B37"/>
    <mergeCell ref="A45:C45"/>
    <mergeCell ref="A46:C46"/>
    <mergeCell ref="E42:G42"/>
    <mergeCell ref="E43:G43"/>
    <mergeCell ref="E45:G45"/>
    <mergeCell ref="E46:G46"/>
    <mergeCell ref="A42:C42"/>
    <mergeCell ref="A44:G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2023-11-02T03:32:52Z</dcterms:created>
  <dcterms:modified xsi:type="dcterms:W3CDTF">2023-12-04T10:40:40Z</dcterms:modified>
</cp:coreProperties>
</file>